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J28" i="48"/>
  <c r="J27"/>
  <c r="J32"/>
  <c r="J31"/>
  <c r="J29"/>
  <c r="J30"/>
  <c r="J24"/>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N18" i="14"/>
  <c r="M13" i="48"/>
  <c r="M31" s="1"/>
  <c r="K23"/>
  <c r="K33" s="1"/>
  <c r="K15"/>
  <c r="G13"/>
  <c r="H18" i="14"/>
  <c r="H13" i="48"/>
  <c r="H31" s="1"/>
  <c r="I18" i="14"/>
  <c r="C22"/>
  <c r="P8" i="48"/>
  <c r="P26" s="1"/>
  <c r="Q13" i="14"/>
  <c r="Q16" s="1"/>
  <c r="Q27" s="1"/>
  <c r="Q63" s="1"/>
  <c r="F20"/>
  <c r="F22" s="1"/>
  <c r="E9" i="48"/>
  <c r="E27" s="1"/>
  <c r="E20" i="14"/>
  <c r="E22" s="1"/>
  <c r="D9" i="48"/>
  <c r="D27" s="1"/>
  <c r="O5"/>
  <c r="O23" s="1"/>
  <c r="P10" i="14"/>
  <c r="K24"/>
  <c r="K26" s="1"/>
  <c r="J7" i="48"/>
  <c r="J25" s="1"/>
  <c r="P22"/>
  <c r="C20" i="14"/>
  <c r="B9" i="48"/>
  <c r="J46" i="14"/>
  <c r="J61"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E12" i="13"/>
  <c r="F41" i="14" s="1"/>
  <c r="E4" i="48"/>
  <c r="F11" i="14"/>
  <c r="R11" s="1"/>
  <c r="I23" i="48"/>
  <c r="I33" s="1"/>
  <c r="I15"/>
  <c r="G31"/>
  <c r="Q13"/>
  <c r="J4"/>
  <c r="K11" i="14"/>
  <c r="E7" i="48"/>
  <c r="E25" s="1"/>
  <c r="F24" i="14"/>
  <c r="F26" s="1"/>
  <c r="R18"/>
  <c r="N20"/>
  <c r="M9" i="48"/>
  <c r="O22" i="16"/>
  <c r="P43" i="14" s="1"/>
  <c r="O8" i="48"/>
  <c r="P13" i="14"/>
  <c r="H9" i="48"/>
  <c r="I20" i="14"/>
  <c r="I22" s="1"/>
  <c r="I27" s="1"/>
  <c r="P16"/>
  <c r="P27" s="1"/>
  <c r="P46"/>
  <c r="P61" s="1"/>
  <c r="P15" i="48"/>
  <c r="J63" i="14"/>
  <c r="P33" i="48"/>
  <c r="G14" i="22"/>
  <c r="N22" i="14"/>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I63" l="1"/>
  <c r="E5" i="48"/>
  <c r="E23" s="1"/>
  <c r="F10" i="14"/>
  <c r="H27" i="48"/>
  <c r="H33" s="1"/>
  <c r="H15"/>
  <c r="K10" i="14"/>
  <c r="J5" i="48"/>
  <c r="J23" s="1"/>
  <c r="M27"/>
  <c r="M33" s="1"/>
  <c r="M15"/>
  <c r="G28"/>
  <c r="Q10"/>
  <c r="G9"/>
  <c r="H20" i="14"/>
  <c r="J22" i="48"/>
  <c r="O26"/>
  <c r="O33" s="1"/>
  <c r="O15"/>
  <c r="E22"/>
  <c r="Q4"/>
  <c r="P63" i="14"/>
  <c r="R24"/>
  <c r="R26" s="1"/>
  <c r="R19"/>
  <c r="J20" i="15"/>
  <c r="K40" i="14" s="1"/>
  <c r="Q7" i="48"/>
  <c r="E20" i="15"/>
  <c r="F40" i="14" s="1"/>
  <c r="J18" i="16"/>
  <c r="E18"/>
  <c r="F18"/>
  <c r="F22" s="1"/>
  <c r="G43" i="14" s="1"/>
  <c r="N18" i="16"/>
  <c r="G18" i="22"/>
  <c r="H50" i="14" s="1"/>
  <c r="H52" s="1"/>
  <c r="H61" s="1"/>
  <c r="E22" i="16"/>
  <c r="F43" i="14" s="1"/>
  <c r="H18" i="22"/>
  <c r="I50" i="14" s="1"/>
  <c r="I52" s="1"/>
  <c r="I61" s="1"/>
  <c r="H63" l="1"/>
  <c r="R22"/>
  <c r="J22" i="16"/>
  <c r="K43" i="14" s="1"/>
  <c r="K46" s="1"/>
  <c r="K61" s="1"/>
  <c r="K63" s="1"/>
  <c r="K13"/>
  <c r="J8" i="48"/>
  <c r="G27"/>
  <c r="G33" s="1"/>
  <c r="G15"/>
  <c r="Q9"/>
  <c r="E8"/>
  <c r="E26" s="1"/>
  <c r="E33" s="1"/>
  <c r="F13" i="14"/>
  <c r="R20"/>
  <c r="H22"/>
  <c r="H27" s="1"/>
  <c r="F46"/>
  <c r="F61" s="1"/>
  <c r="F16"/>
  <c r="F27" s="1"/>
  <c r="K16"/>
  <c r="K27" s="1"/>
  <c r="N8" i="48"/>
  <c r="N26" s="1"/>
  <c r="O13" i="14"/>
  <c r="N22" i="16"/>
  <c r="O43" i="14" s="1"/>
  <c r="G13"/>
  <c r="F8" i="48"/>
  <c r="J26" l="1"/>
  <c r="J33" s="1"/>
  <c r="J15"/>
  <c r="R13" i="14"/>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<sst xmlns="http://schemas.openxmlformats.org/spreadsheetml/2006/main" count="2401" uniqueCount="897">
  <si>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</si>
  <si>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</si>
  <si>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</si>
  <si>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</si>
  <si>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</si>
  <si>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</si>
  <si>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</si>
  <si>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</si>
  <si>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</si>
  <si>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</si>
  <si>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</si>
  <si>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</si>
  <si>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</si>
  <si>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</si>
  <si>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</si>
  <si>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</si>
  <si>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</si>
  <si>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</si>
  <si>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</si>
  <si>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</si>
  <si>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</si>
  <si>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</si>
  <si>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</si>
  <si>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</si>
  <si>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</si>
  <si>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</si>
  <si>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</si>
  <si>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</si>
  <si>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</si>
  <si>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</si>
  <si>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</si>
  <si>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</si>
  <si>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</si>
  <si>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</si>
  <si>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</si>
  <si>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</si>
  <si>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</si>
  <si>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</si>
  <si>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</si>
  <si>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</si>
  <si>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</si>
  <si>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</si>
  <si>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</si>
  <si>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</si>
  <si>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</si>
  <si>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</si>
  <si>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</si>
  <si>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</si>
  <si>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</si>
  <si>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</si>
  <si>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</si>
  <si>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</si>
  <si>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</si>
  <si>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</si>
  <si>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</si>
  <si>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</si>
  <si>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</si>
  <si>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</si>
  <si>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</si>
  <si>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</si>
  <si>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</si>
  <si>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</si>
  <si>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</si>
  <si>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</si>
  <si>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</si>
  <si>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</si>
  <si>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</si>
  <si>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</si>
  <si>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</si>
  <si>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</si>
  <si>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</si>
  <si>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</si>
  <si>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</si>
  <si>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</si>
  <si>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</si>
  <si>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</si>
  <si>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</si>
  <si>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</si>
  <si>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</si>
  <si>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</si>
  <si>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</si>
  <si>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</si>
  <si>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</si>
  <si>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</si>
  <si>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</si>
  <si>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</si>
  <si>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</si>
  <si>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</si>
  <si>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</si>
  <si>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</si>
  <si>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</si>
  <si>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</si>
  <si>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</si>
  <si>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</si>
  <si>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</si>
  <si>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</si>
  <si>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</si>
  <si>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</si>
  <si>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</si>
  <si>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</si>
  <si>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</si>
  <si>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</si>
  <si>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</si>
  <si>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</si>
  <si>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</si>
  <si>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</si>
  <si>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</si>
  <si>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</si>
  <si>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</si>
  <si>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</si>
  <si>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</si>
  <si>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</si>
  <si>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</si>
  <si>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</si>
  <si>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</si>
  <si>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</si>
  <si>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</si>
  <si>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</si>
  <si>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</si>
  <si>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</si>
  <si>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</si>
  <si>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</si>
  <si>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</si>
  <si>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</si>
  <si>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</si>
  <si>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</si>
  <si>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</si>
  <si>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</si>
  <si>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</si>
  <si>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</si>
  <si>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</si>
  <si>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</si>
  <si>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</si>
  <si>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</si>
  <si>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</si>
  <si>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</si>
  <si>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</si>
  <si>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</si>
  <si>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</si>
  <si>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</si>
  <si>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</si>
  <si>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</si>
  <si>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</si>
  <si>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</si>
  <si>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</si>
  <si>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</si>
  <si>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</si>
  <si>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</si>
  <si>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</si>
  <si>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</si>
  <si>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</si>
  <si>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</si>
  <si>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</si>
  <si>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</si>
  <si>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</si>
  <si>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</si>
  <si>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</si>
  <si>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</si>
  <si>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</si>
  <si>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</si>
  <si>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</si>
  <si>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</si>
  <si>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</si>
  <si>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</si>
  <si>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</si>
  <si>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</si>
  <si>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</si>
  <si>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</si>
  <si>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</si>
  <si>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</si>
  <si>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</si>
  <si>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</si>
  <si>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</si>
  <si>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</si>
  <si>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</si>
  <si>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</si>
  <si>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</si>
  <si>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</si>
  <si>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</si>
  <si>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</si>
  <si>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</si>
  <si>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</si>
  <si>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</si>
  <si>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</si>
  <si>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</si>
  <si>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</si>
  <si>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</si>
  <si>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</si>
  <si>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</si>
  <si>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</si>
  <si>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</si>
  <si>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</si>
  <si>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</si>
  <si>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</si>
  <si>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</si>
  <si>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</si>
  <si>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</si>
  <si>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</si>
  <si>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</si>
  <si>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</si>
  <si>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</si>
  <si>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</si>
  <si>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</si>
  <si>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</si>
  <si>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</si>
  <si>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</si>
  <si>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</si>
  <si>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</si>
  <si>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</si>
  <si>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</si>
  <si>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</si>
  <si>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</si>
  <si>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</si>
  <si>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</si>
  <si>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</si>
  <si>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</si>
  <si>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</si>
  <si>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</si>
  <si>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</si>
  <si>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</si>
  <si>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</si>
  <si>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</si>
  <si>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</si>
  <si>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</si>
  <si>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</si>
  <si>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</si>
  <si>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</si>
  <si>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</si>
  <si>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</si>
  <si>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</si>
  <si>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</si>
  <si>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</si>
  <si>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</si>
  <si>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</si>
  <si>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</si>
  <si>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</si>
  <si>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</si>
  <si>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</si>
  <si>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</si>
  <si>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</si>
  <si>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</si>
  <si>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</si>
  <si>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</si>
  <si>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</si>
  <si>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</si>
  <si>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</si>
  <si>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</si>
  <si>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</si>
  <si>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</si>
  <si>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</si>
  <si>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</si>
  <si>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</si>
  <si>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</si>
  <si>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</si>
  <si>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</si>
  <si>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</si>
  <si>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</si>
  <si>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</si>
  <si>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</si>
  <si>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</si>
  <si>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</si>
  <si>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</si>
  <si>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</si>
  <si>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</si>
  <si>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</si>
  <si>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</si>
  <si>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</si>
  <si>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</si>
  <si>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</si>
  <si>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</si>
  <si>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</si>
  <si>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</si>
  <si>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</si>
  <si>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</si>
  <si>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</si>
  <si>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</si>
  <si>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</si>
  <si>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</si>
  <si>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</si>
  <si>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</si>
  <si>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</si>
  <si>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</si>
  <si>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</si>
  <si>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</si>
  <si>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</si>
  <si>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</si>
  <si>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</si>
  <si>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</si>
  <si>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</si>
  <si>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</si>
  <si>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</si>
  <si>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</si>
  <si>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</si>
  <si>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</si>
  <si>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</si>
  <si>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</si>
  <si>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</si>
  <si>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</si>
  <si>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</si>
  <si>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</si>
  <si>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</si>
  <si>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</si>
  <si>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</si>
  <si>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</si>
  <si>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</si>
  <si>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</si>
  <si>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</si>
  <si>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</si>
  <si>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</si>
  <si>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</si>
  <si>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</si>
  <si>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</si>
  <si>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</si>
  <si>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</si>
  <si>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</si>
  <si>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</si>
  <si>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</si>
  <si>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</si>
  <si>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</si>
  <si>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</si>
  <si>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</si>
  <si>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</si>
  <si>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</si>
  <si>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</si>
  <si>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</si>
  <si>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</si>
  <si>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</si>
  <si>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</si>
  <si>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</si>
  <si>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</si>
  <si>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</si>
  <si>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</si>
  <si>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</si>
  <si>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</si>
  <si>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</si>
  <si>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</si>
  <si>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</si>
  <si>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</si>
  <si>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</si>
  <si>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</si>
  <si>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</si>
  <si>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</si>
  <si>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</si>
  <si>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</si>
  <si>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</si>
  <si>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</si>
  <si>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</si>
  <si>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</si>
  <si>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</si>
  <si>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</si>
  <si>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</si>
  <si>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</si>
  <si>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</si>
  <si>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</si>
  <si>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</si>
  <si>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</si>
  <si>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</si>
  <si>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</si>
  <si>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</si>
  <si>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</si>
  <si>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</si>
  <si>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</si>
  <si>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</si>
  <si>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</si>
  <si>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</si>
  <si>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</si>
  <si>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</si>
  <si>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</si>
  <si>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</si>
  <si>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</si>
  <si>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</si>
  <si>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</si>
  <si>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</si>
  <si>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</si>
  <si>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</si>
  <si>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</si>
  <si>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</si>
  <si>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</si>
  <si>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</si>
  <si>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</si>
  <si>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</si>
  <si>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</si>
  <si>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</si>
  <si>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</si>
  <si>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</si>
  <si>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</si>
  <si>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</si>
  <si>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</si>
  <si>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</si>
  <si>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</si>
  <si>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</si>
  <si>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</si>
  <si>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</si>
  <si>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</si>
  <si>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</si>
  <si>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</si>
  <si>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</si>
  <si>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</si>
  <si>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</si>
  <si>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</si>
  <si>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</si>
  <si>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</si>
  <si>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</si>
  <si>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</si>
  <si>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</si>
  <si>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</si>
  <si>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</si>
  <si>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</si>
  <si>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</si>
  <si>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</si>
  <si>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</si>
  <si>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</si>
  <si>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</si>
  <si>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</si>
  <si>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</si>
  <si>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</si>
  <si>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</si>
  <si>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</si>
  <si>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</si>
  <si>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</si>
  <si>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</si>
  <si>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</si>
  <si>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</si>
  <si>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</si>
  <si>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</si>
  <si>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</si>
  <si>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</si>
  <si>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</si>
  <si>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</si>
  <si>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</si>
  <si>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</si>
  <si>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</si>
  <si>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</si>
  <si>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</si>
  <si>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</si>
  <si>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</si>
  <si>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</si>
  <si>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</si>
  <si>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</si>
  <si>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</si>
  <si>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</si>
  <si>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</si>
  <si>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</si>
  <si>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</si>
  <si>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</si>
  <si>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</si>
  <si>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</si>
  <si>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</si>
  <si>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</si>
  <si>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</si>
  <si>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</si>
  <si>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</si>
  <si>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</si>
  <si>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</si>
  <si>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</si>
  <si>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</si>
  <si>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</si>
  <si>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</si>
  <si>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</si>
  <si>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</si>
  <si>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</si>
  <si>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</si>
  <si>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</si>
  <si>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</si>
  <si>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</si>
  <si>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</si>
  <si>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</si>
  <si>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</si>
  <si>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</si>
  <si>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</si>
  <si>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</si>
  <si>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</si>
  <si>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</si>
  <si>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</si>
  <si>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</si>
  <si>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</si>
  <si>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</si>
  <si>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</si>
  <si>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</si>
  <si>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</si>
  <si>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</si>
  <si>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</si>
  <si>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</si>
  <si>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</si>
  <si>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</si>
  <si>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</si>
  <si>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</si>
  <si>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</si>
  <si>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</si>
  <si>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</si>
  <si>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</si>
  <si>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</si>
  <si>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</si>
  <si>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</si>
  <si>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</si>
  <si>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</si>
  <si>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</si>
  <si>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</si>
  <si>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</si>
  <si>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</si>
  <si>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</si>
  <si>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</si>
  <si>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</si>
  <si>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</si>
  <si>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</si>
  <si>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</si>
  <si>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</si>
  <si>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</si>
  <si>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</si>
  <si>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</si>
  <si>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</si>
  <si>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</si>
  <si>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</si>
  <si>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</si>
  <si>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</si>
  <si>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</si>
  <si>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</si>
  <si>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</si>
  <si>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</si>
  <si>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</si>
  <si>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</si>
  <si>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</si>
  <si>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</si>
  <si>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</si>
  <si>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</si>
  <si>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</si>
  <si>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</si>
  <si>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</si>
  <si>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</si>
  <si>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</si>
  <si>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</si>
  <si>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</si>
  <si>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</si>
  <si>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</si>
  <si>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</si>
  <si>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</si>
  <si>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</si>
  <si>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</si>
  <si>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</si>
  <si>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</si>
  <si>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</si>
  <si>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</si>
  <si>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</si>
  <si>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</si>
  <si>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</si>
  <si>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</si>
  <si>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</si>
  <si>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</si>
  <si>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</si>
  <si>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</si>
  <si>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</si>
  <si>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</si>
  <si>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</si>
  <si>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</si>
  <si>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</si>
  <si>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</si>
  <si>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</si>
  <si>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</si>
  <si>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</si>
  <si>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</si>
  <si>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</si>
  <si>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</si>
  <si>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</si>
  <si>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</si>
  <si>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</si>
  <si>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</si>
  <si>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</si>
  <si>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</si>
  <si>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</si>
  <si>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</si>
  <si>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</si>
  <si>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</si>
  <si>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</si>
  <si>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</si>
  <si>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</si>
  <si>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</si>
  <si>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</si>
  <si>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</si>
  <si>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</si>
  <si>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</si>
  <si>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</si>
  <si>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</si>
  <si>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</si>
  <si>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</si>
  <si>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</si>
  <si>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</si>
  <si>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</si>
  <si>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</si>
  <si>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</si>
  <si>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</si>
  <si>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</si>
  <si>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</si>
  <si>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</si>
  <si>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</si>
  <si>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</si>
  <si>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</si>
  <si>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</si>
  <si>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</si>
  <si>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</si>
  <si>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</si>
  <si>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</si>
  <si>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</si>
  <si>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</si>
  <si>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</si>
  <si>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</si>
  <si>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</si>
  <si>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</si>
  <si>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</si>
  <si>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</si>
  <si>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</si>
  <si>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</si>
  <si>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</si>
  <si>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</si>
  <si>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</si>
  <si>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</si>
  <si>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</si>
  <si>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</si>
  <si>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</si>
  <si>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</si>
  <si>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</si>
  <si>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</si>
  <si>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</si>
  <si>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</si>
  <si>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</si>
  <si>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</si>
  <si>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</si>
  <si>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</si>
  <si>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</si>
  <si>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</si>
  <si>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</si>
  <si>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</si>
  <si>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</si>
  <si>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</si>
  <si>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</si>
  <si>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</si>
  <si>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</si>
  <si>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</si>
  <si>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</si>
  <si>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</si>
  <si>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</si>
  <si>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</si>
  <si>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</si>
  <si>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</si>
  <si>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</si>
  <si>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</si>
  <si>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</si>
  <si>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</si>
  <si>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</si>
  <si>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</si>
  <si>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</si>
  <si>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</si>
  <si>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</si>
  <si>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</si>
  <si>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</si>
  <si>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</si>
  <si>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</si>
  <si>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</si>
  <si>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</si>
  <si>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</si>
  <si>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</si>
  <si>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</si>
  <si>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</si>
  <si>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</si>
  <si>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</si>
  <si>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</si>
  <si>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</si>
  <si>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</si>
  <si>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</si>
  <si>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</si>
  <si>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</si>
  <si>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</si>
  <si>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</si>
  <si>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</si>
  <si>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</si>
  <si>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</si>
  <si>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</si>
  <si>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</si>
  <si>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</si>
  <si>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</si>
  <si>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</si>
  <si>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</si>
  <si>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</si>
  <si>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</si>
  <si>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</si>
  <si>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</si>
  <si>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</si>
  <si>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</si>
  <si>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</si>
  <si>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</si>
  <si>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</si>
  <si>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</si>
  <si>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</si>
  <si>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</si>
  <si>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</si>
  <si>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</si>
  <si>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</si>
  <si>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</si>
  <si>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</si>
  <si>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</si>
  <si>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</si>
  <si>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</si>
  <si>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</si>
  <si>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</si>
  <si>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</si>
  <si>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</si>
  <si>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</si>
  <si>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</si>
  <si>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</si>
  <si>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</si>
  <si>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</si>
  <si>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</si>
  <si>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</si>
  <si>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</si>
  <si>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</si>
  <si>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</si>
  <si>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</si>
  <si>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</si>
  <si>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</si>
  <si>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</si>
  <si>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</si>
  <si>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</si>
  <si>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</si>
  <si>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</si>
  <si>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</si>
  <si>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</si>
  <si>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</si>
  <si>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</si>
  <si>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</si>
  <si>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</si>
  <si>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</si>
  <si>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</si>
  <si>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</si>
  <si>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</si>
  <si>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</si>
  <si>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</si>
  <si>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</si>
  <si>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</si>
  <si>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</si>
  <si>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</si>
  <si>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</si>
  <si>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</si>
  <si>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</si>
  <si>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</si>
  <si>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</si>
  <si>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</si>
  <si>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</si>
  <si>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</si>
  <si>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</si>
  <si>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</si>
  <si>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</si>
  <si>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</si>
  <si>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</si>
  <si>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</si>
  <si>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</si>
  <si>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</si>
  <si>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</si>
  <si>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</si>
  <si>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</si>
  <si>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</si>
  <si>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</si>
  <si>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</si>
  <si>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</si>
  <si>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</si>
  <si>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</si>
  <si>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</si>
  <si>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</si>
  <si>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</si>
  <si>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</si>
  <si>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</si>
  <si>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</si>
  <si>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</si>
  <si>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</si>
  <si>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</si>
  <si>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</si>
  <si>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</si>
  <si>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</si>
  <si>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</si>
  <si>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</si>
  <si>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</si>
  <si>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</si>
  <si>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</si>
  <si>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</si>
  <si>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</si>
  <si>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</si>
  <si>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</si>
  <si>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</si>
  <si>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</si>
  <si>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</si>
  <si>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</si>
  <si>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</si>
  <si>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</si>
  <si>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</si>
  <si>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</si>
  <si>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</si>
  <si>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</si>
  <si>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</si>
  <si>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</si>
  <si>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</si>
  <si>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</si>
  <si>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</si>
  <si>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</si>
  <si>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</si>
  <si>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</si>
  <si>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</si>
  <si>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</si>
  <si>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</si>
  <si>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</si>
  <si>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</si>
  <si>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</si>
  <si>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</si>
  <si>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</si>
  <si>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</si>
  <si>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</si>
  <si>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</si>
  <si>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</si>
  <si>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</si>
  <si>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</si>
  <si>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</si>
  <si>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</si>
  <si>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</si>
  <si>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</si>
  <si>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</si>
  <si>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</si>
  <si>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</si>
  <si>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</si>
  <si>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</si>
  <si>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</si>
  <si>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</si>
  <si>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</si>
  <si>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</si>
  <si>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</si>
  <si>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</si>
  <si>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</si>
  <si>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</si>
  <si>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</si>
  <si>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</si>
  <si>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</si>
  <si>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</si>
  <si>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</si>
  <si>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</si>
  <si>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</si>
  <si>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</si>
  <si>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</si>
  <si>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</si>
  <si>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</si>
  <si>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</si>
  <si>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</si>
  <si>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</si>
  <si>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</si>
  <si>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</si>
  <si>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</si>
  <si>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</si>
  <si>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</si>
  <si>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</si>
  <si>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</si>
  <si>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</si>
  <si>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</si>
  <si>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</si>
  <si>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</si>
  <si>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</si>
  <si>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</si>
  <si>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</si>
  <si>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</si>
  <si>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</si>
  <si>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</si>
  <si>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</si>
  <si>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</si>
  <si>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</si>
  <si>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</si>
  <si>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</si>
  <si>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</si>
  <si>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</si>
  <si>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</si>
  <si>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</si>
  <si>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</si>
  <si>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</si>
  <si>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</si>
  <si>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</si>
  <si>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</si>
  <si>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</si>
  <si>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</si>
  <si>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</si>
  <si>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35013</t>
  </si>
  <si>
    <t>OOSTENDE</t>
  </si>
  <si>
    <t>Paarden&amp;pony's 200 - 600 kg</t>
  </si>
  <si>
    <t>Paarden&amp;pony's &lt; 200 kg</t>
  </si>
  <si>
    <t>referentietaak LNE (2017); Jaarverslag De Lijn (2015)</t>
  </si>
  <si>
    <t>op basis van VEA (maart 2018) en Inventaris Hernieuwbare Energiebronnen (juni 2018)</t>
  </si>
  <si>
    <t>VEA (januari 2017)</t>
  </si>
  <si>
    <t>VEA (juni 2018)</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</si>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</sst>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393567.62593269395</c:v>
                </c:pt>
                <c:pt idx="1">
                  <c:v>387591.29731802456</c:v>
                </c:pt>
                <c:pt idx="2">
                  <c:v>4103.6083642000003</c:v>
                </c:pt>
                <c:pt idx="3">
                  <c:v>3259.3952519197533</c:v>
                </c:pt>
                <c:pt idx="4">
                  <c:v>164457.88710497413</c:v>
                </c:pt>
                <c:pt idx="5">
                  <c:v>222818.77491850854</c:v>
                </c:pt>
                <c:pt idx="6">
                  <c:v>11447.581915896177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393567.62593269395</c:v>
                </c:pt>
                <c:pt idx="1">
                  <c:v>387591.29731802456</c:v>
                </c:pt>
                <c:pt idx="2">
                  <c:v>4103.6083642000003</c:v>
                </c:pt>
                <c:pt idx="3">
                  <c:v>3259.3952519197533</c:v>
                </c:pt>
                <c:pt idx="4">
                  <c:v>164457.88710497413</c:v>
                </c:pt>
                <c:pt idx="5">
                  <c:v>222818.77491850854</c:v>
                </c:pt>
                <c:pt idx="6">
                  <c:v>11447.581915896177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78652.057018138818</c:v>
                </c:pt>
                <c:pt idx="2">
                  <c:v>78675.290626762348</c:v>
                </c:pt>
                <c:pt idx="3">
                  <c:v>880.23337456131833</c:v>
                </c:pt>
                <c:pt idx="4">
                  <c:v>819.1090841641178</c:v>
                </c:pt>
                <c:pt idx="5">
                  <c:v>32032.199527802073</c:v>
                </c:pt>
                <c:pt idx="6">
                  <c:v>57060.764178182406</c:v>
                </c:pt>
                <c:pt idx="7">
                  <c:v>2884.6449313511589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78652.057018138818</c:v>
                </c:pt>
                <c:pt idx="2">
                  <c:v>78675.290626762348</c:v>
                </c:pt>
                <c:pt idx="3">
                  <c:v>880.23337456131833</c:v>
                </c:pt>
                <c:pt idx="4">
                  <c:v>819.1090841641178</c:v>
                </c:pt>
                <c:pt idx="5">
                  <c:v>32032.199527802073</c:v>
                </c:pt>
                <c:pt idx="6">
                  <c:v>57060.764178182406</c:v>
                </c:pt>
                <c:pt idx="7">
                  <c:v>2884.6449313511589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35013</v>
      </c>
      <c r="B6" s="415"/>
      <c r="C6" s="416"/>
    </row>
    <row r="7" spans="1:7" s="413" customFormat="1" ht="15.75" customHeight="1">
      <c r="A7" s="417" t="str">
        <f>txtMunicipality</f>
        <v>OOSTENDE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0.21450228590050163</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0.21450228590050163</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36226</v>
      </c>
      <c r="C9" s="342">
        <v>37787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809.56</v>
      </c>
    </row>
    <row r="15" spans="1:6">
      <c r="A15" s="348" t="s">
        <v>184</v>
      </c>
      <c r="B15" s="334">
        <v>5</v>
      </c>
    </row>
    <row r="16" spans="1:6">
      <c r="A16" s="348" t="s">
        <v>6</v>
      </c>
      <c r="B16" s="334">
        <v>209</v>
      </c>
    </row>
    <row r="17" spans="1:6">
      <c r="A17" s="348" t="s">
        <v>7</v>
      </c>
      <c r="B17" s="334">
        <v>327</v>
      </c>
    </row>
    <row r="18" spans="1:6">
      <c r="A18" s="348" t="s">
        <v>8</v>
      </c>
      <c r="B18" s="334">
        <v>391</v>
      </c>
    </row>
    <row r="19" spans="1:6">
      <c r="A19" s="348" t="s">
        <v>9</v>
      </c>
      <c r="B19" s="334">
        <v>322</v>
      </c>
    </row>
    <row r="20" spans="1:6">
      <c r="A20" s="348" t="s">
        <v>10</v>
      </c>
      <c r="B20" s="334">
        <v>159</v>
      </c>
    </row>
    <row r="21" spans="1:6">
      <c r="A21" s="348" t="s">
        <v>11</v>
      </c>
      <c r="B21" s="334">
        <v>327</v>
      </c>
    </row>
    <row r="22" spans="1:6">
      <c r="A22" s="348" t="s">
        <v>12</v>
      </c>
      <c r="B22" s="334">
        <v>1310</v>
      </c>
    </row>
    <row r="23" spans="1:6">
      <c r="A23" s="348" t="s">
        <v>13</v>
      </c>
      <c r="B23" s="334">
        <v>18</v>
      </c>
    </row>
    <row r="24" spans="1:6">
      <c r="A24" s="348" t="s">
        <v>14</v>
      </c>
      <c r="B24" s="334">
        <v>1</v>
      </c>
    </row>
    <row r="25" spans="1:6">
      <c r="A25" s="348" t="s">
        <v>15</v>
      </c>
      <c r="B25" s="334">
        <v>110</v>
      </c>
    </row>
    <row r="26" spans="1:6">
      <c r="A26" s="348" t="s">
        <v>16</v>
      </c>
      <c r="B26" s="334">
        <v>136</v>
      </c>
    </row>
    <row r="27" spans="1:6">
      <c r="A27" s="348" t="s">
        <v>17</v>
      </c>
      <c r="B27" s="334">
        <v>5</v>
      </c>
    </row>
    <row r="28" spans="1:6" s="356" customFormat="1">
      <c r="A28" s="355" t="s">
        <v>18</v>
      </c>
      <c r="B28" s="355">
        <v>20</v>
      </c>
    </row>
    <row r="29" spans="1:6">
      <c r="A29" s="355" t="s">
        <v>884</v>
      </c>
      <c r="B29" s="355">
        <v>62</v>
      </c>
      <c r="C29" s="356"/>
      <c r="D29" s="356"/>
      <c r="E29" s="356"/>
      <c r="F29" s="356"/>
    </row>
    <row r="30" spans="1:6">
      <c r="A30" s="355" t="s">
        <v>885</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6129473.8349000001</v>
      </c>
      <c r="E36" s="334">
        <v>23</v>
      </c>
      <c r="F36" s="334">
        <v>189661.42634000001</v>
      </c>
    </row>
    <row r="37" spans="1:6">
      <c r="A37" s="348" t="s">
        <v>25</v>
      </c>
      <c r="B37" s="348" t="s">
        <v>28</v>
      </c>
      <c r="C37" s="334">
        <v>0</v>
      </c>
      <c r="D37" s="334">
        <v>0</v>
      </c>
      <c r="E37" s="334">
        <v>0</v>
      </c>
      <c r="F37" s="334">
        <v>0</v>
      </c>
    </row>
    <row r="38" spans="1:6">
      <c r="A38" s="348" t="s">
        <v>25</v>
      </c>
      <c r="B38" s="348" t="s">
        <v>29</v>
      </c>
      <c r="C38" s="334">
        <v>5</v>
      </c>
      <c r="D38" s="334">
        <v>369583.11190000002</v>
      </c>
      <c r="E38" s="334">
        <v>4</v>
      </c>
      <c r="F38" s="334">
        <v>45488.978913999999</v>
      </c>
    </row>
    <row r="39" spans="1:6">
      <c r="A39" s="348" t="s">
        <v>30</v>
      </c>
      <c r="B39" s="348" t="s">
        <v>31</v>
      </c>
      <c r="C39" s="334">
        <v>25316</v>
      </c>
      <c r="D39" s="334">
        <v>271894547.38</v>
      </c>
      <c r="E39" s="334">
        <v>42152</v>
      </c>
      <c r="F39" s="334">
        <v>127160292.87</v>
      </c>
    </row>
    <row r="40" spans="1:6">
      <c r="A40" s="348" t="s">
        <v>30</v>
      </c>
      <c r="B40" s="348" t="s">
        <v>29</v>
      </c>
      <c r="C40" s="334">
        <v>0</v>
      </c>
      <c r="D40" s="334">
        <v>0</v>
      </c>
      <c r="E40" s="334">
        <v>0</v>
      </c>
      <c r="F40" s="334">
        <v>14149</v>
      </c>
    </row>
    <row r="41" spans="1:6">
      <c r="A41" s="348" t="s">
        <v>32</v>
      </c>
      <c r="B41" s="348" t="s">
        <v>33</v>
      </c>
      <c r="C41" s="334">
        <v>286</v>
      </c>
      <c r="D41" s="334">
        <v>4079799.3683000002</v>
      </c>
      <c r="E41" s="334">
        <v>603</v>
      </c>
      <c r="F41" s="334">
        <v>8811822.5789999999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8654443.1116000004</v>
      </c>
      <c r="E44" s="334">
        <v>69</v>
      </c>
      <c r="F44" s="334">
        <v>12224557.734999999</v>
      </c>
    </row>
    <row r="45" spans="1:6">
      <c r="A45" s="348" t="s">
        <v>32</v>
      </c>
      <c r="B45" s="348" t="s">
        <v>37</v>
      </c>
      <c r="C45" s="334">
        <v>0</v>
      </c>
      <c r="D45" s="334">
        <v>0</v>
      </c>
      <c r="E45" s="334">
        <v>3</v>
      </c>
      <c r="F45" s="334">
        <v>652773.5392</v>
      </c>
    </row>
    <row r="46" spans="1:6">
      <c r="A46" s="348" t="s">
        <v>32</v>
      </c>
      <c r="B46" s="348" t="s">
        <v>38</v>
      </c>
      <c r="C46" s="334">
        <v>0</v>
      </c>
      <c r="D46" s="334">
        <v>0</v>
      </c>
      <c r="E46" s="334">
        <v>0</v>
      </c>
      <c r="F46" s="334">
        <v>0</v>
      </c>
    </row>
    <row r="47" spans="1:6">
      <c r="A47" s="348" t="s">
        <v>32</v>
      </c>
      <c r="B47" s="348" t="s">
        <v>39</v>
      </c>
      <c r="C47" s="334">
        <v>14</v>
      </c>
      <c r="D47" s="334">
        <v>632724.13924000005</v>
      </c>
      <c r="E47" s="334">
        <v>19</v>
      </c>
      <c r="F47" s="334">
        <v>1532842.129</v>
      </c>
    </row>
    <row r="48" spans="1:6">
      <c r="A48" s="348" t="s">
        <v>32</v>
      </c>
      <c r="B48" s="348" t="s">
        <v>29</v>
      </c>
      <c r="C48" s="334">
        <v>45</v>
      </c>
      <c r="D48" s="334">
        <v>31978065.458000001</v>
      </c>
      <c r="E48" s="334">
        <v>59</v>
      </c>
      <c r="F48" s="334">
        <v>20675713.059999999</v>
      </c>
    </row>
    <row r="49" spans="1:6">
      <c r="A49" s="348" t="s">
        <v>32</v>
      </c>
      <c r="B49" s="348" t="s">
        <v>40</v>
      </c>
      <c r="C49" s="334">
        <v>3</v>
      </c>
      <c r="D49" s="334">
        <v>272451.14922999998</v>
      </c>
      <c r="E49" s="334">
        <v>7</v>
      </c>
      <c r="F49" s="334">
        <v>84180.247812999994</v>
      </c>
    </row>
    <row r="50" spans="1:6">
      <c r="A50" s="348" t="s">
        <v>32</v>
      </c>
      <c r="B50" s="348" t="s">
        <v>41</v>
      </c>
      <c r="C50" s="334">
        <v>51</v>
      </c>
      <c r="D50" s="334">
        <v>17352933.710000001</v>
      </c>
      <c r="E50" s="334">
        <v>74</v>
      </c>
      <c r="F50" s="334">
        <v>19469707.859000001</v>
      </c>
    </row>
    <row r="51" spans="1:6">
      <c r="A51" s="348" t="s">
        <v>42</v>
      </c>
      <c r="B51" s="348" t="s">
        <v>43</v>
      </c>
      <c r="C51" s="334">
        <v>14</v>
      </c>
      <c r="D51" s="334">
        <v>240877.61165000001</v>
      </c>
      <c r="E51" s="334">
        <v>62</v>
      </c>
      <c r="F51" s="334">
        <v>240697.27798000001</v>
      </c>
    </row>
    <row r="52" spans="1:6">
      <c r="A52" s="348" t="s">
        <v>42</v>
      </c>
      <c r="B52" s="348" t="s">
        <v>29</v>
      </c>
      <c r="C52" s="334">
        <v>14</v>
      </c>
      <c r="D52" s="334">
        <v>219242.1802</v>
      </c>
      <c r="E52" s="334">
        <v>15</v>
      </c>
      <c r="F52" s="334">
        <v>348816.23079</v>
      </c>
    </row>
    <row r="53" spans="1:6">
      <c r="A53" s="348" t="s">
        <v>44</v>
      </c>
      <c r="B53" s="348" t="s">
        <v>45</v>
      </c>
      <c r="C53" s="334">
        <v>2138</v>
      </c>
      <c r="D53" s="334">
        <v>33676442.384999998</v>
      </c>
      <c r="E53" s="334">
        <v>5210</v>
      </c>
      <c r="F53" s="334">
        <v>13027747.005999999</v>
      </c>
    </row>
    <row r="54" spans="1:6">
      <c r="A54" s="348" t="s">
        <v>46</v>
      </c>
      <c r="B54" s="348" t="s">
        <v>47</v>
      </c>
      <c r="C54" s="334">
        <v>0</v>
      </c>
      <c r="D54" s="334">
        <v>0</v>
      </c>
      <c r="E54" s="334">
        <v>155</v>
      </c>
      <c r="F54" s="334">
        <v>4103608.3642000002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300</v>
      </c>
      <c r="D57" s="334">
        <v>23472462.372000001</v>
      </c>
      <c r="E57" s="334">
        <v>677</v>
      </c>
      <c r="F57" s="334">
        <v>25812584.576000001</v>
      </c>
    </row>
    <row r="58" spans="1:6">
      <c r="A58" s="348" t="s">
        <v>49</v>
      </c>
      <c r="B58" s="348" t="s">
        <v>51</v>
      </c>
      <c r="C58" s="334">
        <v>201</v>
      </c>
      <c r="D58" s="334">
        <v>24346030.886999998</v>
      </c>
      <c r="E58" s="334">
        <v>323</v>
      </c>
      <c r="F58" s="334">
        <v>15687477.288000001</v>
      </c>
    </row>
    <row r="59" spans="1:6">
      <c r="A59" s="348" t="s">
        <v>49</v>
      </c>
      <c r="B59" s="348" t="s">
        <v>52</v>
      </c>
      <c r="C59" s="334">
        <v>637</v>
      </c>
      <c r="D59" s="334">
        <v>20262755.778999999</v>
      </c>
      <c r="E59" s="334">
        <v>1390</v>
      </c>
      <c r="F59" s="334">
        <v>44188059.710000001</v>
      </c>
    </row>
    <row r="60" spans="1:6">
      <c r="A60" s="348" t="s">
        <v>49</v>
      </c>
      <c r="B60" s="348" t="s">
        <v>53</v>
      </c>
      <c r="C60" s="334">
        <v>484</v>
      </c>
      <c r="D60" s="334">
        <v>31318143.421</v>
      </c>
      <c r="E60" s="334">
        <v>691</v>
      </c>
      <c r="F60" s="334">
        <v>25087133.322999999</v>
      </c>
    </row>
    <row r="61" spans="1:6">
      <c r="A61" s="348" t="s">
        <v>49</v>
      </c>
      <c r="B61" s="348" t="s">
        <v>54</v>
      </c>
      <c r="C61" s="334">
        <v>1034</v>
      </c>
      <c r="D61" s="334">
        <v>65701775.096000001</v>
      </c>
      <c r="E61" s="334">
        <v>3116</v>
      </c>
      <c r="F61" s="334">
        <v>37892217.612000003</v>
      </c>
    </row>
    <row r="62" spans="1:6">
      <c r="A62" s="348" t="s">
        <v>49</v>
      </c>
      <c r="B62" s="348" t="s">
        <v>55</v>
      </c>
      <c r="C62" s="334">
        <v>53</v>
      </c>
      <c r="D62" s="334">
        <v>9481019.2870000005</v>
      </c>
      <c r="E62" s="334">
        <v>70</v>
      </c>
      <c r="F62" s="334">
        <v>3600779.0874999999</v>
      </c>
    </row>
    <row r="63" spans="1:6">
      <c r="A63" s="348" t="s">
        <v>49</v>
      </c>
      <c r="B63" s="348" t="s">
        <v>29</v>
      </c>
      <c r="C63" s="334">
        <v>92</v>
      </c>
      <c r="D63" s="334">
        <v>12256836.012</v>
      </c>
      <c r="E63" s="334">
        <v>81</v>
      </c>
      <c r="F63" s="334">
        <v>2560192.5263999999</v>
      </c>
    </row>
    <row r="64" spans="1:6">
      <c r="A64" s="348" t="s">
        <v>56</v>
      </c>
      <c r="B64" s="348" t="s">
        <v>57</v>
      </c>
      <c r="C64" s="334">
        <v>0</v>
      </c>
      <c r="D64" s="334">
        <v>0</v>
      </c>
      <c r="E64" s="334">
        <v>0</v>
      </c>
      <c r="F64" s="334">
        <v>0</v>
      </c>
    </row>
    <row r="65" spans="1:6">
      <c r="A65" s="348" t="s">
        <v>56</v>
      </c>
      <c r="B65" s="348" t="s">
        <v>29</v>
      </c>
      <c r="C65" s="334">
        <v>4</v>
      </c>
      <c r="D65" s="334">
        <v>80429.703288000004</v>
      </c>
      <c r="E65" s="334">
        <v>4</v>
      </c>
      <c r="F65" s="334">
        <v>163836.02020999999</v>
      </c>
    </row>
    <row r="66" spans="1:6">
      <c r="A66" s="348" t="s">
        <v>56</v>
      </c>
      <c r="B66" s="348" t="s">
        <v>58</v>
      </c>
      <c r="C66" s="334">
        <v>6</v>
      </c>
      <c r="D66" s="334">
        <v>722669.18</v>
      </c>
      <c r="E66" s="334">
        <v>51</v>
      </c>
      <c r="F66" s="334">
        <v>2884421.9482</v>
      </c>
    </row>
    <row r="67" spans="1:6">
      <c r="A67" s="355" t="s">
        <v>56</v>
      </c>
      <c r="B67" s="355" t="s">
        <v>59</v>
      </c>
      <c r="C67" s="334">
        <v>0</v>
      </c>
      <c r="D67" s="334">
        <v>0</v>
      </c>
      <c r="E67" s="334">
        <v>0</v>
      </c>
      <c r="F67" s="334">
        <v>0</v>
      </c>
    </row>
    <row r="68" spans="1:6">
      <c r="A68" s="341" t="s">
        <v>56</v>
      </c>
      <c r="B68" s="341" t="s">
        <v>60</v>
      </c>
      <c r="C68" s="334">
        <v>14</v>
      </c>
      <c r="D68" s="334">
        <v>2420775.6126000001</v>
      </c>
      <c r="E68" s="334">
        <v>61</v>
      </c>
      <c r="F68" s="334">
        <v>6080677.8161000004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137310808</v>
      </c>
      <c r="E73" s="475">
        <v>141125932.84531495</v>
      </c>
    </row>
    <row r="74" spans="1:6">
      <c r="A74" s="348" t="s">
        <v>64</v>
      </c>
      <c r="B74" s="348" t="s">
        <v>667</v>
      </c>
      <c r="C74" s="1294" t="s">
        <v>669</v>
      </c>
      <c r="D74" s="475">
        <v>16573563.319221701</v>
      </c>
      <c r="E74" s="475">
        <v>17008622.394396622</v>
      </c>
    </row>
    <row r="75" spans="1:6">
      <c r="A75" s="348" t="s">
        <v>65</v>
      </c>
      <c r="B75" s="348" t="s">
        <v>666</v>
      </c>
      <c r="C75" s="1294" t="s">
        <v>670</v>
      </c>
      <c r="D75" s="475">
        <v>45499296</v>
      </c>
      <c r="E75" s="475">
        <v>44703077.540165119</v>
      </c>
    </row>
    <row r="76" spans="1:6">
      <c r="A76" s="348" t="s">
        <v>65</v>
      </c>
      <c r="B76" s="348" t="s">
        <v>667</v>
      </c>
      <c r="C76" s="1294" t="s">
        <v>671</v>
      </c>
      <c r="D76" s="475">
        <v>5584945.3192217015</v>
      </c>
      <c r="E76" s="475">
        <v>5647702.2655687891</v>
      </c>
    </row>
    <row r="77" spans="1:6">
      <c r="A77" s="348" t="s">
        <v>66</v>
      </c>
      <c r="B77" s="348" t="s">
        <v>666</v>
      </c>
      <c r="C77" s="1294" t="s">
        <v>672</v>
      </c>
      <c r="D77" s="475">
        <v>45938588</v>
      </c>
      <c r="E77" s="475">
        <v>50407574.562665477</v>
      </c>
    </row>
    <row r="78" spans="1:6">
      <c r="A78" s="341" t="s">
        <v>66</v>
      </c>
      <c r="B78" s="341" t="s">
        <v>667</v>
      </c>
      <c r="C78" s="341" t="s">
        <v>673</v>
      </c>
      <c r="D78" s="1295">
        <v>2084914</v>
      </c>
      <c r="E78" s="1295">
        <v>2188248.0430297619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2592003.3615565971</v>
      </c>
      <c r="C83" s="475">
        <v>2592003.3615565971</v>
      </c>
    </row>
    <row r="84" spans="1:6">
      <c r="A84" s="341" t="s">
        <v>337</v>
      </c>
      <c r="B84" s="1295">
        <v>509799.24737003481</v>
      </c>
      <c r="C84" s="1295">
        <v>509799.24737003481</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5263.1587983045192</v>
      </c>
    </row>
    <row r="92" spans="1:6">
      <c r="A92" s="341" t="s">
        <v>69</v>
      </c>
      <c r="B92" s="342">
        <v>5647.4323806077182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18029</v>
      </c>
    </row>
    <row r="98" spans="1:6">
      <c r="A98" s="348" t="s">
        <v>72</v>
      </c>
      <c r="B98" s="334">
        <v>6</v>
      </c>
    </row>
    <row r="99" spans="1:6">
      <c r="A99" s="348" t="s">
        <v>73</v>
      </c>
      <c r="B99" s="334">
        <v>78</v>
      </c>
    </row>
    <row r="100" spans="1:6">
      <c r="A100" s="348" t="s">
        <v>74</v>
      </c>
      <c r="B100" s="334">
        <v>5998</v>
      </c>
    </row>
    <row r="101" spans="1:6">
      <c r="A101" s="348" t="s">
        <v>75</v>
      </c>
      <c r="B101" s="334">
        <v>100</v>
      </c>
    </row>
    <row r="102" spans="1:6">
      <c r="A102" s="348" t="s">
        <v>76</v>
      </c>
      <c r="B102" s="334">
        <v>847</v>
      </c>
    </row>
    <row r="103" spans="1:6">
      <c r="A103" s="348" t="s">
        <v>77</v>
      </c>
      <c r="B103" s="334">
        <v>301</v>
      </c>
    </row>
    <row r="104" spans="1:6">
      <c r="A104" s="348" t="s">
        <v>78</v>
      </c>
      <c r="B104" s="334">
        <v>6677</v>
      </c>
    </row>
    <row r="105" spans="1:6">
      <c r="A105" s="341" t="s">
        <v>79</v>
      </c>
      <c r="B105" s="341">
        <v>29</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43</v>
      </c>
      <c r="C123" s="334">
        <v>35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6</v>
      </c>
    </row>
    <row r="131" spans="1:6">
      <c r="A131" s="348" t="s">
        <v>296</v>
      </c>
      <c r="B131" s="334">
        <v>13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370514.15704642556</v>
      </c>
      <c r="C3" s="43" t="s">
        <v>170</v>
      </c>
      <c r="D3" s="43"/>
      <c r="E3" s="154"/>
      <c r="F3" s="43"/>
      <c r="G3" s="43"/>
      <c r="H3" s="43"/>
      <c r="I3" s="43"/>
      <c r="J3" s="43"/>
      <c r="K3" s="96"/>
    </row>
    <row r="4" spans="1:11">
      <c r="A4" s="383" t="s">
        <v>171</v>
      </c>
      <c r="B4" s="49">
        <f>IF(ISERROR('SEAP template'!B78+'SEAP template'!C78),0,'SEAP template'!B78+'SEAP template'!C78)</f>
        <v>11135.591178912237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53.470588235294116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0.21450228590050163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76.386554621848759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321.42857142857144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4103.6083642000003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4103.6083642000003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0.21450228590050163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880.23337456131833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127174.44187000001</v>
      </c>
      <c r="C5" s="17">
        <f>IF(ISERROR('Eigen informatie GS &amp; warmtenet'!B57),0,'Eigen informatie GS &amp; warmtenet'!B57)</f>
        <v>0</v>
      </c>
      <c r="D5" s="30">
        <f>(SUM(HH_hh_gas_kWh,HH_rest_gas_kWh)/1000)*0.902</f>
        <v>245248.88173676</v>
      </c>
      <c r="E5" s="17">
        <f>B46*B57</f>
        <v>3099.6247787848306</v>
      </c>
      <c r="F5" s="17">
        <f>B51*B62</f>
        <v>0</v>
      </c>
      <c r="G5" s="18"/>
      <c r="H5" s="17"/>
      <c r="I5" s="17"/>
      <c r="J5" s="17">
        <f>B50*B61+C50*C61</f>
        <v>0</v>
      </c>
      <c r="K5" s="17"/>
      <c r="L5" s="17"/>
      <c r="M5" s="17"/>
      <c r="N5" s="17">
        <f>B48*B59+C48*C59</f>
        <v>11286.075415511292</v>
      </c>
      <c r="O5" s="17">
        <f>B69*B70*B71</f>
        <v>370.51000000000005</v>
      </c>
      <c r="P5" s="17">
        <f>B77*B78*B79/1000-B77*B78*B79/1000/B80</f>
        <v>1124.9333333333334</v>
      </c>
    </row>
    <row r="6" spans="1:16">
      <c r="A6" s="16" t="s">
        <v>624</v>
      </c>
      <c r="B6" s="788">
        <f>kWh_PV_kleiner_dan_10kW</f>
        <v>5263.1587983045192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132437.60066830454</v>
      </c>
      <c r="C8" s="21">
        <f>C5</f>
        <v>0</v>
      </c>
      <c r="D8" s="21">
        <f>D5</f>
        <v>245248.88173676</v>
      </c>
      <c r="E8" s="21">
        <f>E5</f>
        <v>3099.6247787848306</v>
      </c>
      <c r="F8" s="21">
        <f>F5</f>
        <v>0</v>
      </c>
      <c r="G8" s="21"/>
      <c r="H8" s="21"/>
      <c r="I8" s="21"/>
      <c r="J8" s="21">
        <f>J5</f>
        <v>0</v>
      </c>
      <c r="K8" s="21"/>
      <c r="L8" s="21">
        <f>L5</f>
        <v>0</v>
      </c>
      <c r="M8" s="21">
        <f>M5</f>
        <v>0</v>
      </c>
      <c r="N8" s="21">
        <f>N5</f>
        <v>11286.075415511292</v>
      </c>
      <c r="O8" s="21">
        <f>O5</f>
        <v>370.51000000000005</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0.21450228590050163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28408.168082529126</v>
      </c>
      <c r="C12" s="23">
        <f ca="1">C10*C8</f>
        <v>0</v>
      </c>
      <c r="D12" s="23">
        <f>D8*D10</f>
        <v>49540.274110825521</v>
      </c>
      <c r="E12" s="23">
        <f>E10*E8</f>
        <v>703.61482478415655</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18029</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1.2629533678756477</v>
      </c>
      <c r="D20" s="229"/>
      <c r="E20" s="15"/>
    </row>
    <row r="21" spans="1:7">
      <c r="A21" s="171" t="s">
        <v>74</v>
      </c>
      <c r="B21" s="37">
        <f>aantalw2001_elektriciteit</f>
        <v>5998</v>
      </c>
      <c r="C21" s="167">
        <f>IF(ISERROR(B21/SUM($B$20,$B$21,$B$22)*100),0,B21/SUM($B$20,$B$21,$B$22)*100)</f>
        <v>97.117875647668399</v>
      </c>
      <c r="D21" s="229"/>
      <c r="E21" s="15"/>
    </row>
    <row r="22" spans="1:7">
      <c r="A22" s="171" t="s">
        <v>75</v>
      </c>
      <c r="B22" s="37">
        <f>aantalw2001_hout</f>
        <v>100</v>
      </c>
      <c r="C22" s="167">
        <f>IF(ISERROR(B22/SUM($B$20,$B$21,$B$22)*100),0,B22/SUM($B$20,$B$21,$B$22)*100)</f>
        <v>1.6191709844559583</v>
      </c>
      <c r="D22" s="229"/>
      <c r="E22" s="15"/>
    </row>
    <row r="23" spans="1:7">
      <c r="A23" s="171" t="s">
        <v>76</v>
      </c>
      <c r="B23" s="37">
        <f>aantalw2001_niet_gespec</f>
        <v>847</v>
      </c>
      <c r="C23" s="166" t="s">
        <v>111</v>
      </c>
      <c r="D23" s="228"/>
      <c r="E23" s="15"/>
    </row>
    <row r="24" spans="1:7">
      <c r="A24" s="171" t="s">
        <v>77</v>
      </c>
      <c r="B24" s="37">
        <f>aantalw2001_steenkool</f>
        <v>301</v>
      </c>
      <c r="C24" s="166" t="s">
        <v>111</v>
      </c>
      <c r="D24" s="229"/>
      <c r="E24" s="15"/>
    </row>
    <row r="25" spans="1:7">
      <c r="A25" s="171" t="s">
        <v>78</v>
      </c>
      <c r="B25" s="37">
        <f>aantalw2001_stookolie</f>
        <v>6677</v>
      </c>
      <c r="C25" s="166" t="s">
        <v>111</v>
      </c>
      <c r="D25" s="228"/>
      <c r="E25" s="52"/>
    </row>
    <row r="26" spans="1:7">
      <c r="A26" s="171" t="s">
        <v>79</v>
      </c>
      <c r="B26" s="37">
        <f>aantalw2001_WP</f>
        <v>29</v>
      </c>
      <c r="C26" s="166" t="s">
        <v>111</v>
      </c>
      <c r="D26" s="228"/>
      <c r="E26" s="15"/>
    </row>
    <row r="27" spans="1:7" s="15" customFormat="1">
      <c r="A27" s="171"/>
      <c r="B27" s="29"/>
      <c r="C27" s="36"/>
      <c r="D27" s="228"/>
    </row>
    <row r="28" spans="1:7" s="15" customFormat="1">
      <c r="A28" s="230" t="s">
        <v>698</v>
      </c>
      <c r="B28" s="37">
        <f>aantalHuishoudens2011</f>
        <v>36226</v>
      </c>
      <c r="C28" s="36"/>
      <c r="D28" s="228"/>
    </row>
    <row r="29" spans="1:7" s="15" customFormat="1">
      <c r="A29" s="230" t="s">
        <v>699</v>
      </c>
      <c r="B29" s="37">
        <f>SUM(HH_hh_gas_aantal,HH_rest_gas_aantal)</f>
        <v>25316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25316</v>
      </c>
      <c r="C32" s="167">
        <f>IF(ISERROR(B32/SUM($B$32,$B$34,$B$35,$B$36,$B$38,$B$39)*100),0,B32/SUM($B$32,$B$34,$B$35,$B$36,$B$38,$B$39)*100)</f>
        <v>69.997511543672402</v>
      </c>
      <c r="D32" s="233"/>
      <c r="G32" s="15"/>
    </row>
    <row r="33" spans="1:7">
      <c r="A33" s="171" t="s">
        <v>72</v>
      </c>
      <c r="B33" s="34" t="s">
        <v>111</v>
      </c>
      <c r="C33" s="167"/>
      <c r="D33" s="233"/>
      <c r="G33" s="15"/>
    </row>
    <row r="34" spans="1:7">
      <c r="A34" s="171" t="s">
        <v>73</v>
      </c>
      <c r="B34" s="33">
        <f>IF((($B$28-$B$32-$B$39-$B$77-$B$38)*C20/100)&lt;0,0,($B$28-$B$32-$B$39-$B$77-$B$38)*C20/100)</f>
        <v>137.04306994818654</v>
      </c>
      <c r="C34" s="167">
        <f>IF(ISERROR(B34/SUM($B$32,$B$34,$B$35,$B$36,$B$38,$B$39)*100),0,B34/SUM($B$32,$B$34,$B$35,$B$36,$B$38,$B$39)*100)</f>
        <v>0.37891743840569175</v>
      </c>
      <c r="D34" s="233"/>
      <c r="G34" s="15"/>
    </row>
    <row r="35" spans="1:7">
      <c r="A35" s="171" t="s">
        <v>74</v>
      </c>
      <c r="B35" s="33">
        <f>IF((($B$28-$B$32-$B$39-$B$77-$B$38)*C21/100)&lt;0,0,($B$28-$B$32-$B$39-$B$77-$B$38)*C21/100)</f>
        <v>10538.260686528498</v>
      </c>
      <c r="C35" s="167">
        <f>IF(ISERROR(B35/SUM($B$32,$B$34,$B$35,$B$36,$B$38,$B$39)*100),0,B35/SUM($B$32,$B$34,$B$35,$B$36,$B$38,$B$39)*100)</f>
        <v>29.137779430222295</v>
      </c>
      <c r="D35" s="233"/>
      <c r="G35" s="15"/>
    </row>
    <row r="36" spans="1:7">
      <c r="A36" s="171" t="s">
        <v>75</v>
      </c>
      <c r="B36" s="33">
        <f>IF((($B$28-$B$32-$B$39-$B$77-$B$38)*C22/100)&lt;0,0,($B$28-$B$32-$B$39-$B$77-$B$38)*C22/100)</f>
        <v>175.69624352331604</v>
      </c>
      <c r="C36" s="167">
        <f>IF(ISERROR(B36/SUM($B$32,$B$34,$B$35,$B$36,$B$38,$B$39)*100),0,B36/SUM($B$32,$B$34,$B$35,$B$36,$B$38,$B$39)*100)</f>
        <v>0.48579158769960468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25316</v>
      </c>
      <c r="C44" s="34" t="s">
        <v>111</v>
      </c>
      <c r="D44" s="174"/>
    </row>
    <row r="45" spans="1:7">
      <c r="A45" s="171" t="s">
        <v>72</v>
      </c>
      <c r="B45" s="33" t="str">
        <f t="shared" si="0"/>
        <v>-</v>
      </c>
      <c r="C45" s="34" t="s">
        <v>111</v>
      </c>
      <c r="D45" s="174"/>
    </row>
    <row r="46" spans="1:7">
      <c r="A46" s="171" t="s">
        <v>73</v>
      </c>
      <c r="B46" s="33">
        <f t="shared" si="0"/>
        <v>137.04306994818654</v>
      </c>
      <c r="C46" s="34" t="s">
        <v>111</v>
      </c>
      <c r="D46" s="174"/>
    </row>
    <row r="47" spans="1:7">
      <c r="A47" s="171" t="s">
        <v>74</v>
      </c>
      <c r="B47" s="33">
        <f t="shared" si="0"/>
        <v>10538.260686528498</v>
      </c>
      <c r="C47" s="34" t="s">
        <v>111</v>
      </c>
      <c r="D47" s="174"/>
    </row>
    <row r="48" spans="1:7">
      <c r="A48" s="171" t="s">
        <v>75</v>
      </c>
      <c r="B48" s="33">
        <f t="shared" si="0"/>
        <v>175.69624352331604</v>
      </c>
      <c r="C48" s="33">
        <f>B48*10</f>
        <v>1756.9624352331605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154828.44412289999</v>
      </c>
      <c r="C5" s="17">
        <f>IF(ISERROR('Eigen informatie GS &amp; warmtenet'!B58),0,'Eigen informatie GS &amp; warmtenet'!B58)</f>
        <v>0</v>
      </c>
      <c r="D5" s="30">
        <f>SUM(D6:D12)</f>
        <v>168528.79861430801</v>
      </c>
      <c r="E5" s="17">
        <f>SUM(E6:E12)</f>
        <v>2813.1718459988074</v>
      </c>
      <c r="F5" s="17">
        <f>SUM(F6:F12)</f>
        <v>40404.628032801287</v>
      </c>
      <c r="G5" s="18"/>
      <c r="H5" s="17"/>
      <c r="I5" s="17"/>
      <c r="J5" s="17">
        <f>SUM(J6:J12)</f>
        <v>0</v>
      </c>
      <c r="K5" s="17"/>
      <c r="L5" s="17"/>
      <c r="M5" s="17"/>
      <c r="N5" s="17">
        <f>SUM(N6:N12)</f>
        <v>20855.436606778392</v>
      </c>
      <c r="O5" s="17">
        <f>B38*B39*B40</f>
        <v>9.3800000000000008</v>
      </c>
      <c r="P5" s="17">
        <f>B46*B47*B48/1000-B46*B47*B48/1000/B49</f>
        <v>247.86666666666667</v>
      </c>
      <c r="R5" s="32"/>
    </row>
    <row r="6" spans="1:18">
      <c r="A6" s="32" t="s">
        <v>54</v>
      </c>
      <c r="B6" s="37">
        <f>B26</f>
        <v>37892.217612</v>
      </c>
      <c r="C6" s="33"/>
      <c r="D6" s="37">
        <f>IF(ISERROR(TER_kantoor_gas_kWh/1000),0,TER_kantoor_gas_kWh/1000)*0.902</f>
        <v>59263.001136592</v>
      </c>
      <c r="E6" s="33">
        <f>$C$26*'E Balans VL '!I12/100/3.6*1000000</f>
        <v>496.05580498490571</v>
      </c>
      <c r="F6" s="33">
        <f>$C$26*('E Balans VL '!L12+'E Balans VL '!N12)/100/3.6*1000000</f>
        <v>9662.1239275100143</v>
      </c>
      <c r="G6" s="34"/>
      <c r="H6" s="33"/>
      <c r="I6" s="33"/>
      <c r="J6" s="33">
        <f>$C$26*('E Balans VL '!D12+'E Balans VL '!E12)/100/3.6*1000000</f>
        <v>0</v>
      </c>
      <c r="K6" s="33"/>
      <c r="L6" s="33"/>
      <c r="M6" s="33"/>
      <c r="N6" s="33">
        <f>$C$26*'E Balans VL '!Y12/100/3.6*1000000</f>
        <v>38.019817625194776</v>
      </c>
      <c r="O6" s="33"/>
      <c r="P6" s="33"/>
      <c r="R6" s="32"/>
    </row>
    <row r="7" spans="1:18">
      <c r="A7" s="32" t="s">
        <v>53</v>
      </c>
      <c r="B7" s="37">
        <f t="shared" ref="B7:B12" si="0">B27</f>
        <v>25087.133322999998</v>
      </c>
      <c r="C7" s="33"/>
      <c r="D7" s="37">
        <f>IF(ISERROR(TER_horeca_gas_kWh/1000),0,TER_horeca_gas_kWh/1000)*0.902</f>
        <v>28248.965365742002</v>
      </c>
      <c r="E7" s="33">
        <f>$C$27*'E Balans VL '!I9/100/3.6*1000000</f>
        <v>830.23151307840396</v>
      </c>
      <c r="F7" s="33">
        <f>$C$27*('E Balans VL '!L9+'E Balans VL '!N9)/100/3.6*1000000</f>
        <v>10787.371183349165</v>
      </c>
      <c r="G7" s="34"/>
      <c r="H7" s="33"/>
      <c r="I7" s="33"/>
      <c r="J7" s="33">
        <f>$C$27*('E Balans VL '!D9+'E Balans VL '!E9)/100/3.6*1000000</f>
        <v>0</v>
      </c>
      <c r="K7" s="33"/>
      <c r="L7" s="33"/>
      <c r="M7" s="33"/>
      <c r="N7" s="33">
        <f>$C$27*'E Balans VL '!Y9/100/3.6*1000000</f>
        <v>6.0388372960011187</v>
      </c>
      <c r="O7" s="33"/>
      <c r="P7" s="33"/>
      <c r="R7" s="32"/>
    </row>
    <row r="8" spans="1:18">
      <c r="A8" s="6" t="s">
        <v>52</v>
      </c>
      <c r="B8" s="37">
        <f t="shared" si="0"/>
        <v>44188.059710000001</v>
      </c>
      <c r="C8" s="33"/>
      <c r="D8" s="37">
        <f>IF(ISERROR(TER_handel_gas_kWh/1000),0,TER_handel_gas_kWh/1000)*0.902</f>
        <v>18277.005712658</v>
      </c>
      <c r="E8" s="33">
        <f>$C$28*'E Balans VL '!I13/100/3.6*1000000</f>
        <v>1394.6426817930758</v>
      </c>
      <c r="F8" s="33">
        <f>$C$28*('E Balans VL '!L13+'E Balans VL '!N13)/100/3.6*1000000</f>
        <v>8666.0566125535497</v>
      </c>
      <c r="G8" s="34"/>
      <c r="H8" s="33"/>
      <c r="I8" s="33"/>
      <c r="J8" s="33">
        <f>$C$28*('E Balans VL '!D13+'E Balans VL '!E13)/100/3.6*1000000</f>
        <v>0</v>
      </c>
      <c r="K8" s="33"/>
      <c r="L8" s="33"/>
      <c r="M8" s="33"/>
      <c r="N8" s="33">
        <f>$C$28*'E Balans VL '!Y13/100/3.6*1000000</f>
        <v>52.44264786929719</v>
      </c>
      <c r="O8" s="33"/>
      <c r="P8" s="33"/>
      <c r="R8" s="32"/>
    </row>
    <row r="9" spans="1:18">
      <c r="A9" s="32" t="s">
        <v>51</v>
      </c>
      <c r="B9" s="37">
        <f t="shared" si="0"/>
        <v>15687.477288</v>
      </c>
      <c r="C9" s="33"/>
      <c r="D9" s="37">
        <f>IF(ISERROR(TER_gezond_gas_kWh/1000),0,TER_gezond_gas_kWh/1000)*0.902</f>
        <v>21960.119860073999</v>
      </c>
      <c r="E9" s="33">
        <f>$C$29*'E Balans VL '!I10/100/3.6*1000000</f>
        <v>2.0084560198293313</v>
      </c>
      <c r="F9" s="33">
        <f>$C$29*('E Balans VL '!L10+'E Balans VL '!N10)/100/3.6*1000000</f>
        <v>3268.3590415211197</v>
      </c>
      <c r="G9" s="34"/>
      <c r="H9" s="33"/>
      <c r="I9" s="33"/>
      <c r="J9" s="33">
        <f>$C$29*('E Balans VL '!D10+'E Balans VL '!E10)/100/3.6*1000000</f>
        <v>0</v>
      </c>
      <c r="K9" s="33"/>
      <c r="L9" s="33"/>
      <c r="M9" s="33"/>
      <c r="N9" s="33">
        <f>$C$29*'E Balans VL '!Y10/100/3.6*1000000</f>
        <v>184.25683562412917</v>
      </c>
      <c r="O9" s="33"/>
      <c r="P9" s="33"/>
      <c r="R9" s="32"/>
    </row>
    <row r="10" spans="1:18">
      <c r="A10" s="32" t="s">
        <v>50</v>
      </c>
      <c r="B10" s="37">
        <f t="shared" si="0"/>
        <v>25812.584576000001</v>
      </c>
      <c r="C10" s="33"/>
      <c r="D10" s="37">
        <f>IF(ISERROR(TER_ander_gas_kWh/1000),0,TER_ander_gas_kWh/1000)*0.902</f>
        <v>21172.161059544003</v>
      </c>
      <c r="E10" s="33">
        <f>$C$30*'E Balans VL '!I14/100/3.6*1000000</f>
        <v>38.816056970676435</v>
      </c>
      <c r="F10" s="33">
        <f>$C$30*('E Balans VL '!L14+'E Balans VL '!N14)/100/3.6*1000000</f>
        <v>5698.5866161197864</v>
      </c>
      <c r="G10" s="34"/>
      <c r="H10" s="33"/>
      <c r="I10" s="33"/>
      <c r="J10" s="33">
        <f>$C$30*('E Balans VL '!D14+'E Balans VL '!E14)/100/3.6*1000000</f>
        <v>0</v>
      </c>
      <c r="K10" s="33"/>
      <c r="L10" s="33"/>
      <c r="M10" s="33"/>
      <c r="N10" s="33">
        <f>$C$30*'E Balans VL '!Y14/100/3.6*1000000</f>
        <v>20342.053767333968</v>
      </c>
      <c r="O10" s="33"/>
      <c r="P10" s="33"/>
      <c r="R10" s="32"/>
    </row>
    <row r="11" spans="1:18">
      <c r="A11" s="32" t="s">
        <v>55</v>
      </c>
      <c r="B11" s="37">
        <f t="shared" si="0"/>
        <v>3600.7790875000001</v>
      </c>
      <c r="C11" s="33"/>
      <c r="D11" s="37">
        <f>IF(ISERROR(TER_onderwijs_gas_kWh/1000),0,TER_onderwijs_gas_kWh/1000)*0.902</f>
        <v>8551.879396874001</v>
      </c>
      <c r="E11" s="33">
        <f>$C$31*'E Balans VL '!I11/100/3.6*1000000</f>
        <v>6.3412737173320117</v>
      </c>
      <c r="F11" s="33">
        <f>$C$31*('E Balans VL '!L11+'E Balans VL '!N11)/100/3.6*1000000</f>
        <v>1662.544860688575</v>
      </c>
      <c r="G11" s="34"/>
      <c r="H11" s="33"/>
      <c r="I11" s="33"/>
      <c r="J11" s="33">
        <f>$C$31*('E Balans VL '!D11+'E Balans VL '!E11)/100/3.6*1000000</f>
        <v>0</v>
      </c>
      <c r="K11" s="33"/>
      <c r="L11" s="33"/>
      <c r="M11" s="33"/>
      <c r="N11" s="33">
        <f>$C$31*'E Balans VL '!Y11/100/3.6*1000000</f>
        <v>6.7083012343896877</v>
      </c>
      <c r="O11" s="33"/>
      <c r="P11" s="33"/>
      <c r="R11" s="32"/>
    </row>
    <row r="12" spans="1:18">
      <c r="A12" s="32" t="s">
        <v>260</v>
      </c>
      <c r="B12" s="37">
        <f t="shared" si="0"/>
        <v>2560.1925263999997</v>
      </c>
      <c r="C12" s="33"/>
      <c r="D12" s="37">
        <f>IF(ISERROR(TER_rest_gas_kWh/1000),0,TER_rest_gas_kWh/1000)*0.902</f>
        <v>11055.666082824</v>
      </c>
      <c r="E12" s="33">
        <f>$C$32*'E Balans VL '!I8/100/3.6*1000000</f>
        <v>45.076059434583769</v>
      </c>
      <c r="F12" s="33">
        <f>$C$32*('E Balans VL '!L8+'E Balans VL '!N8)/100/3.6*1000000</f>
        <v>659.58579105908143</v>
      </c>
      <c r="G12" s="34"/>
      <c r="H12" s="33"/>
      <c r="I12" s="33"/>
      <c r="J12" s="33">
        <f>$C$32*('E Balans VL '!D8+'E Balans VL '!E8)/100/3.6*1000000</f>
        <v>0</v>
      </c>
      <c r="K12" s="33"/>
      <c r="L12" s="33"/>
      <c r="M12" s="33"/>
      <c r="N12" s="33">
        <f>$C$32*'E Balans VL '!Y8/100/3.6*1000000</f>
        <v>225.91639979541148</v>
      </c>
      <c r="O12" s="33"/>
      <c r="P12" s="33"/>
      <c r="R12" s="32"/>
    </row>
    <row r="13" spans="1:18">
      <c r="A13" s="16" t="s">
        <v>491</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155053.44412289999</v>
      </c>
      <c r="C16" s="21">
        <f t="shared" ca="1" si="1"/>
        <v>321.42857142857144</v>
      </c>
      <c r="D16" s="21">
        <f t="shared" ca="1" si="1"/>
        <v>167885.94147145087</v>
      </c>
      <c r="E16" s="21">
        <f t="shared" si="1"/>
        <v>2813.1718459988074</v>
      </c>
      <c r="F16" s="21">
        <f t="shared" ca="1" si="1"/>
        <v>40404.628032801287</v>
      </c>
      <c r="G16" s="21">
        <f t="shared" si="1"/>
        <v>0</v>
      </c>
      <c r="H16" s="21">
        <f t="shared" si="1"/>
        <v>0</v>
      </c>
      <c r="I16" s="21">
        <f t="shared" si="1"/>
        <v>0</v>
      </c>
      <c r="J16" s="21">
        <f t="shared" si="1"/>
        <v>0</v>
      </c>
      <c r="K16" s="21">
        <f t="shared" si="1"/>
        <v>0</v>
      </c>
      <c r="L16" s="21">
        <f t="shared" ca="1" si="1"/>
        <v>0</v>
      </c>
      <c r="M16" s="21">
        <f t="shared" si="1"/>
        <v>0</v>
      </c>
      <c r="N16" s="21">
        <f t="shared" ca="1" si="1"/>
        <v>20855.436606778392</v>
      </c>
      <c r="O16" s="21">
        <f>O5</f>
        <v>9.3800000000000008</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0.21450228590050163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33259.318201107752</v>
      </c>
      <c r="C20" s="23">
        <f t="shared" ref="C20:P20" ca="1" si="2">C16*C18</f>
        <v>76.386554621848759</v>
      </c>
      <c r="D20" s="23">
        <f t="shared" ca="1" si="2"/>
        <v>33912.960177233079</v>
      </c>
      <c r="E20" s="23">
        <f t="shared" si="2"/>
        <v>638.59000904172933</v>
      </c>
      <c r="F20" s="23">
        <f t="shared" ca="1" si="2"/>
        <v>10788.035684757944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37892.217612</v>
      </c>
      <c r="C26" s="39">
        <f>IF(ISERROR(B26*3.6/1000000/'E Balans VL '!Z12*100),0,B26*3.6/1000000/'E Balans VL '!Z12*100)</f>
        <v>0.81168073856662737</v>
      </c>
      <c r="D26" s="237" t="s">
        <v>660</v>
      </c>
      <c r="F26" s="6"/>
    </row>
    <row r="27" spans="1:18">
      <c r="A27" s="231" t="s">
        <v>53</v>
      </c>
      <c r="B27" s="33">
        <f>IF(ISERROR(TER_horeca_ele_kWh/1000),0,TER_horeca_ele_kWh/1000)</f>
        <v>25087.133322999998</v>
      </c>
      <c r="C27" s="39">
        <f>IF(ISERROR(B27*3.6/1000000/'E Balans VL '!Z9*100),0,B27*3.6/1000000/'E Balans VL '!Z9*100)</f>
        <v>2.0131552471854044</v>
      </c>
      <c r="D27" s="237" t="s">
        <v>660</v>
      </c>
      <c r="F27" s="6"/>
    </row>
    <row r="28" spans="1:18">
      <c r="A28" s="171" t="s">
        <v>52</v>
      </c>
      <c r="B28" s="33">
        <f>IF(ISERROR(TER_handel_ele_kWh/1000),0,TER_handel_ele_kWh/1000)</f>
        <v>44188.059710000001</v>
      </c>
      <c r="C28" s="39">
        <f>IF(ISERROR(B28*3.6/1000000/'E Balans VL '!Z13*100),0,B28*3.6/1000000/'E Balans VL '!Z13*100)</f>
        <v>1.3032943088439064</v>
      </c>
      <c r="D28" s="237" t="s">
        <v>660</v>
      </c>
      <c r="F28" s="6"/>
    </row>
    <row r="29" spans="1:18">
      <c r="A29" s="231" t="s">
        <v>51</v>
      </c>
      <c r="B29" s="33">
        <f>IF(ISERROR(TER_gezond_ele_kWh/1000),0,TER_gezond_ele_kWh/1000)</f>
        <v>15687.477288</v>
      </c>
      <c r="C29" s="39">
        <f>IF(ISERROR(B29*3.6/1000000/'E Balans VL '!Z10*100),0,B29*3.6/1000000/'E Balans VL '!Z10*100)</f>
        <v>1.6750019773200497</v>
      </c>
      <c r="D29" s="237" t="s">
        <v>660</v>
      </c>
      <c r="F29" s="6"/>
    </row>
    <row r="30" spans="1:18">
      <c r="A30" s="231" t="s">
        <v>50</v>
      </c>
      <c r="B30" s="33">
        <f>IF(ISERROR(TER_ander_ele_kWh/1000),0,TER_ander_ele_kWh/1000)</f>
        <v>25812.584576000001</v>
      </c>
      <c r="C30" s="39">
        <f>IF(ISERROR(B30*3.6/1000000/'E Balans VL '!Z14*100),0,B30*3.6/1000000/'E Balans VL '!Z14*100)</f>
        <v>1.9497258749563069</v>
      </c>
      <c r="D30" s="237" t="s">
        <v>660</v>
      </c>
      <c r="F30" s="6"/>
    </row>
    <row r="31" spans="1:18">
      <c r="A31" s="231" t="s">
        <v>55</v>
      </c>
      <c r="B31" s="33">
        <f>IF(ISERROR(TER_onderwijs_ele_kWh/1000),0,TER_onderwijs_ele_kWh/1000)</f>
        <v>3600.7790875000001</v>
      </c>
      <c r="C31" s="39">
        <f>IF(ISERROR(B31*3.6/1000000/'E Balans VL '!Z11*100),0,B31*3.6/1000000/'E Balans VL '!Z11*100)</f>
        <v>0.72711750105840134</v>
      </c>
      <c r="D31" s="237" t="s">
        <v>660</v>
      </c>
    </row>
    <row r="32" spans="1:18">
      <c r="A32" s="231" t="s">
        <v>260</v>
      </c>
      <c r="B32" s="33">
        <f>IF(ISERROR(TER_rest_ele_kWh/1000),0,TER_rest_ele_kWh/1000)</f>
        <v>2560.1925263999997</v>
      </c>
      <c r="C32" s="39">
        <f>IF(ISERROR(B32*3.6/1000000/'E Balans VL '!Z8*100),0,B32*3.6/1000000/'E Balans VL '!Z8*100)</f>
        <v>2.1227561086230362E-2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63451.597149012989</v>
      </c>
      <c r="C5" s="17">
        <f>IF(ISERROR('Eigen informatie GS &amp; warmtenet'!B59),0,'Eigen informatie GS &amp; warmtenet'!B59)</f>
        <v>0</v>
      </c>
      <c r="D5" s="30">
        <f>SUM(D6:D15)</f>
        <v>56799.316076605741</v>
      </c>
      <c r="E5" s="17">
        <f>SUM(E6:E15)</f>
        <v>4326.2065389856198</v>
      </c>
      <c r="F5" s="17">
        <f>SUM(F6:F15)</f>
        <v>21985.930597985269</v>
      </c>
      <c r="G5" s="18"/>
      <c r="H5" s="17"/>
      <c r="I5" s="17"/>
      <c r="J5" s="17">
        <f>SUM(J6:J15)</f>
        <v>270.99631021150196</v>
      </c>
      <c r="K5" s="17"/>
      <c r="L5" s="17"/>
      <c r="M5" s="17"/>
      <c r="N5" s="17">
        <f>SUM(N6:N15)</f>
        <v>17623.840432172983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12224.557734999999</v>
      </c>
      <c r="C8" s="33"/>
      <c r="D8" s="37">
        <f>IF( ISERROR(IND_metaal_Gas_kWH/1000),0,IND_metaal_Gas_kWH/1000)*0.902</f>
        <v>7806.3076866632</v>
      </c>
      <c r="E8" s="33">
        <f>C30*'E Balans VL '!I18/100/3.6*1000000</f>
        <v>439.87656909937033</v>
      </c>
      <c r="F8" s="33">
        <f>C30*'E Balans VL '!L18/100/3.6*1000000+C30*'E Balans VL '!N18/100/3.6*1000000</f>
        <v>5338.0680853481772</v>
      </c>
      <c r="G8" s="34"/>
      <c r="H8" s="33"/>
      <c r="I8" s="33"/>
      <c r="J8" s="40">
        <f>C30*'E Balans VL '!D18/100/3.6*1000000+C30*'E Balans VL '!E18/100/3.6*1000000</f>
        <v>0</v>
      </c>
      <c r="K8" s="33"/>
      <c r="L8" s="33"/>
      <c r="M8" s="33"/>
      <c r="N8" s="33">
        <f>C30*'E Balans VL '!Y18/100/3.6*1000000</f>
        <v>612.68652621096305</v>
      </c>
      <c r="O8" s="33"/>
      <c r="P8" s="33"/>
      <c r="R8" s="32"/>
    </row>
    <row r="9" spans="1:18">
      <c r="A9" s="6" t="s">
        <v>33</v>
      </c>
      <c r="B9" s="37">
        <f t="shared" si="0"/>
        <v>8811.8225789999997</v>
      </c>
      <c r="C9" s="33"/>
      <c r="D9" s="37">
        <f>IF( ISERROR(IND_andere_gas_kWh/1000),0,IND_andere_gas_kWh/1000)*0.902</f>
        <v>3679.9790302066003</v>
      </c>
      <c r="E9" s="33">
        <f>C31*'E Balans VL '!I19/100/3.6*1000000</f>
        <v>2248.5777490907176</v>
      </c>
      <c r="F9" s="33">
        <f>C31*'E Balans VL '!L19/100/3.6*1000000+C31*'E Balans VL '!N19/100/3.6*1000000</f>
        <v>7586.3169181850808</v>
      </c>
      <c r="G9" s="34"/>
      <c r="H9" s="33"/>
      <c r="I9" s="33"/>
      <c r="J9" s="40">
        <f>C31*'E Balans VL '!D19/100/3.6*1000000+C31*'E Balans VL '!E19/100/3.6*1000000</f>
        <v>0</v>
      </c>
      <c r="K9" s="33"/>
      <c r="L9" s="33"/>
      <c r="M9" s="33"/>
      <c r="N9" s="33">
        <f>C31*'E Balans VL '!Y19/100/3.6*1000000</f>
        <v>2755.7586938597847</v>
      </c>
      <c r="O9" s="33"/>
      <c r="P9" s="33"/>
      <c r="R9" s="32"/>
    </row>
    <row r="10" spans="1:18">
      <c r="A10" s="6" t="s">
        <v>41</v>
      </c>
      <c r="B10" s="37">
        <f t="shared" si="0"/>
        <v>19469.707859000002</v>
      </c>
      <c r="C10" s="33"/>
      <c r="D10" s="37">
        <f>IF( ISERROR(IND_voed_gas_kWh/1000),0,IND_voed_gas_kWh/1000)*0.902</f>
        <v>15652.346206420001</v>
      </c>
      <c r="E10" s="33">
        <f>C32*'E Balans VL '!I20/100/3.6*1000000</f>
        <v>494.94670787548472</v>
      </c>
      <c r="F10" s="33">
        <f>C32*'E Balans VL '!L20/100/3.6*1000000+C32*'E Balans VL '!N20/100/3.6*1000000</f>
        <v>4405.702622971743</v>
      </c>
      <c r="G10" s="34"/>
      <c r="H10" s="33"/>
      <c r="I10" s="33"/>
      <c r="J10" s="40">
        <f>C32*'E Balans VL '!D20/100/3.6*1000000+C32*'E Balans VL '!E20/100/3.6*1000000</f>
        <v>0</v>
      </c>
      <c r="K10" s="33"/>
      <c r="L10" s="33"/>
      <c r="M10" s="33"/>
      <c r="N10" s="33">
        <f>C32*'E Balans VL '!Y20/100/3.6*1000000</f>
        <v>7301.6681943147478</v>
      </c>
      <c r="O10" s="33"/>
      <c r="P10" s="33"/>
      <c r="R10" s="32"/>
    </row>
    <row r="11" spans="1:18">
      <c r="A11" s="6" t="s">
        <v>40</v>
      </c>
      <c r="B11" s="37">
        <f t="shared" si="0"/>
        <v>84.180247812999994</v>
      </c>
      <c r="C11" s="33"/>
      <c r="D11" s="37">
        <f>IF( ISERROR(IND_textiel_gas_kWh/1000),0,IND_textiel_gas_kWh/1000)*0.902</f>
        <v>245.75093660546</v>
      </c>
      <c r="E11" s="33">
        <f>C33*'E Balans VL '!I21/100/3.6*1000000</f>
        <v>0.23109741823885618</v>
      </c>
      <c r="F11" s="33">
        <f>C33*'E Balans VL '!L21/100/3.6*1000000+C33*'E Balans VL '!N21/100/3.6*1000000</f>
        <v>4.4628859147475275</v>
      </c>
      <c r="G11" s="34"/>
      <c r="H11" s="33"/>
      <c r="I11" s="33"/>
      <c r="J11" s="40">
        <f>C33*'E Balans VL '!D21/100/3.6*1000000+C33*'E Balans VL '!E21/100/3.6*1000000</f>
        <v>0</v>
      </c>
      <c r="K11" s="33"/>
      <c r="L11" s="33"/>
      <c r="M11" s="33"/>
      <c r="N11" s="33">
        <f>C33*'E Balans VL '!Y21/100/3.6*1000000</f>
        <v>0.16918836773732654</v>
      </c>
      <c r="O11" s="33"/>
      <c r="P11" s="33"/>
      <c r="R11" s="32"/>
    </row>
    <row r="12" spans="1:18">
      <c r="A12" s="6" t="s">
        <v>37</v>
      </c>
      <c r="B12" s="37">
        <f t="shared" si="0"/>
        <v>652.77353919999996</v>
      </c>
      <c r="C12" s="33"/>
      <c r="D12" s="37">
        <f>IF( ISERROR(IND_min_gas_kWh/1000),0,IND_min_gas_kWh/1000)*0.902</f>
        <v>0</v>
      </c>
      <c r="E12" s="33">
        <f>C34*'E Balans VL '!I22/100/3.6*1000000</f>
        <v>13.869801712454707</v>
      </c>
      <c r="F12" s="33">
        <f>C34*'E Balans VL '!L22/100/3.6*1000000+C34*'E Balans VL '!N22/100/3.6*1000000</f>
        <v>106.50556592095467</v>
      </c>
      <c r="G12" s="34"/>
      <c r="H12" s="33"/>
      <c r="I12" s="33"/>
      <c r="J12" s="40">
        <f>C34*'E Balans VL '!D22/100/3.6*1000000+C34*'E Balans VL '!E22/100/3.6*1000000</f>
        <v>0.76054209032886555</v>
      </c>
      <c r="K12" s="33"/>
      <c r="L12" s="33"/>
      <c r="M12" s="33"/>
      <c r="N12" s="33">
        <f>C34*'E Balans VL '!Y22/100/3.6*1000000</f>
        <v>0</v>
      </c>
      <c r="O12" s="33"/>
      <c r="P12" s="33"/>
      <c r="R12" s="32"/>
    </row>
    <row r="13" spans="1:18">
      <c r="A13" s="6" t="s">
        <v>39</v>
      </c>
      <c r="B13" s="37">
        <f t="shared" si="0"/>
        <v>1532.8421289999999</v>
      </c>
      <c r="C13" s="33"/>
      <c r="D13" s="37">
        <f>IF( ISERROR(IND_papier_gas_kWh/1000),0,IND_papier_gas_kWh/1000)*0.902</f>
        <v>570.71717359447996</v>
      </c>
      <c r="E13" s="33">
        <f>C35*'E Balans VL '!I23/100/3.6*1000000</f>
        <v>6.5739139602462657</v>
      </c>
      <c r="F13" s="33">
        <f>C35*'E Balans VL '!L23/100/3.6*1000000+C35*'E Balans VL '!N23/100/3.6*1000000</f>
        <v>38.525080340866907</v>
      </c>
      <c r="G13" s="34"/>
      <c r="H13" s="33"/>
      <c r="I13" s="33"/>
      <c r="J13" s="40">
        <f>C35*'E Balans VL '!D23/100/3.6*1000000+C35*'E Balans VL '!E23/100/3.6*1000000</f>
        <v>102.61537324331449</v>
      </c>
      <c r="K13" s="33"/>
      <c r="L13" s="33"/>
      <c r="M13" s="33"/>
      <c r="N13" s="33">
        <f>C35*'E Balans VL '!Y23/100/3.6*1000000</f>
        <v>2790.1371985457204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20675.713059999998</v>
      </c>
      <c r="C15" s="33"/>
      <c r="D15" s="37">
        <f>IF( ISERROR(IND_rest_gas_kWh/1000),0,IND_rest_gas_kWh/1000)*0.902</f>
        <v>28844.215043116001</v>
      </c>
      <c r="E15" s="33">
        <f>C37*'E Balans VL '!I15/100/3.6*1000000</f>
        <v>1122.130699829107</v>
      </c>
      <c r="F15" s="33">
        <f>C37*'E Balans VL '!L15/100/3.6*1000000+C37*'E Balans VL '!N15/100/3.6*1000000</f>
        <v>4506.3494393036972</v>
      </c>
      <c r="G15" s="34"/>
      <c r="H15" s="33"/>
      <c r="I15" s="33"/>
      <c r="J15" s="40">
        <f>C37*'E Balans VL '!D15/100/3.6*1000000+C37*'E Balans VL '!E15/100/3.6*1000000</f>
        <v>167.62039487785859</v>
      </c>
      <c r="K15" s="33"/>
      <c r="L15" s="33"/>
      <c r="M15" s="33"/>
      <c r="N15" s="33">
        <f>C37*'E Balans VL '!Y15/100/3.6*1000000</f>
        <v>4163.4206308740277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63451.597149012989</v>
      </c>
      <c r="C18" s="21">
        <f>C5+C16</f>
        <v>0</v>
      </c>
      <c r="D18" s="21">
        <f>MAX((D5+D16),0)</f>
        <v>56799.316076605741</v>
      </c>
      <c r="E18" s="21">
        <f>MAX((E5+E16),0)</f>
        <v>4326.2065389856198</v>
      </c>
      <c r="F18" s="21">
        <f>MAX((F5+F16),0)</f>
        <v>21985.930597985269</v>
      </c>
      <c r="G18" s="21"/>
      <c r="H18" s="21"/>
      <c r="I18" s="21"/>
      <c r="J18" s="21">
        <f>MAX((J5+J16),0)</f>
        <v>270.99631021150196</v>
      </c>
      <c r="K18" s="21"/>
      <c r="L18" s="21">
        <f>MAX((L5+L16),0)</f>
        <v>0</v>
      </c>
      <c r="M18" s="21"/>
      <c r="N18" s="21">
        <f>MAX((N5+N16),0)</f>
        <v>17623.840432172983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0.21450228590050163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13610.512632501039</v>
      </c>
      <c r="C22" s="23">
        <f ca="1">C18*C20</f>
        <v>0</v>
      </c>
      <c r="D22" s="23">
        <f>D18*D20</f>
        <v>11473.46184747436</v>
      </c>
      <c r="E22" s="23">
        <f>E18*E20</f>
        <v>982.04888434973577</v>
      </c>
      <c r="F22" s="23">
        <f>F18*F20</f>
        <v>5870.2434696620667</v>
      </c>
      <c r="G22" s="23"/>
      <c r="H22" s="23"/>
      <c r="I22" s="23"/>
      <c r="J22" s="23">
        <f>J18*J20</f>
        <v>95.932693814871683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12224.557734999999</v>
      </c>
      <c r="C30" s="39">
        <f>IF(ISERROR(B30*3.6/1000000/'E Balans VL '!Z18*100),0,B30*3.6/1000000/'E Balans VL '!Z18*100)</f>
        <v>2.590121696436122</v>
      </c>
      <c r="D30" s="237" t="s">
        <v>660</v>
      </c>
    </row>
    <row r="31" spans="1:18">
      <c r="A31" s="6" t="s">
        <v>33</v>
      </c>
      <c r="B31" s="37">
        <f>IF( ISERROR(IND_ander_ele_kWh/1000),0,IND_ander_ele_kWh/1000)</f>
        <v>8811.8225789999997</v>
      </c>
      <c r="C31" s="39">
        <f>IF(ISERROR(B31*3.6/1000000/'E Balans VL '!Z19*100),0,B31*3.6/1000000/'E Balans VL '!Z19*100)</f>
        <v>0.37090962104842651</v>
      </c>
      <c r="D31" s="237" t="s">
        <v>660</v>
      </c>
    </row>
    <row r="32" spans="1:18">
      <c r="A32" s="171" t="s">
        <v>41</v>
      </c>
      <c r="B32" s="37">
        <f>IF( ISERROR(IND_voed_ele_kWh/1000),0,IND_voed_ele_kWh/1000)</f>
        <v>19469.707859000002</v>
      </c>
      <c r="C32" s="39">
        <f>IF(ISERROR(B32*3.6/1000000/'E Balans VL '!Z20*100),0,B32*3.6/1000000/'E Balans VL '!Z20*100)</f>
        <v>3.2526349824399334</v>
      </c>
      <c r="D32" s="237" t="s">
        <v>660</v>
      </c>
    </row>
    <row r="33" spans="1:5">
      <c r="A33" s="171" t="s">
        <v>40</v>
      </c>
      <c r="B33" s="37">
        <f>IF( ISERROR(IND_textiel_ele_kWh/1000),0,IND_textiel_ele_kWh/1000)</f>
        <v>84.180247812999994</v>
      </c>
      <c r="C33" s="39">
        <f>IF(ISERROR(B33*3.6/1000000/'E Balans VL '!Z21*100),0,B33*3.6/1000000/'E Balans VL '!Z21*100)</f>
        <v>4.9146947781358473E-3</v>
      </c>
      <c r="D33" s="237" t="s">
        <v>660</v>
      </c>
    </row>
    <row r="34" spans="1:5">
      <c r="A34" s="171" t="s">
        <v>37</v>
      </c>
      <c r="B34" s="37">
        <f>IF( ISERROR(IND_min_ele_kWh/1000),0,IND_min_ele_kWh/1000)</f>
        <v>652.77353919999996</v>
      </c>
      <c r="C34" s="39">
        <f>IF(ISERROR(B34*3.6/1000000/'E Balans VL '!Z22*100),0,B34*3.6/1000000/'E Balans VL '!Z22*100)</f>
        <v>8.2742566490899533E-2</v>
      </c>
      <c r="D34" s="237" t="s">
        <v>660</v>
      </c>
    </row>
    <row r="35" spans="1:5">
      <c r="A35" s="171" t="s">
        <v>39</v>
      </c>
      <c r="B35" s="37">
        <f>IF( ISERROR(IND_papier_ele_kWh/1000),0,IND_papier_ele_kWh/1000)</f>
        <v>1532.8421289999999</v>
      </c>
      <c r="C35" s="39">
        <f>IF(ISERROR(B35*3.6/1000000/'E Balans VL '!Z22*100),0,B35*3.6/1000000/'E Balans VL '!Z22*100)</f>
        <v>0.1942960064439366</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20675.713059999998</v>
      </c>
      <c r="C37" s="39">
        <f>IF(ISERROR(B37*3.6/1000000/'E Balans VL '!Z15*100),0,B37*3.6/1000000/'E Balans VL '!Z15*100)</f>
        <v>0.16692303753642193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589.51350876999993</v>
      </c>
      <c r="C5" s="17">
        <f>'Eigen informatie GS &amp; warmtenet'!B60</f>
        <v>0</v>
      </c>
      <c r="D5" s="30">
        <f>IF(ISERROR(SUM(LB_lb_gas_kWh,LB_rest_gas_kWh)/1000),0,SUM(LB_lb_gas_kWh,LB_rest_gas_kWh)/1000)*0.902</f>
        <v>415.02805224870002</v>
      </c>
      <c r="E5" s="17">
        <f>B17*'E Balans VL '!I25/3.6*1000000/100</f>
        <v>15.201289920995174</v>
      </c>
      <c r="F5" s="17">
        <f>B17*('E Balans VL '!L25/3.6*1000000+'E Balans VL '!N25/3.6*1000000)/100</f>
        <v>2154.7841419484657</v>
      </c>
      <c r="G5" s="18"/>
      <c r="H5" s="17"/>
      <c r="I5" s="17"/>
      <c r="J5" s="17">
        <f>('E Balans VL '!D25+'E Balans VL '!E25)/3.6*1000000*landbouw!B17/100</f>
        <v>84.868259031592316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589.51350876999993</v>
      </c>
      <c r="C8" s="21">
        <f>C5+C6</f>
        <v>0</v>
      </c>
      <c r="D8" s="21">
        <f>MAX((D5+D6),0)</f>
        <v>415.02805224870002</v>
      </c>
      <c r="E8" s="21">
        <f>MAX((E5+E6),0)</f>
        <v>15.201289920995174</v>
      </c>
      <c r="F8" s="21">
        <f>MAX((F5+F6),0)</f>
        <v>2154.7841419484657</v>
      </c>
      <c r="G8" s="21"/>
      <c r="H8" s="21"/>
      <c r="I8" s="21"/>
      <c r="J8" s="21">
        <f>MAX((J5+J6),0)</f>
        <v>84.868259031592316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0.21450228590050163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126.4519952003904</v>
      </c>
      <c r="C12" s="23">
        <f ca="1">C8*C10</f>
        <v>0</v>
      </c>
      <c r="D12" s="23">
        <f>D8*D10</f>
        <v>83.835666554237406</v>
      </c>
      <c r="E12" s="23">
        <f>E8*E10</f>
        <v>3.4506928120659048</v>
      </c>
      <c r="F12" s="23">
        <f>F8*F10</f>
        <v>575.32736590024035</v>
      </c>
      <c r="G12" s="23"/>
      <c r="H12" s="23"/>
      <c r="I12" s="23"/>
      <c r="J12" s="23">
        <f>J8*J10</f>
        <v>30.043363697183679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8.3125309586494125E-2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102.39160805506718</v>
      </c>
      <c r="C26" s="247">
        <f>B26*'GWP N2O_CH4'!B5</f>
        <v>2150.223769156411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19.79021806757947</v>
      </c>
      <c r="C27" s="247">
        <f>B27*'GWP N2O_CH4'!B5</f>
        <v>415.59457941916889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1.3345791663714084</v>
      </c>
      <c r="C28" s="247">
        <f>B28*'GWP N2O_CH4'!B4</f>
        <v>413.71954157513659</v>
      </c>
      <c r="D28" s="50"/>
    </row>
    <row r="29" spans="1:4">
      <c r="A29" s="41" t="s">
        <v>277</v>
      </c>
      <c r="B29" s="247">
        <f>B34*'ha_N2O bodem landbouw'!B4</f>
        <v>5.3407325833826986</v>
      </c>
      <c r="C29" s="247">
        <f>B29*'GWP N2O_CH4'!B4</f>
        <v>1655.6271008486365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1.2019550551121245E-3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1.9297396893156301E-4</v>
      </c>
      <c r="C5" s="463" t="s">
        <v>211</v>
      </c>
      <c r="D5" s="448">
        <f>SUM(D6:D11)</f>
        <v>4.4582513920463258E-4</v>
      </c>
      <c r="E5" s="448">
        <f>SUM(E6:E11)</f>
        <v>1.7925919078664236E-3</v>
      </c>
      <c r="F5" s="461" t="s">
        <v>211</v>
      </c>
      <c r="G5" s="448">
        <f>SUM(G6:G11)</f>
        <v>0.65488995927669946</v>
      </c>
      <c r="H5" s="448">
        <f>SUM(H6:H11)</f>
        <v>0.12058137958199906</v>
      </c>
      <c r="I5" s="463" t="s">
        <v>211</v>
      </c>
      <c r="J5" s="463" t="s">
        <v>211</v>
      </c>
      <c r="K5" s="463" t="s">
        <v>211</v>
      </c>
      <c r="L5" s="463" t="s">
        <v>211</v>
      </c>
      <c r="M5" s="448">
        <f>SUM(M6:M11)</f>
        <v>2.4244859831929654E-2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1.1583634146839106E-4</v>
      </c>
      <c r="C6" s="449"/>
      <c r="D6" s="892">
        <f>vkm_2011_GW_PW*SUMIFS(TableVerdeelsleutelVkm[CNG],TableVerdeelsleutelVkm[Voertuigtype],"Lichte voertuigen")*SUMIFS(TableECFTransport[EnergieConsumptieFactor (PJ per km)],TableECFTransport[Index],CONCATENATE($A6,"_CNG_CNG"))</f>
        <v>2.3016883954896024E-4</v>
      </c>
      <c r="E6" s="892">
        <f>vkm_2011_GW_PW*SUMIFS(TableVerdeelsleutelVkm[LPG],TableVerdeelsleutelVkm[Voertuigtype],"Lichte voertuigen")*SUMIFS(TableECFTransport[EnergieConsumptieFactor (PJ per km)],TableECFTransport[Index],CONCATENATE($A6,"_LPG_LPG"))</f>
        <v>9.0579689296886796E-4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0.21536742144428878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6.2313629342355778E-2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8.6527979569432072E-3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0.15881116006325793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5.1302788082153637E-5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5.0038966604382543E-3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3.8383518856195206E-5</v>
      </c>
      <c r="C8" s="449"/>
      <c r="D8" s="451">
        <f>vkm_2011_NGW_PW*SUMIFS(TableVerdeelsleutelVkm[CNG],TableVerdeelsleutelVkm[Voertuigtype],"Lichte voertuigen")*SUMIFS(TableECFTransport[EnergieConsumptieFactor (PJ per km)],TableECFTransport[Index],CONCATENATE($A8,"_CNG_CNG"))</f>
        <v>1.3504408866796697E-4</v>
      </c>
      <c r="E8" s="451">
        <f>vkm_2011_NGW_PW*SUMIFS(TableVerdeelsleutelVkm[LPG],TableVerdeelsleutelVkm[Voertuigtype],"Lichte voertuigen")*SUMIFS(TableECFTransport[EnergieConsumptieFactor (PJ per km)],TableECFTransport[Index],CONCATENATE($A8,"_LPG_LPG"))</f>
        <v>4.9149449324308145E-4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0.10912559391319364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3.5451050770643179E-2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4.5006145337477543E-3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6.8308029677236273E-2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2.0868682257375707E-5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2.1522455748920256E-3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3.8754108606976746E-5</v>
      </c>
      <c r="C10" s="449"/>
      <c r="D10" s="451">
        <f>vkm_2011_SW_PW*SUMIFS(TableVerdeelsleutelVkm[CNG],TableVerdeelsleutelVkm[Voertuigtype],"Lichte voertuigen")*SUMIFS(TableECFTransport[EnergieConsumptieFactor (PJ per km)],TableECFTransport[Index],CONCATENATE($A10,"_CNG_CNG"))</f>
        <v>8.0612210987705368E-5</v>
      </c>
      <c r="E10" s="451">
        <f>vkm_2011_SW_PW*SUMIFS(TableVerdeelsleutelVkm[LPG],TableVerdeelsleutelVkm[Voertuigtype],"Lichte voertuigen")*SUMIFS(TableECFTransport[EnergieConsumptieFactor (PJ per km)],TableECFTransport[Index],CONCATENATE($A10,"_LPG_LPG"))</f>
        <v>3.953005216544743E-4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8.4194472420548852E-2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2.2737885900428155E-2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3.3340057783216317E-3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1.9083281758173948E-2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6.6420982324400614E-6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6.0129932758678107E-4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53.603880258767497</v>
      </c>
      <c r="C14" s="21"/>
      <c r="D14" s="21">
        <f t="shared" ref="D14:M14" si="0">((D5)*10^9/3600)+D12</f>
        <v>123.84031644573128</v>
      </c>
      <c r="E14" s="21">
        <f t="shared" si="0"/>
        <v>497.94219662956209</v>
      </c>
      <c r="F14" s="21"/>
      <c r="G14" s="21">
        <f t="shared" si="0"/>
        <v>181913.87757686095</v>
      </c>
      <c r="H14" s="21">
        <f t="shared" si="0"/>
        <v>33494.827661666408</v>
      </c>
      <c r="I14" s="21"/>
      <c r="J14" s="21"/>
      <c r="K14" s="21"/>
      <c r="L14" s="21"/>
      <c r="M14" s="21">
        <f t="shared" si="0"/>
        <v>6734.6832866471259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0.21450228590050163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11.4981548486424</v>
      </c>
      <c r="C18" s="23"/>
      <c r="D18" s="23">
        <f t="shared" ref="D18:M18" si="1">D14*D16</f>
        <v>25.015743922037718</v>
      </c>
      <c r="E18" s="23">
        <f t="shared" si="1"/>
        <v>113.0328786349106</v>
      </c>
      <c r="F18" s="23"/>
      <c r="G18" s="23">
        <f t="shared" si="1"/>
        <v>48571.005313021873</v>
      </c>
      <c r="H18" s="23">
        <f t="shared" si="1"/>
        <v>8340.2120877549351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6.4693524491257412E-3</v>
      </c>
      <c r="C50" s="321">
        <f t="shared" ref="C50:P50" si="2">SUM(C51:C52)</f>
        <v>0</v>
      </c>
      <c r="D50" s="321">
        <f t="shared" si="2"/>
        <v>0</v>
      </c>
      <c r="E50" s="321">
        <f t="shared" si="2"/>
        <v>0</v>
      </c>
      <c r="F50" s="321">
        <f t="shared" si="2"/>
        <v>0</v>
      </c>
      <c r="G50" s="321">
        <f t="shared" si="2"/>
        <v>3.3696744809852776E-2</v>
      </c>
      <c r="H50" s="321">
        <f t="shared" si="2"/>
        <v>0</v>
      </c>
      <c r="I50" s="321">
        <f t="shared" si="2"/>
        <v>0</v>
      </c>
      <c r="J50" s="321">
        <f t="shared" si="2"/>
        <v>0</v>
      </c>
      <c r="K50" s="321">
        <f t="shared" si="2"/>
        <v>0</v>
      </c>
      <c r="L50" s="321">
        <f t="shared" si="2"/>
        <v>0</v>
      </c>
      <c r="M50" s="321">
        <f t="shared" si="2"/>
        <v>1.0451976382477161E-3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3.3696744809852776E-2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1.0451976382477161E-3</v>
      </c>
      <c r="N51" s="323"/>
      <c r="O51" s="323"/>
      <c r="P51" s="326"/>
    </row>
    <row r="52" spans="1:18">
      <c r="A52" s="4" t="s">
        <v>330</v>
      </c>
      <c r="B52" s="893">
        <f>vkm_2011_tram*SUMIFS(TableECFTransport[EnergieConsumptieFactor (PJ per km)],TableECFTransport[Index],"Tram_gemiddeld_Electric_Electric")</f>
        <v>6.4693524491257412E-3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1797.0423469793727</v>
      </c>
      <c r="C54" s="21">
        <f t="shared" ref="C54:P54" si="3">(C50)*10^9/3600</f>
        <v>0</v>
      </c>
      <c r="D54" s="21">
        <f t="shared" si="3"/>
        <v>0</v>
      </c>
      <c r="E54" s="21">
        <f t="shared" si="3"/>
        <v>0</v>
      </c>
      <c r="F54" s="21">
        <f t="shared" si="3"/>
        <v>0</v>
      </c>
      <c r="G54" s="21">
        <f t="shared" si="3"/>
        <v>9360.2068916257722</v>
      </c>
      <c r="H54" s="21">
        <f t="shared" si="3"/>
        <v>0</v>
      </c>
      <c r="I54" s="21">
        <f t="shared" si="3"/>
        <v>0</v>
      </c>
      <c r="J54" s="21">
        <f t="shared" si="3"/>
        <v>0</v>
      </c>
      <c r="K54" s="21">
        <f t="shared" si="3"/>
        <v>0</v>
      </c>
      <c r="L54" s="21">
        <f t="shared" si="3"/>
        <v>0</v>
      </c>
      <c r="M54" s="21">
        <f t="shared" si="3"/>
        <v>290.33267729103221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0.21450228590050163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385.46969128707786</v>
      </c>
      <c r="C58" s="23">
        <f t="shared" ref="C58:P58" ca="1" si="4">C54*C56</f>
        <v>0</v>
      </c>
      <c r="D58" s="23">
        <f t="shared" si="4"/>
        <v>0</v>
      </c>
      <c r="E58" s="23">
        <f t="shared" si="4"/>
        <v>0</v>
      </c>
      <c r="F58" s="23">
        <f t="shared" si="4"/>
        <v>0</v>
      </c>
      <c r="G58" s="23">
        <f t="shared" si="4"/>
        <v>2499.1752400640812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159157.05248709998</v>
      </c>
      <c r="D10" s="1012">
        <f ca="1">tertiair!C16</f>
        <v>321.42857142857144</v>
      </c>
      <c r="E10" s="1012">
        <f ca="1">tertiair!D16</f>
        <v>167885.94147145087</v>
      </c>
      <c r="F10" s="1012">
        <f>tertiair!E16</f>
        <v>2813.1718459988074</v>
      </c>
      <c r="G10" s="1012">
        <f ca="1">tertiair!F16</f>
        <v>40404.628032801287</v>
      </c>
      <c r="H10" s="1012">
        <f>tertiair!G16</f>
        <v>0</v>
      </c>
      <c r="I10" s="1012">
        <f>tertiair!H16</f>
        <v>0</v>
      </c>
      <c r="J10" s="1012">
        <f>tertiair!I16</f>
        <v>0</v>
      </c>
      <c r="K10" s="1012">
        <f>tertiair!J16</f>
        <v>0</v>
      </c>
      <c r="L10" s="1012">
        <f>tertiair!K16</f>
        <v>0</v>
      </c>
      <c r="M10" s="1012">
        <f ca="1">tertiair!L16</f>
        <v>0</v>
      </c>
      <c r="N10" s="1012">
        <f>tertiair!M16</f>
        <v>0</v>
      </c>
      <c r="O10" s="1012">
        <f ca="1">tertiair!N16</f>
        <v>20855.436606778392</v>
      </c>
      <c r="P10" s="1012">
        <f>tertiair!O16</f>
        <v>9.3800000000000008</v>
      </c>
      <c r="Q10" s="1013">
        <f>tertiair!P16</f>
        <v>247.86666666666667</v>
      </c>
      <c r="R10" s="700">
        <f ca="1">SUM(C10:Q10)</f>
        <v>391694.90568222455</v>
      </c>
      <c r="S10" s="67"/>
    </row>
    <row r="11" spans="1:19" s="473" customFormat="1">
      <c r="A11" s="809" t="s">
        <v>225</v>
      </c>
      <c r="B11" s="814"/>
      <c r="C11" s="1012">
        <f>huishoudens!B8</f>
        <v>132437.60066830454</v>
      </c>
      <c r="D11" s="1012">
        <f>huishoudens!C8</f>
        <v>0</v>
      </c>
      <c r="E11" s="1012">
        <f>huishoudens!D8</f>
        <v>245248.88173676</v>
      </c>
      <c r="F11" s="1012">
        <f>huishoudens!E8</f>
        <v>3099.6247787848306</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11286.075415511292</v>
      </c>
      <c r="P11" s="1012">
        <f>huishoudens!O8</f>
        <v>370.51000000000005</v>
      </c>
      <c r="Q11" s="1013">
        <f>huishoudens!P8</f>
        <v>1124.9333333333334</v>
      </c>
      <c r="R11" s="700">
        <f>SUM(C11:Q11)</f>
        <v>393567.62593269395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63451.597149012989</v>
      </c>
      <c r="D13" s="1012">
        <f>industrie!C18</f>
        <v>0</v>
      </c>
      <c r="E13" s="1012">
        <f>industrie!D18</f>
        <v>56799.316076605741</v>
      </c>
      <c r="F13" s="1012">
        <f>industrie!E18</f>
        <v>4326.2065389856198</v>
      </c>
      <c r="G13" s="1012">
        <f>industrie!F18</f>
        <v>21985.930597985269</v>
      </c>
      <c r="H13" s="1012">
        <f>industrie!G18</f>
        <v>0</v>
      </c>
      <c r="I13" s="1012">
        <f>industrie!H18</f>
        <v>0</v>
      </c>
      <c r="J13" s="1012">
        <f>industrie!I18</f>
        <v>0</v>
      </c>
      <c r="K13" s="1012">
        <f>industrie!J18</f>
        <v>270.99631021150196</v>
      </c>
      <c r="L13" s="1012">
        <f>industrie!K18</f>
        <v>0</v>
      </c>
      <c r="M13" s="1012">
        <f>industrie!L18</f>
        <v>0</v>
      </c>
      <c r="N13" s="1012">
        <f>industrie!M18</f>
        <v>0</v>
      </c>
      <c r="O13" s="1012">
        <f>industrie!N18</f>
        <v>17623.840432172983</v>
      </c>
      <c r="P13" s="1012">
        <f>industrie!O18</f>
        <v>0</v>
      </c>
      <c r="Q13" s="1013">
        <f>industrie!P18</f>
        <v>0</v>
      </c>
      <c r="R13" s="700">
        <f>SUM(C13:Q13)</f>
        <v>164457.88710497413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355046.25030441745</v>
      </c>
      <c r="D16" s="732">
        <f t="shared" ref="D16:R16" ca="1" si="0">SUM(D9:D15)</f>
        <v>321.42857142857144</v>
      </c>
      <c r="E16" s="732">
        <f t="shared" ca="1" si="0"/>
        <v>469934.13928481663</v>
      </c>
      <c r="F16" s="732">
        <f t="shared" si="0"/>
        <v>10239.003163769257</v>
      </c>
      <c r="G16" s="732">
        <f t="shared" ca="1" si="0"/>
        <v>62390.55863078656</v>
      </c>
      <c r="H16" s="732">
        <f t="shared" si="0"/>
        <v>0</v>
      </c>
      <c r="I16" s="732">
        <f t="shared" si="0"/>
        <v>0</v>
      </c>
      <c r="J16" s="732">
        <f t="shared" si="0"/>
        <v>0</v>
      </c>
      <c r="K16" s="732">
        <f t="shared" si="0"/>
        <v>270.99631021150196</v>
      </c>
      <c r="L16" s="732">
        <f t="shared" si="0"/>
        <v>0</v>
      </c>
      <c r="M16" s="732">
        <f t="shared" ca="1" si="0"/>
        <v>0</v>
      </c>
      <c r="N16" s="732">
        <f t="shared" si="0"/>
        <v>0</v>
      </c>
      <c r="O16" s="732">
        <f t="shared" ca="1" si="0"/>
        <v>49765.352454462671</v>
      </c>
      <c r="P16" s="732">
        <f t="shared" si="0"/>
        <v>379.89000000000004</v>
      </c>
      <c r="Q16" s="732">
        <f t="shared" si="0"/>
        <v>1372.8000000000002</v>
      </c>
      <c r="R16" s="732">
        <f t="shared" ca="1" si="0"/>
        <v>949720.41871989262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1797.0423469793727</v>
      </c>
      <c r="D19" s="1012">
        <f>transport!C54</f>
        <v>0</v>
      </c>
      <c r="E19" s="1012">
        <f>transport!D54</f>
        <v>0</v>
      </c>
      <c r="F19" s="1012">
        <f>transport!E54</f>
        <v>0</v>
      </c>
      <c r="G19" s="1012">
        <f>transport!F54</f>
        <v>0</v>
      </c>
      <c r="H19" s="1012">
        <f>transport!G54</f>
        <v>9360.2068916257722</v>
      </c>
      <c r="I19" s="1012">
        <f>transport!H54</f>
        <v>0</v>
      </c>
      <c r="J19" s="1012">
        <f>transport!I54</f>
        <v>0</v>
      </c>
      <c r="K19" s="1012">
        <f>transport!J54</f>
        <v>0</v>
      </c>
      <c r="L19" s="1012">
        <f>transport!K54</f>
        <v>0</v>
      </c>
      <c r="M19" s="1012">
        <f>transport!L54</f>
        <v>0</v>
      </c>
      <c r="N19" s="1012">
        <f>transport!M54</f>
        <v>290.33267729103221</v>
      </c>
      <c r="O19" s="1012">
        <f>transport!N54</f>
        <v>0</v>
      </c>
      <c r="P19" s="1012">
        <f>transport!O54</f>
        <v>0</v>
      </c>
      <c r="Q19" s="1013">
        <f>transport!P54</f>
        <v>0</v>
      </c>
      <c r="R19" s="700">
        <f>SUM(C19:Q19)</f>
        <v>11447.581915896177</v>
      </c>
      <c r="S19" s="67"/>
    </row>
    <row r="20" spans="1:19" s="473" customFormat="1">
      <c r="A20" s="809" t="s">
        <v>307</v>
      </c>
      <c r="B20" s="814"/>
      <c r="C20" s="1012">
        <f>transport!B14</f>
        <v>53.603880258767497</v>
      </c>
      <c r="D20" s="1012">
        <f>transport!C14</f>
        <v>0</v>
      </c>
      <c r="E20" s="1012">
        <f>transport!D14</f>
        <v>123.84031644573128</v>
      </c>
      <c r="F20" s="1012">
        <f>transport!E14</f>
        <v>497.94219662956209</v>
      </c>
      <c r="G20" s="1012">
        <f>transport!F14</f>
        <v>0</v>
      </c>
      <c r="H20" s="1012">
        <f>transport!G14</f>
        <v>181913.87757686095</v>
      </c>
      <c r="I20" s="1012">
        <f>transport!H14</f>
        <v>33494.827661666408</v>
      </c>
      <c r="J20" s="1012">
        <f>transport!I14</f>
        <v>0</v>
      </c>
      <c r="K20" s="1012">
        <f>transport!J14</f>
        <v>0</v>
      </c>
      <c r="L20" s="1012">
        <f>transport!K14</f>
        <v>0</v>
      </c>
      <c r="M20" s="1012">
        <f>transport!L14</f>
        <v>0</v>
      </c>
      <c r="N20" s="1012">
        <f>transport!M14</f>
        <v>6734.6832866471259</v>
      </c>
      <c r="O20" s="1012">
        <f>transport!N14</f>
        <v>0</v>
      </c>
      <c r="P20" s="1012">
        <f>transport!O14</f>
        <v>0</v>
      </c>
      <c r="Q20" s="1013">
        <f>transport!P14</f>
        <v>0</v>
      </c>
      <c r="R20" s="700">
        <f>SUM(C20:Q20)</f>
        <v>222818.77491850854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1850.6462272381402</v>
      </c>
      <c r="D22" s="812">
        <f t="shared" ref="D22:R22" si="1">SUM(D18:D21)</f>
        <v>0</v>
      </c>
      <c r="E22" s="812">
        <f t="shared" si="1"/>
        <v>123.84031644573128</v>
      </c>
      <c r="F22" s="812">
        <f t="shared" si="1"/>
        <v>497.94219662956209</v>
      </c>
      <c r="G22" s="812">
        <f t="shared" si="1"/>
        <v>0</v>
      </c>
      <c r="H22" s="812">
        <f t="shared" si="1"/>
        <v>191274.08446848672</v>
      </c>
      <c r="I22" s="812">
        <f t="shared" si="1"/>
        <v>33494.827661666408</v>
      </c>
      <c r="J22" s="812">
        <f t="shared" si="1"/>
        <v>0</v>
      </c>
      <c r="K22" s="812">
        <f t="shared" si="1"/>
        <v>0</v>
      </c>
      <c r="L22" s="812">
        <f t="shared" si="1"/>
        <v>0</v>
      </c>
      <c r="M22" s="812">
        <f t="shared" si="1"/>
        <v>0</v>
      </c>
      <c r="N22" s="812">
        <f t="shared" si="1"/>
        <v>7025.0159639381582</v>
      </c>
      <c r="O22" s="812">
        <f t="shared" si="1"/>
        <v>0</v>
      </c>
      <c r="P22" s="812">
        <f t="shared" si="1"/>
        <v>0</v>
      </c>
      <c r="Q22" s="812">
        <f t="shared" si="1"/>
        <v>0</v>
      </c>
      <c r="R22" s="812">
        <f t="shared" si="1"/>
        <v>234266.35683440472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589.51350876999993</v>
      </c>
      <c r="D24" s="1012">
        <f>+landbouw!C8</f>
        <v>0</v>
      </c>
      <c r="E24" s="1012">
        <f>+landbouw!D8</f>
        <v>415.02805224870002</v>
      </c>
      <c r="F24" s="1012">
        <f>+landbouw!E8</f>
        <v>15.201289920995174</v>
      </c>
      <c r="G24" s="1012">
        <f>+landbouw!F8</f>
        <v>2154.7841419484657</v>
      </c>
      <c r="H24" s="1012">
        <f>+landbouw!G8</f>
        <v>0</v>
      </c>
      <c r="I24" s="1012">
        <f>+landbouw!H8</f>
        <v>0</v>
      </c>
      <c r="J24" s="1012">
        <f>+landbouw!I8</f>
        <v>0</v>
      </c>
      <c r="K24" s="1012">
        <f>+landbouw!J8</f>
        <v>84.868259031592316</v>
      </c>
      <c r="L24" s="1012">
        <f>+landbouw!K8</f>
        <v>0</v>
      </c>
      <c r="M24" s="1012">
        <f>+landbouw!L8</f>
        <v>0</v>
      </c>
      <c r="N24" s="1012">
        <f>+landbouw!M8</f>
        <v>0</v>
      </c>
      <c r="O24" s="1012">
        <f>+landbouw!N8</f>
        <v>0</v>
      </c>
      <c r="P24" s="1012">
        <f>+landbouw!O8</f>
        <v>0</v>
      </c>
      <c r="Q24" s="1013">
        <f>+landbouw!P8</f>
        <v>0</v>
      </c>
      <c r="R24" s="700">
        <f>SUM(C24:Q24)</f>
        <v>3259.3952519197533</v>
      </c>
      <c r="S24" s="67"/>
    </row>
    <row r="25" spans="1:19" s="473" customFormat="1" ht="15" thickBot="1">
      <c r="A25" s="831" t="s">
        <v>848</v>
      </c>
      <c r="B25" s="1015"/>
      <c r="C25" s="1016">
        <f>IF(Onbekend_ele_kWh="---",0,Onbekend_ele_kWh)/1000+IF(REST_rest_ele_kWh="---",0,REST_rest_ele_kWh)/1000</f>
        <v>13027.747006</v>
      </c>
      <c r="D25" s="1016"/>
      <c r="E25" s="1016">
        <f>IF(onbekend_gas_kWh="---",0,onbekend_gas_kWh)/1000+IF(REST_rest_gas_kWh="---",0,REST_rest_gas_kWh)/1000</f>
        <v>33676.442384999995</v>
      </c>
      <c r="F25" s="1016"/>
      <c r="G25" s="1016"/>
      <c r="H25" s="1016"/>
      <c r="I25" s="1016"/>
      <c r="J25" s="1016"/>
      <c r="K25" s="1016"/>
      <c r="L25" s="1016"/>
      <c r="M25" s="1016"/>
      <c r="N25" s="1016"/>
      <c r="O25" s="1016"/>
      <c r="P25" s="1016"/>
      <c r="Q25" s="1017"/>
      <c r="R25" s="700">
        <f>SUM(C25:Q25)</f>
        <v>46704.189390999993</v>
      </c>
      <c r="S25" s="67"/>
    </row>
    <row r="26" spans="1:19" s="473" customFormat="1" ht="15.75" thickBot="1">
      <c r="A26" s="705" t="s">
        <v>849</v>
      </c>
      <c r="B26" s="817"/>
      <c r="C26" s="812">
        <f>SUM(C24:C25)</f>
        <v>13617.26051477</v>
      </c>
      <c r="D26" s="812">
        <f t="shared" ref="D26:R26" si="2">SUM(D24:D25)</f>
        <v>0</v>
      </c>
      <c r="E26" s="812">
        <f t="shared" si="2"/>
        <v>34091.470437248696</v>
      </c>
      <c r="F26" s="812">
        <f t="shared" si="2"/>
        <v>15.201289920995174</v>
      </c>
      <c r="G26" s="812">
        <f t="shared" si="2"/>
        <v>2154.7841419484657</v>
      </c>
      <c r="H26" s="812">
        <f t="shared" si="2"/>
        <v>0</v>
      </c>
      <c r="I26" s="812">
        <f t="shared" si="2"/>
        <v>0</v>
      </c>
      <c r="J26" s="812">
        <f t="shared" si="2"/>
        <v>0</v>
      </c>
      <c r="K26" s="812">
        <f t="shared" si="2"/>
        <v>84.868259031592316</v>
      </c>
      <c r="L26" s="812">
        <f t="shared" si="2"/>
        <v>0</v>
      </c>
      <c r="M26" s="812">
        <f t="shared" si="2"/>
        <v>0</v>
      </c>
      <c r="N26" s="812">
        <f t="shared" si="2"/>
        <v>0</v>
      </c>
      <c r="O26" s="812">
        <f t="shared" si="2"/>
        <v>0</v>
      </c>
      <c r="P26" s="812">
        <f t="shared" si="2"/>
        <v>0</v>
      </c>
      <c r="Q26" s="812">
        <f t="shared" si="2"/>
        <v>0</v>
      </c>
      <c r="R26" s="812">
        <f t="shared" si="2"/>
        <v>49963.584642919748</v>
      </c>
      <c r="S26" s="67"/>
    </row>
    <row r="27" spans="1:19" s="473" customFormat="1" ht="17.25" thickTop="1" thickBot="1">
      <c r="A27" s="706" t="s">
        <v>116</v>
      </c>
      <c r="B27" s="805"/>
      <c r="C27" s="707">
        <f ca="1">C22+C16+C26</f>
        <v>370514.15704642556</v>
      </c>
      <c r="D27" s="707">
        <f t="shared" ref="D27:R27" ca="1" si="3">D22+D16+D26</f>
        <v>321.42857142857144</v>
      </c>
      <c r="E27" s="707">
        <f t="shared" ca="1" si="3"/>
        <v>504149.45003851107</v>
      </c>
      <c r="F27" s="707">
        <f t="shared" si="3"/>
        <v>10752.146650319813</v>
      </c>
      <c r="G27" s="707">
        <f t="shared" ca="1" si="3"/>
        <v>64545.342772735028</v>
      </c>
      <c r="H27" s="707">
        <f t="shared" si="3"/>
        <v>191274.08446848672</v>
      </c>
      <c r="I27" s="707">
        <f t="shared" si="3"/>
        <v>33494.827661666408</v>
      </c>
      <c r="J27" s="707">
        <f t="shared" si="3"/>
        <v>0</v>
      </c>
      <c r="K27" s="707">
        <f t="shared" si="3"/>
        <v>355.86456924309425</v>
      </c>
      <c r="L27" s="707">
        <f t="shared" si="3"/>
        <v>0</v>
      </c>
      <c r="M27" s="707">
        <f t="shared" ca="1" si="3"/>
        <v>0</v>
      </c>
      <c r="N27" s="707">
        <f t="shared" si="3"/>
        <v>7025.0159639381582</v>
      </c>
      <c r="O27" s="707">
        <f t="shared" ca="1" si="3"/>
        <v>49765.352454462671</v>
      </c>
      <c r="P27" s="707">
        <f t="shared" si="3"/>
        <v>379.89000000000004</v>
      </c>
      <c r="Q27" s="707">
        <f t="shared" si="3"/>
        <v>1372.8000000000002</v>
      </c>
      <c r="R27" s="707">
        <f t="shared" ca="1" si="3"/>
        <v>1233950.360197217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34139.551575669073</v>
      </c>
      <c r="D40" s="1012">
        <f ca="1">tertiair!C20</f>
        <v>76.386554621848759</v>
      </c>
      <c r="E40" s="1012">
        <f ca="1">tertiair!D20</f>
        <v>33912.960177233079</v>
      </c>
      <c r="F40" s="1012">
        <f>tertiair!E20</f>
        <v>638.59000904172933</v>
      </c>
      <c r="G40" s="1012">
        <f ca="1">tertiair!F20</f>
        <v>10788.035684757944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79555.524001323676</v>
      </c>
    </row>
    <row r="41" spans="1:18">
      <c r="A41" s="822" t="s">
        <v>225</v>
      </c>
      <c r="B41" s="829"/>
      <c r="C41" s="1012">
        <f ca="1">huishoudens!B12</f>
        <v>28408.168082529126</v>
      </c>
      <c r="D41" s="1012">
        <f ca="1">huishoudens!C12</f>
        <v>0</v>
      </c>
      <c r="E41" s="1012">
        <f>huishoudens!D12</f>
        <v>49540.274110825521</v>
      </c>
      <c r="F41" s="1012">
        <f>huishoudens!E12</f>
        <v>703.61482478415655</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78652.057018138818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13610.512632501039</v>
      </c>
      <c r="D43" s="1012">
        <f ca="1">industrie!C22</f>
        <v>0</v>
      </c>
      <c r="E43" s="1012">
        <f>industrie!D22</f>
        <v>11473.46184747436</v>
      </c>
      <c r="F43" s="1012">
        <f>industrie!E22</f>
        <v>982.04888434973577</v>
      </c>
      <c r="G43" s="1012">
        <f>industrie!F22</f>
        <v>5870.2434696620667</v>
      </c>
      <c r="H43" s="1012">
        <f>industrie!G22</f>
        <v>0</v>
      </c>
      <c r="I43" s="1012">
        <f>industrie!H22</f>
        <v>0</v>
      </c>
      <c r="J43" s="1012">
        <f>industrie!I22</f>
        <v>0</v>
      </c>
      <c r="K43" s="1012">
        <f>industrie!J22</f>
        <v>95.932693814871683</v>
      </c>
      <c r="L43" s="1012">
        <f>industrie!K22</f>
        <v>0</v>
      </c>
      <c r="M43" s="1012">
        <f>industrie!L22</f>
        <v>0</v>
      </c>
      <c r="N43" s="1012">
        <f>industrie!M22</f>
        <v>0</v>
      </c>
      <c r="O43" s="1012">
        <f>industrie!N22</f>
        <v>0</v>
      </c>
      <c r="P43" s="1012">
        <f>industrie!O22</f>
        <v>0</v>
      </c>
      <c r="Q43" s="774">
        <f>industrie!P22</f>
        <v>0</v>
      </c>
      <c r="R43" s="849">
        <f t="shared" ca="1" si="4"/>
        <v>32032.199527802073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76158.232290699234</v>
      </c>
      <c r="D46" s="732">
        <f t="shared" ref="D46:Q46" ca="1" si="5">SUM(D39:D45)</f>
        <v>76.386554621848759</v>
      </c>
      <c r="E46" s="732">
        <f t="shared" ca="1" si="5"/>
        <v>94926.696135532955</v>
      </c>
      <c r="F46" s="732">
        <f t="shared" si="5"/>
        <v>2324.2537181756215</v>
      </c>
      <c r="G46" s="732">
        <f t="shared" ca="1" si="5"/>
        <v>16658.279154420012</v>
      </c>
      <c r="H46" s="732">
        <f t="shared" si="5"/>
        <v>0</v>
      </c>
      <c r="I46" s="732">
        <f t="shared" si="5"/>
        <v>0</v>
      </c>
      <c r="J46" s="732">
        <f t="shared" si="5"/>
        <v>0</v>
      </c>
      <c r="K46" s="732">
        <f t="shared" si="5"/>
        <v>95.932693814871683</v>
      </c>
      <c r="L46" s="732">
        <f t="shared" si="5"/>
        <v>0</v>
      </c>
      <c r="M46" s="732">
        <f t="shared" ca="1" si="5"/>
        <v>0</v>
      </c>
      <c r="N46" s="732">
        <f t="shared" si="5"/>
        <v>0</v>
      </c>
      <c r="O46" s="732">
        <f t="shared" ca="1" si="5"/>
        <v>0</v>
      </c>
      <c r="P46" s="732">
        <f t="shared" si="5"/>
        <v>0</v>
      </c>
      <c r="Q46" s="732">
        <f t="shared" si="5"/>
        <v>0</v>
      </c>
      <c r="R46" s="732">
        <f ca="1">SUM(R39:R45)</f>
        <v>190239.78054726456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385.46969128707786</v>
      </c>
      <c r="D49" s="1012">
        <f ca="1">transport!C58</f>
        <v>0</v>
      </c>
      <c r="E49" s="1012">
        <f>transport!D58</f>
        <v>0</v>
      </c>
      <c r="F49" s="1012">
        <f>transport!E58</f>
        <v>0</v>
      </c>
      <c r="G49" s="1012">
        <f>transport!F58</f>
        <v>0</v>
      </c>
      <c r="H49" s="1012">
        <f>transport!G58</f>
        <v>2499.1752400640812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2884.6449313511589</v>
      </c>
    </row>
    <row r="50" spans="1:18">
      <c r="A50" s="825" t="s">
        <v>307</v>
      </c>
      <c r="B50" s="835"/>
      <c r="C50" s="703">
        <f ca="1">transport!B18</f>
        <v>11.4981548486424</v>
      </c>
      <c r="D50" s="703">
        <f>transport!C18</f>
        <v>0</v>
      </c>
      <c r="E50" s="703">
        <f>transport!D18</f>
        <v>25.015743922037718</v>
      </c>
      <c r="F50" s="703">
        <f>transport!E18</f>
        <v>113.0328786349106</v>
      </c>
      <c r="G50" s="703">
        <f>transport!F18</f>
        <v>0</v>
      </c>
      <c r="H50" s="703">
        <f>transport!G18</f>
        <v>48571.005313021873</v>
      </c>
      <c r="I50" s="703">
        <f>transport!H18</f>
        <v>8340.2120877549351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57060.764178182406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396.96784613572027</v>
      </c>
      <c r="D52" s="732">
        <f t="shared" ref="D52:Q52" ca="1" si="6">SUM(D48:D51)</f>
        <v>0</v>
      </c>
      <c r="E52" s="732">
        <f t="shared" si="6"/>
        <v>25.015743922037718</v>
      </c>
      <c r="F52" s="732">
        <f t="shared" si="6"/>
        <v>113.0328786349106</v>
      </c>
      <c r="G52" s="732">
        <f t="shared" si="6"/>
        <v>0</v>
      </c>
      <c r="H52" s="732">
        <f t="shared" si="6"/>
        <v>51070.180553085956</v>
      </c>
      <c r="I52" s="732">
        <f t="shared" si="6"/>
        <v>8340.2120877549351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59945.409109533568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126.4519952003904</v>
      </c>
      <c r="D54" s="703">
        <f ca="1">+landbouw!C12</f>
        <v>0</v>
      </c>
      <c r="E54" s="703">
        <f>+landbouw!D12</f>
        <v>83.835666554237406</v>
      </c>
      <c r="F54" s="703">
        <f>+landbouw!E12</f>
        <v>3.4506928120659048</v>
      </c>
      <c r="G54" s="703">
        <f>+landbouw!F12</f>
        <v>575.32736590024035</v>
      </c>
      <c r="H54" s="703">
        <f>+landbouw!G12</f>
        <v>0</v>
      </c>
      <c r="I54" s="703">
        <f>+landbouw!H12</f>
        <v>0</v>
      </c>
      <c r="J54" s="703">
        <f>+landbouw!I12</f>
        <v>0</v>
      </c>
      <c r="K54" s="703">
        <f>+landbouw!J12</f>
        <v>30.043363697183679</v>
      </c>
      <c r="L54" s="703">
        <f>+landbouw!K12</f>
        <v>0</v>
      </c>
      <c r="M54" s="703">
        <f>+landbouw!L12</f>
        <v>0</v>
      </c>
      <c r="N54" s="703">
        <f>+landbouw!M12</f>
        <v>0</v>
      </c>
      <c r="O54" s="703">
        <f>+landbouw!N12</f>
        <v>0</v>
      </c>
      <c r="P54" s="703">
        <f>+landbouw!O12</f>
        <v>0</v>
      </c>
      <c r="Q54" s="704">
        <f>+landbouw!P12</f>
        <v>0</v>
      </c>
      <c r="R54" s="731">
        <f ca="1">SUM(C54:Q54)</f>
        <v>819.1090841641178</v>
      </c>
    </row>
    <row r="55" spans="1:18" ht="15" thickBot="1">
      <c r="A55" s="825" t="s">
        <v>848</v>
      </c>
      <c r="B55" s="835"/>
      <c r="C55" s="703">
        <f ca="1">C25*'EF ele_warmte'!B12</f>
        <v>2794.4815129204162</v>
      </c>
      <c r="D55" s="703"/>
      <c r="E55" s="703">
        <f>E25*EF_CO2_aardgas</f>
        <v>6802.6413617699991</v>
      </c>
      <c r="F55" s="703"/>
      <c r="G55" s="703"/>
      <c r="H55" s="703"/>
      <c r="I55" s="703"/>
      <c r="J55" s="703"/>
      <c r="K55" s="703"/>
      <c r="L55" s="703"/>
      <c r="M55" s="703"/>
      <c r="N55" s="703"/>
      <c r="O55" s="703"/>
      <c r="P55" s="703"/>
      <c r="Q55" s="704"/>
      <c r="R55" s="731">
        <f ca="1">SUM(C55:Q55)</f>
        <v>9597.1228746904162</v>
      </c>
    </row>
    <row r="56" spans="1:18" ht="15.75" thickBot="1">
      <c r="A56" s="823" t="s">
        <v>849</v>
      </c>
      <c r="B56" s="836"/>
      <c r="C56" s="732">
        <f ca="1">SUM(C54:C55)</f>
        <v>2920.9335081208064</v>
      </c>
      <c r="D56" s="732">
        <f t="shared" ref="D56:Q56" ca="1" si="7">SUM(D54:D55)</f>
        <v>0</v>
      </c>
      <c r="E56" s="732">
        <f t="shared" si="7"/>
        <v>6886.4770283242369</v>
      </c>
      <c r="F56" s="732">
        <f t="shared" si="7"/>
        <v>3.4506928120659048</v>
      </c>
      <c r="G56" s="732">
        <f t="shared" si="7"/>
        <v>575.32736590024035</v>
      </c>
      <c r="H56" s="732">
        <f t="shared" si="7"/>
        <v>0</v>
      </c>
      <c r="I56" s="732">
        <f t="shared" si="7"/>
        <v>0</v>
      </c>
      <c r="J56" s="732">
        <f t="shared" si="7"/>
        <v>0</v>
      </c>
      <c r="K56" s="732">
        <f t="shared" si="7"/>
        <v>30.043363697183679</v>
      </c>
      <c r="L56" s="732">
        <f t="shared" si="7"/>
        <v>0</v>
      </c>
      <c r="M56" s="732">
        <f t="shared" si="7"/>
        <v>0</v>
      </c>
      <c r="N56" s="732">
        <f t="shared" si="7"/>
        <v>0</v>
      </c>
      <c r="O56" s="732">
        <f t="shared" si="7"/>
        <v>0</v>
      </c>
      <c r="P56" s="732">
        <f t="shared" si="7"/>
        <v>0</v>
      </c>
      <c r="Q56" s="733">
        <f t="shared" si="7"/>
        <v>0</v>
      </c>
      <c r="R56" s="734">
        <f ca="1">SUM(R54:R55)</f>
        <v>10416.231958854534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79476.133644955771</v>
      </c>
      <c r="D61" s="740">
        <f t="shared" ref="D61:Q61" ca="1" si="8">D46+D52+D56</f>
        <v>76.386554621848759</v>
      </c>
      <c r="E61" s="740">
        <f t="shared" ca="1" si="8"/>
        <v>101838.18890777923</v>
      </c>
      <c r="F61" s="740">
        <f t="shared" si="8"/>
        <v>2440.7372896225979</v>
      </c>
      <c r="G61" s="740">
        <f t="shared" ca="1" si="8"/>
        <v>17233.606520320252</v>
      </c>
      <c r="H61" s="740">
        <f t="shared" si="8"/>
        <v>51070.180553085956</v>
      </c>
      <c r="I61" s="740">
        <f t="shared" si="8"/>
        <v>8340.2120877549351</v>
      </c>
      <c r="J61" s="740">
        <f t="shared" si="8"/>
        <v>0</v>
      </c>
      <c r="K61" s="740">
        <f t="shared" si="8"/>
        <v>125.97605751205536</v>
      </c>
      <c r="L61" s="740">
        <f t="shared" si="8"/>
        <v>0</v>
      </c>
      <c r="M61" s="740">
        <f t="shared" ca="1" si="8"/>
        <v>0</v>
      </c>
      <c r="N61" s="740">
        <f t="shared" si="8"/>
        <v>0</v>
      </c>
      <c r="O61" s="740">
        <f t="shared" ca="1" si="8"/>
        <v>0</v>
      </c>
      <c r="P61" s="740">
        <f t="shared" si="8"/>
        <v>0</v>
      </c>
      <c r="Q61" s="740">
        <f t="shared" si="8"/>
        <v>0</v>
      </c>
      <c r="R61" s="740">
        <f ca="1">R46+R52+R56</f>
        <v>260601.42161565265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0.21450228590050172</v>
      </c>
      <c r="D63" s="781">
        <f t="shared" ca="1" si="9"/>
        <v>0.23764705882352946</v>
      </c>
      <c r="E63" s="1023">
        <f t="shared" ca="1" si="9"/>
        <v>0.20199999999999999</v>
      </c>
      <c r="F63" s="781">
        <f t="shared" si="9"/>
        <v>0.22700000000000004</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10910.591178912237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225</v>
      </c>
      <c r="D76" s="1033">
        <f>'lokale energieproductie'!C8</f>
        <v>264.70588235294116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53.470588235294116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10910.591178912237</v>
      </c>
      <c r="C78" s="755">
        <f>SUM(C72:C77)</f>
        <v>225</v>
      </c>
      <c r="D78" s="756">
        <f t="shared" ref="D78:H78" si="10">SUM(D76:D77)</f>
        <v>264.70588235294116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53.470588235294116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321.42857142857144</v>
      </c>
      <c r="D87" s="777">
        <f>'lokale energieproductie'!C17</f>
        <v>378.15126050420173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76.386554621848759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321.42857142857144</v>
      </c>
      <c r="D90" s="755">
        <f t="shared" ref="D90:H90" si="12">SUM(D87:D89)</f>
        <v>378.15126050420173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76.386554621848759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10910.591178912237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225</v>
      </c>
      <c r="C8" s="570">
        <f>B101</f>
        <v>264.70588235294116</v>
      </c>
      <c r="D8" s="1043"/>
      <c r="E8" s="1043">
        <f>E101</f>
        <v>0</v>
      </c>
      <c r="F8" s="1044"/>
      <c r="G8" s="571"/>
      <c r="H8" s="1043">
        <f>I101</f>
        <v>0</v>
      </c>
      <c r="I8" s="1043">
        <f>G101+F101</f>
        <v>0</v>
      </c>
      <c r="J8" s="1043">
        <f>H101+D101+C101</f>
        <v>0</v>
      </c>
      <c r="K8" s="1043"/>
      <c r="L8" s="1043"/>
      <c r="M8" s="1043"/>
      <c r="N8" s="572"/>
      <c r="O8" s="573">
        <f>C8*$C$12+D8*$D$12+E8*$E$12+F8*$F$12+G8*$G$12+H8*$H$12+I8*$I$12+J8*$J$12</f>
        <v>53.470588235294116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11135.591178912237</v>
      </c>
      <c r="C10" s="583">
        <f t="shared" ref="C10:L10" si="0">SUM(C8:C9)</f>
        <v>264.70588235294116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53.470588235294116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321.42857142857144</v>
      </c>
      <c r="C17" s="595">
        <f>B102</f>
        <v>378.15126050420173</v>
      </c>
      <c r="D17" s="596"/>
      <c r="E17" s="596">
        <f>E102</f>
        <v>0</v>
      </c>
      <c r="F17" s="1049"/>
      <c r="G17" s="597"/>
      <c r="H17" s="595">
        <f>I102</f>
        <v>0</v>
      </c>
      <c r="I17" s="596">
        <f>G102+F102</f>
        <v>0</v>
      </c>
      <c r="J17" s="596">
        <f>H102+D102+C102</f>
        <v>0</v>
      </c>
      <c r="K17" s="596"/>
      <c r="L17" s="596"/>
      <c r="M17" s="596"/>
      <c r="N17" s="1050"/>
      <c r="O17" s="598">
        <f>C17*$C$22+E17*$E$22+H17*$H$22+I17*$I$22+J17*$J$22+D17*$D$22+F17*$F$22+G17*$G$22+K17*$K$22+L17*$L$22</f>
        <v>76.386554621848759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321.42857142857144</v>
      </c>
      <c r="C20" s="582">
        <f>SUM(C17:C19)</f>
        <v>378.15126050420173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76.386554621848759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35013</v>
      </c>
      <c r="C28" s="796">
        <v>8400</v>
      </c>
      <c r="D28" s="653" t="s">
        <v>890</v>
      </c>
      <c r="E28" s="652" t="s">
        <v>891</v>
      </c>
      <c r="F28" s="652" t="s">
        <v>892</v>
      </c>
      <c r="G28" s="652" t="s">
        <v>893</v>
      </c>
      <c r="H28" s="652" t="s">
        <v>894</v>
      </c>
      <c r="I28" s="652" t="s">
        <v>895</v>
      </c>
      <c r="J28" s="795">
        <v>40590</v>
      </c>
      <c r="K28" s="795">
        <v>41030</v>
      </c>
      <c r="L28" s="652" t="s">
        <v>896</v>
      </c>
      <c r="M28" s="652">
        <v>50</v>
      </c>
      <c r="N28" s="652">
        <v>225</v>
      </c>
      <c r="O28" s="652">
        <v>321.42857142857144</v>
      </c>
      <c r="P28" s="652">
        <v>642.85714285714289</v>
      </c>
      <c r="Q28" s="652">
        <v>0</v>
      </c>
      <c r="R28" s="652">
        <v>0</v>
      </c>
      <c r="S28" s="652">
        <v>0</v>
      </c>
      <c r="T28" s="652">
        <v>0</v>
      </c>
      <c r="U28" s="652">
        <v>0</v>
      </c>
      <c r="V28" s="652">
        <v>0</v>
      </c>
      <c r="W28" s="652">
        <v>0</v>
      </c>
      <c r="X28" s="652">
        <v>1300</v>
      </c>
      <c r="Y28" s="652" t="s">
        <v>54</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v>
      </c>
      <c r="N58" s="610">
        <f>SUM(N28:N57)</f>
        <v>225</v>
      </c>
      <c r="O58" s="610">
        <f t="shared" ref="O58:W58" si="2">SUM(O28:O57)</f>
        <v>321.42857142857144</v>
      </c>
      <c r="P58" s="610">
        <f t="shared" si="2"/>
        <v>642.85714285714289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50</v>
      </c>
      <c r="N60" s="610">
        <f ca="1">SUMIF($Z$28:AD57,"tertiair",N28:N57)</f>
        <v>225</v>
      </c>
      <c r="O60" s="610">
        <f ca="1">SUMIF($Z$28:AE57,"tertiair",O28:O57)</f>
        <v>321.42857142857144</v>
      </c>
      <c r="P60" s="610">
        <f ca="1">SUMIF($Z$28:AF57,"tertiair",P28:P57)</f>
        <v>642.85714285714289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264.70588235294116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378.15126050420173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132437.60066830454</v>
      </c>
      <c r="C4" s="477">
        <f>huishoudens!C8</f>
        <v>0</v>
      </c>
      <c r="D4" s="477">
        <f>huishoudens!D8</f>
        <v>245248.88173676</v>
      </c>
      <c r="E4" s="477">
        <f>huishoudens!E8</f>
        <v>3099.6247787848306</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11286.075415511292</v>
      </c>
      <c r="O4" s="477">
        <f>huishoudens!O8</f>
        <v>370.51000000000005</v>
      </c>
      <c r="P4" s="478">
        <f>huishoudens!P8</f>
        <v>1124.9333333333334</v>
      </c>
      <c r="Q4" s="479">
        <f>SUM(B4:P4)</f>
        <v>393567.62593269395</v>
      </c>
    </row>
    <row r="5" spans="1:17">
      <c r="A5" s="476" t="s">
        <v>156</v>
      </c>
      <c r="B5" s="477">
        <f ca="1">tertiair!B16</f>
        <v>155053.44412289999</v>
      </c>
      <c r="C5" s="477">
        <f ca="1">tertiair!C16</f>
        <v>321.42857142857144</v>
      </c>
      <c r="D5" s="477">
        <f ca="1">tertiair!D16</f>
        <v>167885.94147145087</v>
      </c>
      <c r="E5" s="477">
        <f>tertiair!E16</f>
        <v>2813.1718459988074</v>
      </c>
      <c r="F5" s="477">
        <f ca="1">tertiair!F16</f>
        <v>40404.628032801287</v>
      </c>
      <c r="G5" s="477">
        <f>tertiair!G16</f>
        <v>0</v>
      </c>
      <c r="H5" s="477">
        <f>tertiair!H16</f>
        <v>0</v>
      </c>
      <c r="I5" s="477">
        <f>tertiair!I16</f>
        <v>0</v>
      </c>
      <c r="J5" s="477">
        <f>tertiair!J16</f>
        <v>0</v>
      </c>
      <c r="K5" s="477">
        <f>tertiair!K16</f>
        <v>0</v>
      </c>
      <c r="L5" s="477">
        <f ca="1">tertiair!L16</f>
        <v>0</v>
      </c>
      <c r="M5" s="477">
        <f>tertiair!M16</f>
        <v>0</v>
      </c>
      <c r="N5" s="477">
        <f ca="1">tertiair!N16</f>
        <v>20855.436606778392</v>
      </c>
      <c r="O5" s="477">
        <f>tertiair!O16</f>
        <v>9.3800000000000008</v>
      </c>
      <c r="P5" s="478">
        <f>tertiair!P16</f>
        <v>247.86666666666667</v>
      </c>
      <c r="Q5" s="476">
        <f t="shared" ref="Q5:Q14" ca="1" si="0">SUM(B5:P5)</f>
        <v>387591.29731802456</v>
      </c>
    </row>
    <row r="6" spans="1:17">
      <c r="A6" s="476" t="s">
        <v>194</v>
      </c>
      <c r="B6" s="477">
        <f>'openbare verlichting'!B8</f>
        <v>4103.6083642000003</v>
      </c>
      <c r="C6" s="477"/>
      <c r="D6" s="477"/>
      <c r="E6" s="477"/>
      <c r="F6" s="477"/>
      <c r="G6" s="477"/>
      <c r="H6" s="477"/>
      <c r="I6" s="477"/>
      <c r="J6" s="477"/>
      <c r="K6" s="477"/>
      <c r="L6" s="477"/>
      <c r="M6" s="477"/>
      <c r="N6" s="477"/>
      <c r="O6" s="477"/>
      <c r="P6" s="478"/>
      <c r="Q6" s="476">
        <f t="shared" si="0"/>
        <v>4103.6083642000003</v>
      </c>
    </row>
    <row r="7" spans="1:17">
      <c r="A7" s="476" t="s">
        <v>112</v>
      </c>
      <c r="B7" s="477">
        <f>landbouw!B8</f>
        <v>589.51350876999993</v>
      </c>
      <c r="C7" s="477">
        <f>landbouw!C8</f>
        <v>0</v>
      </c>
      <c r="D7" s="477">
        <f>landbouw!D8</f>
        <v>415.02805224870002</v>
      </c>
      <c r="E7" s="477">
        <f>landbouw!E8</f>
        <v>15.201289920995174</v>
      </c>
      <c r="F7" s="477">
        <f>landbouw!F8</f>
        <v>2154.7841419484657</v>
      </c>
      <c r="G7" s="477">
        <f>landbouw!G8</f>
        <v>0</v>
      </c>
      <c r="H7" s="477">
        <f>landbouw!H8</f>
        <v>0</v>
      </c>
      <c r="I7" s="477">
        <f>landbouw!I8</f>
        <v>0</v>
      </c>
      <c r="J7" s="477">
        <f>landbouw!J8</f>
        <v>84.868259031592316</v>
      </c>
      <c r="K7" s="477">
        <f>landbouw!K8</f>
        <v>0</v>
      </c>
      <c r="L7" s="477">
        <f>landbouw!L8</f>
        <v>0</v>
      </c>
      <c r="M7" s="477">
        <f>landbouw!M8</f>
        <v>0</v>
      </c>
      <c r="N7" s="477">
        <f>landbouw!N8</f>
        <v>0</v>
      </c>
      <c r="O7" s="477">
        <f>landbouw!O8</f>
        <v>0</v>
      </c>
      <c r="P7" s="478">
        <f>landbouw!P8</f>
        <v>0</v>
      </c>
      <c r="Q7" s="476">
        <f t="shared" si="0"/>
        <v>3259.3952519197533</v>
      </c>
    </row>
    <row r="8" spans="1:17">
      <c r="A8" s="476" t="s">
        <v>638</v>
      </c>
      <c r="B8" s="477">
        <f>industrie!B18</f>
        <v>63451.597149012989</v>
      </c>
      <c r="C8" s="477">
        <f>industrie!C18</f>
        <v>0</v>
      </c>
      <c r="D8" s="477">
        <f>industrie!D18</f>
        <v>56799.316076605741</v>
      </c>
      <c r="E8" s="477">
        <f>industrie!E18</f>
        <v>4326.2065389856198</v>
      </c>
      <c r="F8" s="477">
        <f>industrie!F18</f>
        <v>21985.930597985269</v>
      </c>
      <c r="G8" s="477">
        <f>industrie!G18</f>
        <v>0</v>
      </c>
      <c r="H8" s="477">
        <f>industrie!H18</f>
        <v>0</v>
      </c>
      <c r="I8" s="477">
        <f>industrie!I18</f>
        <v>0</v>
      </c>
      <c r="J8" s="477">
        <f>industrie!J18</f>
        <v>270.99631021150196</v>
      </c>
      <c r="K8" s="477">
        <f>industrie!K18</f>
        <v>0</v>
      </c>
      <c r="L8" s="477">
        <f>industrie!L18</f>
        <v>0</v>
      </c>
      <c r="M8" s="477">
        <f>industrie!M18</f>
        <v>0</v>
      </c>
      <c r="N8" s="477">
        <f>industrie!N18</f>
        <v>17623.840432172983</v>
      </c>
      <c r="O8" s="477">
        <f>industrie!O18</f>
        <v>0</v>
      </c>
      <c r="P8" s="478">
        <f>industrie!P18</f>
        <v>0</v>
      </c>
      <c r="Q8" s="476">
        <f t="shared" si="0"/>
        <v>164457.88710497413</v>
      </c>
    </row>
    <row r="9" spans="1:17" s="482" customFormat="1">
      <c r="A9" s="480" t="s">
        <v>564</v>
      </c>
      <c r="B9" s="481">
        <f>transport!B14</f>
        <v>53.603880258767497</v>
      </c>
      <c r="C9" s="481">
        <f>transport!C14</f>
        <v>0</v>
      </c>
      <c r="D9" s="481">
        <f>transport!D14</f>
        <v>123.84031644573128</v>
      </c>
      <c r="E9" s="481">
        <f>transport!E14</f>
        <v>497.94219662956209</v>
      </c>
      <c r="F9" s="481">
        <f>transport!F14</f>
        <v>0</v>
      </c>
      <c r="G9" s="481">
        <f>transport!G14</f>
        <v>181913.87757686095</v>
      </c>
      <c r="H9" s="481">
        <f>transport!H14</f>
        <v>33494.827661666408</v>
      </c>
      <c r="I9" s="481">
        <f>transport!I14</f>
        <v>0</v>
      </c>
      <c r="J9" s="481">
        <f>transport!J14</f>
        <v>0</v>
      </c>
      <c r="K9" s="481">
        <f>transport!K14</f>
        <v>0</v>
      </c>
      <c r="L9" s="481">
        <f>transport!L14</f>
        <v>0</v>
      </c>
      <c r="M9" s="481">
        <f>transport!M14</f>
        <v>6734.6832866471259</v>
      </c>
      <c r="N9" s="481">
        <f>transport!N14</f>
        <v>0</v>
      </c>
      <c r="O9" s="481">
        <f>transport!O14</f>
        <v>0</v>
      </c>
      <c r="P9" s="481">
        <f>transport!P14</f>
        <v>0</v>
      </c>
      <c r="Q9" s="480">
        <f>SUM(B9:P9)</f>
        <v>222818.77491850854</v>
      </c>
    </row>
    <row r="10" spans="1:17">
      <c r="A10" s="476" t="s">
        <v>554</v>
      </c>
      <c r="B10" s="477">
        <f>transport!B54</f>
        <v>1797.0423469793727</v>
      </c>
      <c r="C10" s="477">
        <f>transport!C54</f>
        <v>0</v>
      </c>
      <c r="D10" s="477">
        <f>transport!D54</f>
        <v>0</v>
      </c>
      <c r="E10" s="477">
        <f>transport!E54</f>
        <v>0</v>
      </c>
      <c r="F10" s="477">
        <f>transport!F54</f>
        <v>0</v>
      </c>
      <c r="G10" s="477">
        <f>transport!G54</f>
        <v>9360.2068916257722</v>
      </c>
      <c r="H10" s="477">
        <f>transport!H54</f>
        <v>0</v>
      </c>
      <c r="I10" s="477">
        <f>transport!I54</f>
        <v>0</v>
      </c>
      <c r="J10" s="477">
        <f>transport!J54</f>
        <v>0</v>
      </c>
      <c r="K10" s="477">
        <f>transport!K54</f>
        <v>0</v>
      </c>
      <c r="L10" s="477">
        <f>transport!L54</f>
        <v>0</v>
      </c>
      <c r="M10" s="477">
        <f>transport!M54</f>
        <v>290.33267729103221</v>
      </c>
      <c r="N10" s="477">
        <f>transport!N54</f>
        <v>0</v>
      </c>
      <c r="O10" s="477">
        <f>transport!O54</f>
        <v>0</v>
      </c>
      <c r="P10" s="478">
        <f>transport!P54</f>
        <v>0</v>
      </c>
      <c r="Q10" s="476">
        <f t="shared" si="0"/>
        <v>11447.581915896177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13027.747006</v>
      </c>
      <c r="C14" s="484"/>
      <c r="D14" s="484">
        <f>'SEAP template'!E25</f>
        <v>33676.442384999995</v>
      </c>
      <c r="E14" s="484"/>
      <c r="F14" s="484"/>
      <c r="G14" s="484"/>
      <c r="H14" s="484"/>
      <c r="I14" s="484"/>
      <c r="J14" s="484"/>
      <c r="K14" s="484"/>
      <c r="L14" s="484"/>
      <c r="M14" s="484"/>
      <c r="N14" s="484"/>
      <c r="O14" s="484"/>
      <c r="P14" s="485"/>
      <c r="Q14" s="476">
        <f t="shared" si="0"/>
        <v>46704.189390999993</v>
      </c>
    </row>
    <row r="15" spans="1:17" s="486" customFormat="1">
      <c r="A15" s="1038" t="s">
        <v>558</v>
      </c>
      <c r="B15" s="978">
        <f ca="1">SUM(B4:B14)</f>
        <v>370514.15704642562</v>
      </c>
      <c r="C15" s="978">
        <f t="shared" ref="C15:Q15" ca="1" si="1">SUM(C4:C14)</f>
        <v>321.42857142857144</v>
      </c>
      <c r="D15" s="978">
        <f t="shared" ca="1" si="1"/>
        <v>504149.45003851107</v>
      </c>
      <c r="E15" s="978">
        <f t="shared" si="1"/>
        <v>10752.146650319813</v>
      </c>
      <c r="F15" s="978">
        <f t="shared" ca="1" si="1"/>
        <v>64545.342772735021</v>
      </c>
      <c r="G15" s="978">
        <f t="shared" si="1"/>
        <v>191274.08446848672</v>
      </c>
      <c r="H15" s="978">
        <f t="shared" si="1"/>
        <v>33494.827661666408</v>
      </c>
      <c r="I15" s="978">
        <f t="shared" si="1"/>
        <v>0</v>
      </c>
      <c r="J15" s="978">
        <f t="shared" si="1"/>
        <v>355.86456924309425</v>
      </c>
      <c r="K15" s="978">
        <f t="shared" si="1"/>
        <v>0</v>
      </c>
      <c r="L15" s="978">
        <f t="shared" ca="1" si="1"/>
        <v>0</v>
      </c>
      <c r="M15" s="978">
        <f t="shared" si="1"/>
        <v>7025.0159639381582</v>
      </c>
      <c r="N15" s="978">
        <f t="shared" ca="1" si="1"/>
        <v>49765.352454462671</v>
      </c>
      <c r="O15" s="978">
        <f t="shared" si="1"/>
        <v>379.89000000000004</v>
      </c>
      <c r="P15" s="978">
        <f t="shared" si="1"/>
        <v>1372.8000000000002</v>
      </c>
      <c r="Q15" s="978">
        <f t="shared" ca="1" si="1"/>
        <v>1233950.360197217</v>
      </c>
    </row>
    <row r="17" spans="1:17">
      <c r="A17" s="487" t="s">
        <v>559</v>
      </c>
      <c r="B17" s="786">
        <f ca="1">huishoudens!B10</f>
        <v>0.21450228590050163</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28408.168082529126</v>
      </c>
      <c r="C22" s="477">
        <f t="shared" ref="C22:C32" ca="1" si="3">C4*$C$17</f>
        <v>0</v>
      </c>
      <c r="D22" s="477">
        <f t="shared" ref="D22:D32" si="4">D4*$D$17</f>
        <v>49540.274110825521</v>
      </c>
      <c r="E22" s="477">
        <f t="shared" ref="E22:E32" si="5">E4*$E$17</f>
        <v>703.61482478415655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78652.057018138818</v>
      </c>
    </row>
    <row r="23" spans="1:17">
      <c r="A23" s="476" t="s">
        <v>156</v>
      </c>
      <c r="B23" s="477">
        <f t="shared" ca="1" si="2"/>
        <v>33259.318201107752</v>
      </c>
      <c r="C23" s="477">
        <f t="shared" ca="1" si="3"/>
        <v>76.386554621848759</v>
      </c>
      <c r="D23" s="477">
        <f t="shared" ca="1" si="4"/>
        <v>33912.960177233079</v>
      </c>
      <c r="E23" s="477">
        <f t="shared" si="5"/>
        <v>638.59000904172933</v>
      </c>
      <c r="F23" s="477">
        <f t="shared" ca="1" si="6"/>
        <v>10788.035684757944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78675.290626762348</v>
      </c>
    </row>
    <row r="24" spans="1:17">
      <c r="A24" s="476" t="s">
        <v>194</v>
      </c>
      <c r="B24" s="477">
        <f t="shared" ca="1" si="2"/>
        <v>880.23337456131833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880.23337456131833</v>
      </c>
    </row>
    <row r="25" spans="1:17">
      <c r="A25" s="476" t="s">
        <v>112</v>
      </c>
      <c r="B25" s="477">
        <f t="shared" ca="1" si="2"/>
        <v>126.4519952003904</v>
      </c>
      <c r="C25" s="477">
        <f t="shared" ca="1" si="3"/>
        <v>0</v>
      </c>
      <c r="D25" s="477">
        <f t="shared" si="4"/>
        <v>83.835666554237406</v>
      </c>
      <c r="E25" s="477">
        <f t="shared" si="5"/>
        <v>3.4506928120659048</v>
      </c>
      <c r="F25" s="477">
        <f t="shared" si="6"/>
        <v>575.32736590024035</v>
      </c>
      <c r="G25" s="477">
        <f t="shared" si="7"/>
        <v>0</v>
      </c>
      <c r="H25" s="477">
        <f t="shared" si="8"/>
        <v>0</v>
      </c>
      <c r="I25" s="477">
        <f t="shared" si="9"/>
        <v>0</v>
      </c>
      <c r="J25" s="477">
        <f t="shared" si="10"/>
        <v>30.043363697183679</v>
      </c>
      <c r="K25" s="477">
        <f t="shared" si="11"/>
        <v>0</v>
      </c>
      <c r="L25" s="477">
        <f t="shared" si="12"/>
        <v>0</v>
      </c>
      <c r="M25" s="477">
        <f t="shared" si="13"/>
        <v>0</v>
      </c>
      <c r="N25" s="477">
        <f t="shared" si="14"/>
        <v>0</v>
      </c>
      <c r="O25" s="477">
        <f t="shared" si="15"/>
        <v>0</v>
      </c>
      <c r="P25" s="478">
        <f t="shared" si="16"/>
        <v>0</v>
      </c>
      <c r="Q25" s="476">
        <f t="shared" ca="1" si="17"/>
        <v>819.1090841641178</v>
      </c>
    </row>
    <row r="26" spans="1:17">
      <c r="A26" s="476" t="s">
        <v>638</v>
      </c>
      <c r="B26" s="477">
        <f t="shared" ca="1" si="2"/>
        <v>13610.512632501039</v>
      </c>
      <c r="C26" s="477">
        <f t="shared" ca="1" si="3"/>
        <v>0</v>
      </c>
      <c r="D26" s="477">
        <f t="shared" si="4"/>
        <v>11473.46184747436</v>
      </c>
      <c r="E26" s="477">
        <f t="shared" si="5"/>
        <v>982.04888434973577</v>
      </c>
      <c r="F26" s="477">
        <f t="shared" si="6"/>
        <v>5870.2434696620667</v>
      </c>
      <c r="G26" s="477">
        <f t="shared" si="7"/>
        <v>0</v>
      </c>
      <c r="H26" s="477">
        <f t="shared" si="8"/>
        <v>0</v>
      </c>
      <c r="I26" s="477">
        <f t="shared" si="9"/>
        <v>0</v>
      </c>
      <c r="J26" s="477">
        <f t="shared" si="10"/>
        <v>95.932693814871683</v>
      </c>
      <c r="K26" s="477">
        <f t="shared" si="11"/>
        <v>0</v>
      </c>
      <c r="L26" s="477">
        <f t="shared" si="12"/>
        <v>0</v>
      </c>
      <c r="M26" s="477">
        <f t="shared" si="13"/>
        <v>0</v>
      </c>
      <c r="N26" s="477">
        <f t="shared" si="14"/>
        <v>0</v>
      </c>
      <c r="O26" s="477">
        <f t="shared" si="15"/>
        <v>0</v>
      </c>
      <c r="P26" s="478">
        <f t="shared" si="16"/>
        <v>0</v>
      </c>
      <c r="Q26" s="476">
        <f t="shared" ca="1" si="17"/>
        <v>32032.199527802073</v>
      </c>
    </row>
    <row r="27" spans="1:17" s="482" customFormat="1">
      <c r="A27" s="480" t="s">
        <v>564</v>
      </c>
      <c r="B27" s="780">
        <f t="shared" ca="1" si="2"/>
        <v>11.4981548486424</v>
      </c>
      <c r="C27" s="481">
        <f t="shared" ca="1" si="3"/>
        <v>0</v>
      </c>
      <c r="D27" s="481">
        <f t="shared" si="4"/>
        <v>25.015743922037718</v>
      </c>
      <c r="E27" s="481">
        <f t="shared" si="5"/>
        <v>113.0328786349106</v>
      </c>
      <c r="F27" s="481">
        <f t="shared" si="6"/>
        <v>0</v>
      </c>
      <c r="G27" s="481">
        <f t="shared" si="7"/>
        <v>48571.005313021873</v>
      </c>
      <c r="H27" s="481">
        <f t="shared" si="8"/>
        <v>8340.2120877549351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57060.764178182406</v>
      </c>
    </row>
    <row r="28" spans="1:17">
      <c r="A28" s="476" t="s">
        <v>554</v>
      </c>
      <c r="B28" s="477">
        <f t="shared" ca="1" si="2"/>
        <v>385.46969128707786</v>
      </c>
      <c r="C28" s="477">
        <f t="shared" ca="1" si="3"/>
        <v>0</v>
      </c>
      <c r="D28" s="477">
        <f t="shared" si="4"/>
        <v>0</v>
      </c>
      <c r="E28" s="477">
        <f t="shared" si="5"/>
        <v>0</v>
      </c>
      <c r="F28" s="477">
        <f t="shared" si="6"/>
        <v>0</v>
      </c>
      <c r="G28" s="477">
        <f t="shared" si="7"/>
        <v>2499.1752400640812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2884.6449313511589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2794.4815129204162</v>
      </c>
      <c r="C32" s="477">
        <f t="shared" ca="1" si="3"/>
        <v>0</v>
      </c>
      <c r="D32" s="477">
        <f t="shared" si="4"/>
        <v>6802.6413617699991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9597.1228746904162</v>
      </c>
    </row>
    <row r="33" spans="1:17" s="486" customFormat="1">
      <c r="A33" s="1038" t="s">
        <v>558</v>
      </c>
      <c r="B33" s="978">
        <f ca="1">SUM(B22:B32)</f>
        <v>79476.133644955757</v>
      </c>
      <c r="C33" s="978">
        <f t="shared" ref="C33:Q33" ca="1" si="18">SUM(C22:C32)</f>
        <v>76.386554621848759</v>
      </c>
      <c r="D33" s="978">
        <f t="shared" ca="1" si="18"/>
        <v>101838.18890777923</v>
      </c>
      <c r="E33" s="978">
        <f t="shared" si="18"/>
        <v>2440.7372896225984</v>
      </c>
      <c r="F33" s="978">
        <f t="shared" ca="1" si="18"/>
        <v>17233.606520320252</v>
      </c>
      <c r="G33" s="978">
        <f t="shared" si="18"/>
        <v>51070.180553085956</v>
      </c>
      <c r="H33" s="978">
        <f t="shared" si="18"/>
        <v>8340.2120877549351</v>
      </c>
      <c r="I33" s="978">
        <f t="shared" si="18"/>
        <v>0</v>
      </c>
      <c r="J33" s="978">
        <f t="shared" si="18"/>
        <v>125.97605751205536</v>
      </c>
      <c r="K33" s="978">
        <f t="shared" si="18"/>
        <v>0</v>
      </c>
      <c r="L33" s="978">
        <f t="shared" ca="1" si="18"/>
        <v>0</v>
      </c>
      <c r="M33" s="978">
        <f t="shared" si="18"/>
        <v>0</v>
      </c>
      <c r="N33" s="978">
        <f t="shared" ca="1" si="18"/>
        <v>0</v>
      </c>
      <c r="O33" s="978">
        <f t="shared" si="18"/>
        <v>0</v>
      </c>
      <c r="P33" s="978">
        <f t="shared" si="18"/>
        <v>0</v>
      </c>
      <c r="Q33" s="978">
        <f t="shared" ca="1" si="18"/>
        <v>260601.42161565265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10910.591178912237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225</v>
      </c>
      <c r="D8" s="1055">
        <f>'SEAP template'!D76</f>
        <v>264.70588235294116</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53.470588235294116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10910.591178912237</v>
      </c>
      <c r="C10" s="1059">
        <f>SUM(C4:C9)</f>
        <v>225</v>
      </c>
      <c r="D10" s="1059">
        <f t="shared" ref="D10:H10" si="0">SUM(D8:D9)</f>
        <v>264.70588235294116</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53.470588235294116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0.21450228590050163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321.42857142857144</v>
      </c>
      <c r="D17" s="1056">
        <f>'SEAP template'!D87</f>
        <v>378.15126050420173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76.386554621848759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321.42857142857144</v>
      </c>
      <c r="D20" s="1059">
        <f t="shared" ref="D20:H20" si="2">SUM(D17:D19)</f>
        <v>378.15126050420173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76.386554621848759</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0.21450228590050163</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2019-08-12T08:24:41Z</dcterms:modified>
</cp:coreProperties>
</file>