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<sst xmlns="http://schemas.openxmlformats.org/spreadsheetml/2006/main" count="2392" uniqueCount="890">
  <si>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</si>
  <si>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</si>
  <si>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</si>
  <si>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</si>
  <si>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</si>
  <si>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</si>
  <si>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</si>
  <si>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</si>
  <si>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</si>
  <si>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</si>
  <si>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</si>
  <si>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</si>
  <si>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</si>
  <si>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</si>
  <si>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</si>
  <si>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</si>
  <si>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</si>
  <si>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</si>
  <si>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</si>
  <si>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</si>
  <si>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</si>
  <si>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</si>
  <si>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</si>
  <si>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</si>
  <si>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</si>
  <si>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</si>
  <si>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</si>
  <si>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</si>
  <si>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</si>
  <si>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</si>
  <si>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</si>
  <si>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</si>
  <si>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</si>
  <si>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</si>
  <si>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</si>
  <si>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</si>
  <si>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</si>
  <si>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</si>
  <si>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</si>
  <si>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</si>
  <si>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</si>
  <si>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</si>
  <si>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</si>
  <si>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</si>
  <si>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</si>
  <si>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</si>
  <si>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</si>
  <si>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</si>
  <si>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</si>
  <si>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</si>
  <si>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</si>
  <si>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</si>
  <si>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</si>
  <si>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</si>
  <si>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</si>
  <si>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</si>
  <si>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</si>
  <si>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</si>
  <si>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</si>
  <si>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</si>
  <si>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</si>
  <si>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</si>
  <si>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</si>
  <si>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</si>
  <si>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</si>
  <si>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</si>
  <si>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</si>
  <si>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</si>
  <si>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</si>
  <si>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</si>
  <si>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</si>
  <si>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</si>
  <si>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</si>
  <si>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</si>
  <si>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</si>
  <si>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</si>
  <si>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</si>
  <si>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</si>
  <si>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</si>
  <si>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</si>
  <si>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</si>
  <si>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</si>
  <si>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</si>
  <si>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</si>
  <si>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</si>
  <si>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</si>
  <si>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</si>
  <si>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</si>
  <si>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</si>
  <si>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</si>
  <si>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</si>
  <si>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</si>
  <si>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</si>
  <si>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</si>
  <si>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</si>
  <si>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</si>
  <si>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</si>
  <si>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</si>
  <si>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</si>
  <si>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</si>
  <si>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</si>
  <si>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</si>
  <si>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</si>
  <si>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</si>
  <si>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</si>
  <si>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</si>
  <si>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</si>
  <si>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</si>
  <si>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</si>
  <si>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</si>
  <si>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</si>
  <si>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</si>
  <si>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</si>
  <si>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</si>
  <si>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</si>
  <si>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</si>
  <si>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</si>
  <si>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</si>
  <si>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</si>
  <si>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</si>
  <si>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</si>
  <si>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</si>
  <si>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</si>
  <si>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</si>
  <si>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</si>
  <si>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</si>
  <si>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</si>
  <si>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</si>
  <si>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</si>
  <si>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</si>
  <si>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</si>
  <si>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</si>
  <si>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</si>
  <si>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</si>
  <si>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</si>
  <si>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</si>
  <si>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</si>
  <si>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</si>
  <si>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</si>
  <si>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</si>
  <si>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</si>
  <si>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</si>
  <si>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</si>
  <si>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</si>
  <si>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</si>
  <si>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</si>
  <si>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</si>
  <si>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</si>
  <si>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</si>
  <si>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</si>
  <si>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</si>
  <si>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</si>
  <si>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</si>
  <si>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</si>
  <si>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</si>
  <si>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</si>
  <si>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</si>
  <si>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</si>
  <si>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</si>
  <si>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</si>
  <si>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</si>
  <si>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</si>
  <si>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</si>
  <si>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</si>
  <si>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</si>
  <si>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</si>
  <si>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</si>
  <si>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</si>
  <si>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</si>
  <si>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</si>
  <si>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</si>
  <si>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</si>
  <si>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</si>
  <si>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</si>
  <si>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</si>
  <si>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</si>
  <si>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</si>
  <si>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</si>
  <si>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</si>
  <si>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</si>
  <si>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</si>
  <si>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</si>
  <si>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</si>
  <si>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</si>
  <si>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</si>
  <si>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</si>
  <si>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</si>
  <si>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</si>
  <si>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</si>
  <si>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</si>
  <si>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</si>
  <si>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</si>
  <si>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</si>
  <si>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</si>
  <si>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</si>
  <si>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</si>
  <si>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</si>
  <si>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</si>
  <si>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</si>
  <si>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</si>
  <si>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</si>
  <si>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</si>
  <si>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</si>
  <si>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</si>
  <si>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</si>
  <si>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</si>
  <si>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</si>
  <si>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</si>
  <si>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</si>
  <si>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</si>
  <si>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</si>
  <si>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</si>
  <si>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</si>
  <si>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</si>
  <si>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</si>
  <si>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</si>
  <si>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</si>
  <si>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</si>
  <si>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</si>
  <si>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</si>
  <si>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</si>
  <si>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</si>
  <si>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</si>
  <si>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</si>
  <si>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</si>
  <si>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</si>
  <si>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</si>
  <si>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</si>
  <si>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</si>
  <si>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</si>
  <si>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</si>
  <si>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</si>
  <si>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</si>
  <si>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</si>
  <si>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</si>
  <si>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</si>
  <si>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</si>
  <si>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</si>
  <si>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</si>
  <si>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</si>
  <si>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</si>
  <si>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</si>
  <si>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</si>
  <si>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</si>
  <si>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</si>
  <si>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</si>
  <si>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</si>
  <si>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</si>
  <si>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</si>
  <si>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</si>
  <si>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</si>
  <si>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</si>
  <si>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</si>
  <si>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</si>
  <si>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</si>
  <si>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</si>
  <si>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</si>
  <si>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</si>
  <si>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</si>
  <si>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</si>
  <si>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</si>
  <si>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</si>
  <si>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</si>
  <si>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</si>
  <si>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</si>
  <si>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</si>
  <si>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</si>
  <si>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</si>
  <si>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</si>
  <si>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</si>
  <si>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</si>
  <si>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</si>
  <si>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</si>
  <si>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</si>
  <si>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</si>
  <si>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</si>
  <si>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</si>
  <si>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</si>
  <si>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</si>
  <si>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</si>
  <si>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</si>
  <si>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</si>
  <si>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</si>
  <si>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</si>
  <si>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</si>
  <si>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</si>
  <si>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</si>
  <si>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</si>
  <si>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</si>
  <si>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</si>
  <si>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</si>
  <si>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</si>
  <si>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</si>
  <si>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</si>
  <si>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</si>
  <si>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</si>
  <si>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</si>
  <si>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</si>
  <si>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</si>
  <si>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</si>
  <si>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</si>
  <si>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</si>
  <si>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</si>
  <si>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</si>
  <si>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</si>
  <si>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</si>
  <si>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</si>
  <si>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</si>
  <si>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</si>
  <si>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</si>
  <si>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</si>
  <si>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</si>
  <si>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</si>
  <si>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</si>
  <si>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</si>
  <si>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</si>
  <si>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</si>
  <si>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</si>
  <si>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</si>
  <si>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</si>
  <si>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</si>
  <si>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</si>
  <si>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</si>
  <si>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</si>
  <si>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</si>
  <si>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</si>
  <si>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</si>
  <si>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</si>
  <si>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</si>
  <si>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</si>
  <si>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</si>
  <si>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</si>
  <si>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</si>
  <si>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</si>
  <si>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</si>
  <si>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</si>
  <si>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</si>
  <si>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</si>
  <si>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</si>
  <si>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</si>
  <si>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</si>
  <si>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</si>
  <si>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</si>
  <si>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</si>
  <si>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</si>
  <si>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</si>
  <si>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</si>
  <si>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</si>
  <si>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</si>
  <si>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</si>
  <si>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</si>
  <si>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</si>
  <si>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</si>
  <si>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</si>
  <si>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</si>
  <si>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</si>
  <si>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</si>
  <si>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</si>
  <si>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</si>
  <si>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</si>
  <si>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</si>
  <si>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</si>
  <si>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</si>
  <si>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</si>
  <si>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</si>
  <si>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</si>
  <si>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</si>
  <si>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</si>
  <si>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</si>
  <si>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</si>
  <si>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</si>
  <si>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</si>
  <si>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</si>
  <si>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</si>
  <si>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</si>
  <si>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</si>
  <si>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</si>
  <si>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</si>
  <si>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</si>
  <si>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</si>
  <si>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</si>
  <si>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</si>
  <si>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</si>
  <si>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</si>
  <si>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</si>
  <si>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</si>
  <si>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</si>
  <si>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</si>
  <si>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</si>
  <si>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</si>
  <si>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</si>
  <si>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</si>
  <si>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</si>
  <si>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</si>
  <si>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</si>
  <si>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</si>
  <si>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</si>
  <si>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</si>
  <si>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</si>
  <si>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</si>
  <si>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</si>
  <si>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</si>
  <si>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</si>
  <si>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</si>
  <si>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</si>
  <si>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</si>
  <si>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</si>
  <si>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</si>
  <si>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</si>
  <si>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</si>
  <si>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</si>
  <si>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</si>
  <si>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</si>
  <si>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</si>
  <si>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</si>
  <si>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</si>
  <si>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</si>
  <si>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</si>
  <si>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</si>
  <si>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</si>
  <si>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</si>
  <si>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</si>
  <si>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</si>
  <si>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</si>
  <si>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</si>
  <si>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</si>
  <si>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</si>
  <si>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</si>
  <si>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</si>
  <si>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</si>
  <si>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</si>
  <si>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</si>
  <si>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</si>
  <si>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</si>
  <si>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</si>
  <si>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</si>
  <si>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</si>
  <si>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</si>
  <si>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</si>
  <si>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</si>
  <si>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</si>
  <si>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</si>
  <si>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</si>
  <si>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</si>
  <si>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</si>
  <si>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</si>
  <si>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</si>
  <si>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</si>
  <si>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</si>
  <si>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</si>
  <si>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</si>
  <si>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</si>
  <si>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</si>
  <si>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</si>
  <si>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</si>
  <si>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</si>
  <si>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</si>
  <si>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</si>
  <si>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</si>
  <si>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</si>
  <si>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</si>
  <si>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</si>
  <si>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</si>
  <si>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</si>
  <si>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</si>
  <si>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</si>
  <si>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</si>
  <si>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</si>
  <si>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</si>
  <si>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</si>
  <si>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</si>
  <si>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</si>
  <si>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</si>
  <si>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</si>
  <si>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</si>
  <si>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</si>
  <si>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</si>
  <si>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</si>
  <si>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</si>
  <si>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</si>
  <si>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</si>
  <si>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</si>
  <si>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</si>
  <si>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</si>
  <si>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</si>
  <si>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</si>
  <si>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</si>
  <si>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</si>
  <si>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</si>
  <si>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</si>
  <si>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</si>
  <si>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</si>
  <si>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</si>
  <si>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</si>
  <si>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</si>
  <si>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</si>
  <si>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</si>
  <si>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</si>
  <si>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</si>
  <si>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</si>
  <si>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</si>
  <si>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</si>
  <si>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</si>
  <si>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</si>
  <si>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</si>
  <si>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</si>
  <si>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</si>
  <si>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</si>
  <si>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</si>
  <si>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</si>
  <si>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</si>
  <si>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</si>
  <si>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</si>
  <si>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</si>
  <si>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</si>
  <si>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</si>
  <si>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</si>
  <si>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</si>
  <si>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</si>
  <si>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</si>
  <si>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</si>
  <si>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</si>
  <si>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</si>
  <si>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</si>
  <si>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</si>
  <si>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</si>
  <si>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</si>
  <si>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</si>
  <si>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</si>
  <si>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</si>
  <si>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</si>
  <si>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</si>
  <si>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</si>
  <si>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</si>
  <si>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</si>
  <si>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</si>
  <si>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</si>
  <si>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</si>
  <si>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</si>
  <si>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</si>
  <si>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</si>
  <si>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</si>
  <si>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</si>
  <si>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</si>
  <si>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</si>
  <si>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</si>
  <si>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</si>
  <si>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</si>
  <si>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</si>
  <si>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</si>
  <si>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</si>
  <si>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</si>
  <si>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</si>
  <si>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</si>
  <si>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</si>
  <si>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</si>
  <si>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</si>
  <si>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</si>
  <si>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</si>
  <si>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</si>
  <si>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</si>
  <si>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</si>
  <si>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</si>
  <si>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</si>
  <si>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</si>
  <si>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</si>
  <si>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</si>
  <si>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</si>
  <si>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</si>
  <si>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</si>
  <si>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</si>
  <si>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</si>
  <si>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</si>
  <si>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</si>
  <si>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</si>
  <si>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</si>
  <si>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</si>
  <si>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</si>
  <si>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</si>
  <si>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</si>
  <si>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</si>
  <si>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</si>
  <si>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</si>
  <si>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</si>
  <si>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</si>
  <si>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</si>
  <si>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</si>
  <si>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</si>
  <si>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</si>
  <si>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</si>
  <si>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</si>
  <si>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</si>
  <si>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</si>
  <si>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</si>
  <si>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</si>
  <si>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</si>
  <si>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</si>
  <si>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</si>
  <si>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</si>
  <si>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</si>
  <si>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</si>
  <si>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</si>
  <si>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</si>
  <si>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</si>
  <si>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</si>
  <si>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</si>
  <si>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</si>
  <si>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</si>
  <si>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</si>
  <si>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</si>
  <si>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</si>
  <si>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</si>
  <si>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</si>
  <si>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</si>
  <si>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</si>
  <si>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</si>
  <si>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</si>
  <si>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</si>
  <si>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</si>
  <si>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</si>
  <si>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</si>
  <si>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</si>
  <si>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</si>
  <si>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</si>
  <si>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</si>
  <si>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</si>
  <si>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</si>
  <si>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</si>
  <si>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</si>
  <si>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</si>
  <si>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</si>
  <si>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</si>
  <si>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</si>
  <si>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</si>
  <si>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</si>
  <si>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</si>
  <si>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</si>
  <si>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</si>
  <si>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</si>
  <si>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</si>
  <si>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</si>
  <si>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</si>
  <si>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</si>
  <si>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</si>
  <si>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</si>
  <si>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</si>
  <si>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</si>
  <si>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</si>
  <si>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</si>
  <si>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</si>
  <si>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</si>
  <si>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</si>
  <si>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</si>
  <si>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</si>
  <si>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</si>
  <si>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</si>
  <si>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</si>
  <si>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</si>
  <si>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</si>
  <si>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</si>
  <si>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</si>
  <si>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</si>
  <si>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</si>
  <si>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</si>
  <si>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</si>
  <si>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</si>
  <si>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</si>
  <si>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</si>
  <si>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</si>
  <si>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</si>
  <si>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</si>
  <si>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</si>
  <si>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</si>
  <si>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</si>
  <si>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</si>
  <si>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</si>
  <si>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</si>
  <si>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</si>
  <si>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</si>
  <si>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</si>
  <si>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</si>
  <si>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</si>
  <si>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</si>
  <si>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</si>
  <si>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</si>
  <si>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</si>
  <si>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</si>
  <si>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</si>
  <si>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</si>
  <si>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</si>
  <si>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</si>
  <si>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</si>
  <si>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</si>
  <si>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</si>
  <si>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</si>
  <si>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</si>
  <si>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</si>
  <si>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</si>
  <si>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</si>
  <si>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</si>
  <si>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</si>
  <si>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</si>
  <si>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</si>
  <si>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</si>
  <si>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</si>
  <si>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</si>
  <si>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</si>
  <si>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</si>
  <si>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</si>
  <si>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</si>
  <si>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</si>
  <si>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</si>
  <si>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</si>
  <si>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</si>
  <si>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</si>
  <si>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</si>
  <si>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</si>
  <si>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</si>
  <si>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</si>
  <si>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</si>
  <si>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</si>
  <si>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</si>
  <si>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</si>
  <si>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</si>
  <si>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</si>
  <si>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</si>
  <si>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</si>
  <si>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</si>
  <si>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</si>
  <si>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</si>
  <si>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</si>
  <si>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</si>
  <si>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</si>
  <si>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</si>
  <si>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</si>
  <si>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</si>
  <si>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</si>
  <si>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</si>
  <si>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</si>
  <si>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</si>
  <si>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</si>
  <si>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</si>
  <si>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</si>
  <si>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</si>
  <si>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</si>
  <si>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</si>
  <si>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</si>
  <si>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</si>
  <si>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</si>
  <si>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</si>
  <si>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</si>
  <si>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</si>
  <si>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</si>
  <si>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</si>
  <si>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</si>
  <si>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</si>
  <si>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</si>
  <si>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</si>
  <si>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</si>
  <si>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</si>
  <si>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</si>
  <si>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</si>
  <si>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</si>
  <si>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</si>
  <si>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</si>
  <si>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</si>
  <si>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</si>
  <si>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</si>
  <si>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</si>
  <si>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</si>
  <si>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</si>
  <si>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</si>
  <si>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</si>
  <si>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</si>
  <si>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</si>
  <si>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</si>
  <si>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</si>
  <si>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</si>
  <si>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</si>
  <si>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</si>
  <si>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</si>
  <si>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</si>
  <si>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</si>
  <si>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</si>
  <si>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</si>
  <si>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</si>
  <si>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</si>
  <si>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</si>
  <si>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</si>
  <si>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</si>
  <si>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</si>
  <si>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</si>
  <si>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</si>
  <si>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</si>
  <si>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</si>
  <si>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</si>
  <si>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</si>
  <si>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</si>
  <si>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</si>
  <si>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</si>
  <si>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</si>
  <si>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</si>
  <si>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</si>
  <si>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</si>
  <si>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</si>
  <si>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</si>
  <si>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</si>
  <si>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</si>
  <si>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</si>
  <si>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</si>
  <si>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</si>
  <si>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</si>
  <si>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</si>
  <si>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</si>
  <si>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</si>
  <si>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</si>
  <si>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</si>
  <si>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</si>
  <si>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</si>
  <si>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</si>
  <si>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</si>
  <si>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</si>
  <si>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</si>
  <si>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</si>
  <si>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</si>
  <si>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</si>
  <si>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</si>
  <si>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</si>
  <si>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</si>
  <si>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</si>
  <si>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</si>
  <si>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</si>
  <si>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</si>
  <si>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</si>
  <si>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</si>
  <si>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</si>
  <si>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</si>
  <si>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</si>
  <si>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</si>
  <si>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</si>
  <si>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</si>
  <si>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</si>
  <si>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</si>
  <si>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</si>
  <si>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</si>
  <si>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</si>
  <si>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</si>
  <si>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</si>
  <si>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</si>
  <si>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</si>
  <si>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</si>
  <si>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</si>
  <si>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</si>
  <si>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</si>
  <si>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</si>
  <si>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</si>
  <si>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</si>
  <si>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</si>
  <si>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</si>
  <si>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</si>
  <si>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</si>
  <si>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</si>
  <si>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</si>
  <si>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</si>
  <si>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</si>
  <si>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</si>
  <si>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</si>
  <si>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</si>
  <si>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</si>
  <si>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</si>
  <si>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</si>
  <si>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</si>
  <si>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</si>
  <si>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</si>
  <si>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</si>
  <si>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</si>
  <si>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</si>
  <si>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</si>
  <si>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</si>
  <si>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</si>
  <si>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</si>
  <si>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</si>
  <si>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35011</t>
  </si>
  <si>
    <t>MIDDELKERKE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</si>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</sst>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132787.24131718409</c:v>
                </c:pt>
                <c:pt idx="1">
                  <c:v>81979.27315351236</c:v>
                </c:pt>
                <c:pt idx="2">
                  <c:v>1988.1369999999999</c:v>
                </c:pt>
                <c:pt idx="3">
                  <c:v>13783.984455265396</c:v>
                </c:pt>
                <c:pt idx="4">
                  <c:v>9797.1944883048036</c:v>
                </c:pt>
                <c:pt idx="5">
                  <c:v>182102.1161762331</c:v>
                </c:pt>
                <c:pt idx="6">
                  <c:v>3257.1072887896453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132787.24131718409</c:v>
                </c:pt>
                <c:pt idx="1">
                  <c:v>81979.27315351236</c:v>
                </c:pt>
                <c:pt idx="2">
                  <c:v>1988.1369999999999</c:v>
                </c:pt>
                <c:pt idx="3">
                  <c:v>13783.984455265396</c:v>
                </c:pt>
                <c:pt idx="4">
                  <c:v>9797.1944883048036</c:v>
                </c:pt>
                <c:pt idx="5">
                  <c:v>182102.1161762331</c:v>
                </c:pt>
                <c:pt idx="6">
                  <c:v>3257.1072887896453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25942.846553041047</c:v>
                </c:pt>
                <c:pt idx="2">
                  <c:v>16578.479252800367</c:v>
                </c:pt>
                <c:pt idx="3">
                  <c:v>396.89272603933034</c:v>
                </c:pt>
                <c:pt idx="4">
                  <c:v>3505.6542025808735</c:v>
                </c:pt>
                <c:pt idx="5">
                  <c:v>1903.214551951203</c:v>
                </c:pt>
                <c:pt idx="6">
                  <c:v>46736.369890861599</c:v>
                </c:pt>
                <c:pt idx="7">
                  <c:v>744.41262306403337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25942.846553041047</c:v>
                </c:pt>
                <c:pt idx="2">
                  <c:v>16578.479252800367</c:v>
                </c:pt>
                <c:pt idx="3">
                  <c:v>396.89272603933034</c:v>
                </c:pt>
                <c:pt idx="4">
                  <c:v>3505.6542025808735</c:v>
                </c:pt>
                <c:pt idx="5">
                  <c:v>1903.214551951203</c:v>
                </c:pt>
                <c:pt idx="6">
                  <c:v>46736.369890861599</c:v>
                </c:pt>
                <c:pt idx="7">
                  <c:v>744.41262306403337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0.19963047115934685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0.19963047115934685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9825</v>
      </c>
      <c r="C9" s="342">
        <v>10329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5784.33</v>
      </c>
    </row>
    <row r="15" spans="1:6">
      <c r="A15" s="348" t="s">
        <v>184</v>
      </c>
      <c r="B15" s="334">
        <v>46</v>
      </c>
    </row>
    <row r="16" spans="1:6">
      <c r="A16" s="348" t="s">
        <v>6</v>
      </c>
      <c r="B16" s="334">
        <v>1721</v>
      </c>
    </row>
    <row r="17" spans="1:6">
      <c r="A17" s="348" t="s">
        <v>7</v>
      </c>
      <c r="B17" s="334">
        <v>1717</v>
      </c>
    </row>
    <row r="18" spans="1:6">
      <c r="A18" s="348" t="s">
        <v>8</v>
      </c>
      <c r="B18" s="334">
        <v>2232</v>
      </c>
    </row>
    <row r="19" spans="1:6">
      <c r="A19" s="348" t="s">
        <v>9</v>
      </c>
      <c r="B19" s="334">
        <v>2064</v>
      </c>
    </row>
    <row r="20" spans="1:6">
      <c r="A20" s="348" t="s">
        <v>10</v>
      </c>
      <c r="B20" s="334">
        <v>1427</v>
      </c>
    </row>
    <row r="21" spans="1:6">
      <c r="A21" s="348" t="s">
        <v>11</v>
      </c>
      <c r="B21" s="334">
        <v>15507</v>
      </c>
    </row>
    <row r="22" spans="1:6">
      <c r="A22" s="348" t="s">
        <v>12</v>
      </c>
      <c r="B22" s="334">
        <v>28275</v>
      </c>
    </row>
    <row r="23" spans="1:6">
      <c r="A23" s="348" t="s">
        <v>13</v>
      </c>
      <c r="B23" s="334">
        <v>596</v>
      </c>
    </row>
    <row r="24" spans="1:6">
      <c r="A24" s="348" t="s">
        <v>14</v>
      </c>
      <c r="B24" s="334">
        <v>234</v>
      </c>
    </row>
    <row r="25" spans="1:6">
      <c r="A25" s="348" t="s">
        <v>15</v>
      </c>
      <c r="B25" s="334">
        <v>3614</v>
      </c>
    </row>
    <row r="26" spans="1:6">
      <c r="A26" s="348" t="s">
        <v>16</v>
      </c>
      <c r="B26" s="334">
        <v>267</v>
      </c>
    </row>
    <row r="27" spans="1:6">
      <c r="A27" s="348" t="s">
        <v>17</v>
      </c>
      <c r="B27" s="334">
        <v>361</v>
      </c>
    </row>
    <row r="28" spans="1:6" s="356" customFormat="1">
      <c r="A28" s="355" t="s">
        <v>18</v>
      </c>
      <c r="B28" s="355">
        <v>54259</v>
      </c>
    </row>
    <row r="29" spans="1:6">
      <c r="A29" s="355" t="s">
        <v>884</v>
      </c>
      <c r="B29" s="355">
        <v>252</v>
      </c>
      <c r="C29" s="356"/>
      <c r="D29" s="356"/>
      <c r="E29" s="356"/>
      <c r="F29" s="356"/>
    </row>
    <row r="30" spans="1:6">
      <c r="A30" s="355" t="s">
        <v>885</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54873</v>
      </c>
    </row>
    <row r="37" spans="1:6">
      <c r="A37" s="348" t="s">
        <v>25</v>
      </c>
      <c r="B37" s="348" t="s">
        <v>28</v>
      </c>
      <c r="C37" s="334">
        <v>0</v>
      </c>
      <c r="D37" s="334">
        <v>0</v>
      </c>
      <c r="E37" s="334">
        <v>0</v>
      </c>
      <c r="F37" s="334">
        <v>0</v>
      </c>
    </row>
    <row r="38" spans="1:6">
      <c r="A38" s="348" t="s">
        <v>25</v>
      </c>
      <c r="B38" s="348" t="s">
        <v>29</v>
      </c>
      <c r="C38" s="334">
        <v>0</v>
      </c>
      <c r="D38" s="334">
        <v>73279</v>
      </c>
      <c r="E38" s="334">
        <v>0</v>
      </c>
      <c r="F38" s="334">
        <v>14890</v>
      </c>
    </row>
    <row r="39" spans="1:6">
      <c r="A39" s="348" t="s">
        <v>30</v>
      </c>
      <c r="B39" s="348" t="s">
        <v>31</v>
      </c>
      <c r="C39" s="334">
        <v>8648</v>
      </c>
      <c r="D39" s="334">
        <v>82593590</v>
      </c>
      <c r="E39" s="334">
        <v>22791</v>
      </c>
      <c r="F39" s="334">
        <v>49954579</v>
      </c>
    </row>
    <row r="40" spans="1:6">
      <c r="A40" s="348" t="s">
        <v>30</v>
      </c>
      <c r="B40" s="348" t="s">
        <v>29</v>
      </c>
      <c r="C40" s="334">
        <v>0</v>
      </c>
      <c r="D40" s="334">
        <v>0</v>
      </c>
      <c r="E40" s="334">
        <v>0</v>
      </c>
      <c r="F40" s="334">
        <v>0</v>
      </c>
    </row>
    <row r="41" spans="1:6">
      <c r="A41" s="348" t="s">
        <v>32</v>
      </c>
      <c r="B41" s="348" t="s">
        <v>33</v>
      </c>
      <c r="C41" s="334">
        <v>124</v>
      </c>
      <c r="D41" s="334">
        <v>1977125</v>
      </c>
      <c r="E41" s="334">
        <v>361</v>
      </c>
      <c r="F41" s="334">
        <v>1879101</v>
      </c>
    </row>
    <row r="42" spans="1:6">
      <c r="A42" s="348" t="s">
        <v>32</v>
      </c>
      <c r="B42" s="348" t="s">
        <v>34</v>
      </c>
      <c r="C42" s="334">
        <v>3</v>
      </c>
      <c r="D42" s="334">
        <v>368397</v>
      </c>
      <c r="E42" s="334">
        <v>4</v>
      </c>
      <c r="F42" s="334">
        <v>137868</v>
      </c>
    </row>
    <row r="43" spans="1:6">
      <c r="A43" s="348" t="s">
        <v>32</v>
      </c>
      <c r="B43" s="348" t="s">
        <v>35</v>
      </c>
      <c r="C43" s="334">
        <v>0</v>
      </c>
      <c r="D43" s="334">
        <v>0</v>
      </c>
      <c r="E43" s="334">
        <v>0</v>
      </c>
      <c r="F43" s="334">
        <v>0</v>
      </c>
    </row>
    <row r="44" spans="1:6">
      <c r="A44" s="348" t="s">
        <v>32</v>
      </c>
      <c r="B44" s="348" t="s">
        <v>36</v>
      </c>
      <c r="C44" s="334">
        <v>6</v>
      </c>
      <c r="D44" s="334">
        <v>99477</v>
      </c>
      <c r="E44" s="334">
        <v>15</v>
      </c>
      <c r="F44" s="334">
        <v>95965</v>
      </c>
    </row>
    <row r="45" spans="1:6">
      <c r="A45" s="348" t="s">
        <v>32</v>
      </c>
      <c r="B45" s="348" t="s">
        <v>37</v>
      </c>
      <c r="C45" s="334">
        <v>0</v>
      </c>
      <c r="D45" s="334">
        <v>0</v>
      </c>
      <c r="E45" s="334">
        <v>6</v>
      </c>
      <c r="F45" s="334">
        <v>14666</v>
      </c>
    </row>
    <row r="46" spans="1:6">
      <c r="A46" s="348" t="s">
        <v>32</v>
      </c>
      <c r="B46" s="348" t="s">
        <v>38</v>
      </c>
      <c r="C46" s="334">
        <v>0</v>
      </c>
      <c r="D46" s="334">
        <v>0</v>
      </c>
      <c r="E46" s="334">
        <v>0</v>
      </c>
      <c r="F46" s="334">
        <v>0</v>
      </c>
    </row>
    <row r="47" spans="1:6">
      <c r="A47" s="348" t="s">
        <v>32</v>
      </c>
      <c r="B47" s="348" t="s">
        <v>39</v>
      </c>
      <c r="C47" s="334">
        <v>3</v>
      </c>
      <c r="D47" s="334">
        <v>55337</v>
      </c>
      <c r="E47" s="334">
        <v>5</v>
      </c>
      <c r="F47" s="334">
        <v>26478</v>
      </c>
    </row>
    <row r="48" spans="1:6">
      <c r="A48" s="348" t="s">
        <v>32</v>
      </c>
      <c r="B48" s="348" t="s">
        <v>29</v>
      </c>
      <c r="C48" s="334">
        <v>0</v>
      </c>
      <c r="D48" s="334">
        <v>28343</v>
      </c>
      <c r="E48" s="334">
        <v>0</v>
      </c>
      <c r="F48" s="334">
        <v>0</v>
      </c>
    </row>
    <row r="49" spans="1:6">
      <c r="A49" s="348" t="s">
        <v>32</v>
      </c>
      <c r="B49" s="348" t="s">
        <v>40</v>
      </c>
      <c r="C49" s="334">
        <v>0</v>
      </c>
      <c r="D49" s="334">
        <v>0</v>
      </c>
      <c r="E49" s="334">
        <v>0</v>
      </c>
      <c r="F49" s="334">
        <v>0</v>
      </c>
    </row>
    <row r="50" spans="1:6">
      <c r="A50" s="348" t="s">
        <v>32</v>
      </c>
      <c r="B50" s="348" t="s">
        <v>41</v>
      </c>
      <c r="C50" s="334">
        <v>16</v>
      </c>
      <c r="D50" s="334">
        <v>1089385</v>
      </c>
      <c r="E50" s="334">
        <v>37</v>
      </c>
      <c r="F50" s="334">
        <v>975434</v>
      </c>
    </row>
    <row r="51" spans="1:6">
      <c r="A51" s="348" t="s">
        <v>42</v>
      </c>
      <c r="B51" s="348" t="s">
        <v>43</v>
      </c>
      <c r="C51" s="334">
        <v>16</v>
      </c>
      <c r="D51" s="334">
        <v>312166</v>
      </c>
      <c r="E51" s="334">
        <v>180</v>
      </c>
      <c r="F51" s="334">
        <v>2798462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98</v>
      </c>
      <c r="F54" s="334">
        <v>1988137</v>
      </c>
    </row>
    <row r="55" spans="1:6">
      <c r="A55" s="348" t="s">
        <v>46</v>
      </c>
      <c r="B55" s="348" t="s">
        <v>29</v>
      </c>
      <c r="C55" s="334">
        <v>0</v>
      </c>
      <c r="D55" s="334">
        <v>0</v>
      </c>
      <c r="E55" s="334">
        <v>0</v>
      </c>
      <c r="F55" s="334">
        <v>0</v>
      </c>
    </row>
    <row r="56" spans="1:6">
      <c r="A56" s="348" t="s">
        <v>48</v>
      </c>
      <c r="B56" s="348" t="s">
        <v>29</v>
      </c>
      <c r="C56" s="334">
        <v>490</v>
      </c>
      <c r="D56" s="334">
        <v>7768258</v>
      </c>
      <c r="E56" s="334">
        <v>1815</v>
      </c>
      <c r="F56" s="334">
        <v>5377421</v>
      </c>
    </row>
    <row r="57" spans="1:6">
      <c r="A57" s="348" t="s">
        <v>49</v>
      </c>
      <c r="B57" s="348" t="s">
        <v>50</v>
      </c>
      <c r="C57" s="334">
        <v>59</v>
      </c>
      <c r="D57" s="334">
        <v>4324937</v>
      </c>
      <c r="E57" s="334">
        <v>158</v>
      </c>
      <c r="F57" s="334">
        <v>3532269</v>
      </c>
    </row>
    <row r="58" spans="1:6">
      <c r="A58" s="348" t="s">
        <v>49</v>
      </c>
      <c r="B58" s="348" t="s">
        <v>51</v>
      </c>
      <c r="C58" s="334">
        <v>24</v>
      </c>
      <c r="D58" s="334">
        <v>1759757</v>
      </c>
      <c r="E58" s="334">
        <v>80</v>
      </c>
      <c r="F58" s="334">
        <v>1481296</v>
      </c>
    </row>
    <row r="59" spans="1:6">
      <c r="A59" s="348" t="s">
        <v>49</v>
      </c>
      <c r="B59" s="348" t="s">
        <v>52</v>
      </c>
      <c r="C59" s="334">
        <v>172</v>
      </c>
      <c r="D59" s="334">
        <v>5048486</v>
      </c>
      <c r="E59" s="334">
        <v>450</v>
      </c>
      <c r="F59" s="334">
        <v>9921151</v>
      </c>
    </row>
    <row r="60" spans="1:6">
      <c r="A60" s="348" t="s">
        <v>49</v>
      </c>
      <c r="B60" s="348" t="s">
        <v>53</v>
      </c>
      <c r="C60" s="334">
        <v>201</v>
      </c>
      <c r="D60" s="334">
        <v>10032004</v>
      </c>
      <c r="E60" s="334">
        <v>346</v>
      </c>
      <c r="F60" s="334">
        <v>11599868</v>
      </c>
    </row>
    <row r="61" spans="1:6">
      <c r="A61" s="348" t="s">
        <v>49</v>
      </c>
      <c r="B61" s="348" t="s">
        <v>54</v>
      </c>
      <c r="C61" s="334">
        <v>232</v>
      </c>
      <c r="D61" s="334">
        <v>15726147</v>
      </c>
      <c r="E61" s="334">
        <v>1183</v>
      </c>
      <c r="F61" s="334">
        <v>7847229</v>
      </c>
    </row>
    <row r="62" spans="1:6">
      <c r="A62" s="348" t="s">
        <v>49</v>
      </c>
      <c r="B62" s="348" t="s">
        <v>55</v>
      </c>
      <c r="C62" s="334">
        <v>5</v>
      </c>
      <c r="D62" s="334">
        <v>396120</v>
      </c>
      <c r="E62" s="334">
        <v>11</v>
      </c>
      <c r="F62" s="334">
        <v>191667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246814</v>
      </c>
      <c r="E65" s="334">
        <v>0</v>
      </c>
      <c r="F65" s="334">
        <v>449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29</v>
      </c>
      <c r="F68" s="334">
        <v>1940022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81267400</v>
      </c>
      <c r="E73" s="475">
        <v>87910118.316652894</v>
      </c>
    </row>
    <row r="74" spans="1:6">
      <c r="A74" s="348" t="s">
        <v>64</v>
      </c>
      <c r="B74" s="348" t="s">
        <v>667</v>
      </c>
      <c r="C74" s="1294" t="s">
        <v>669</v>
      </c>
      <c r="D74" s="475">
        <v>9216218.5246547963</v>
      </c>
      <c r="E74" s="475">
        <v>10601994.8892051</v>
      </c>
    </row>
    <row r="75" spans="1:6">
      <c r="A75" s="348" t="s">
        <v>65</v>
      </c>
      <c r="B75" s="348" t="s">
        <v>666</v>
      </c>
      <c r="C75" s="1294" t="s">
        <v>670</v>
      </c>
      <c r="D75" s="475">
        <v>6482493</v>
      </c>
      <c r="E75" s="475">
        <v>7383244.6820991067</v>
      </c>
    </row>
    <row r="76" spans="1:6">
      <c r="A76" s="348" t="s">
        <v>65</v>
      </c>
      <c r="B76" s="348" t="s">
        <v>667</v>
      </c>
      <c r="C76" s="1294" t="s">
        <v>671</v>
      </c>
      <c r="D76" s="475">
        <v>235395.52465479544</v>
      </c>
      <c r="E76" s="475">
        <v>298231.48913777003</v>
      </c>
    </row>
    <row r="77" spans="1:6">
      <c r="A77" s="348" t="s">
        <v>66</v>
      </c>
      <c r="B77" s="348" t="s">
        <v>666</v>
      </c>
      <c r="C77" s="1294" t="s">
        <v>672</v>
      </c>
      <c r="D77" s="475">
        <v>73076682</v>
      </c>
      <c r="E77" s="475">
        <v>79000057.514706835</v>
      </c>
    </row>
    <row r="78" spans="1:6">
      <c r="A78" s="341" t="s">
        <v>66</v>
      </c>
      <c r="B78" s="341" t="s">
        <v>667</v>
      </c>
      <c r="C78" s="341" t="s">
        <v>673</v>
      </c>
      <c r="D78" s="1295">
        <v>20509833</v>
      </c>
      <c r="E78" s="1295">
        <v>22086963.994549084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426368.95069040911</v>
      </c>
      <c r="C83" s="475">
        <v>426368.95069040911</v>
      </c>
    </row>
    <row r="84" spans="1:6">
      <c r="A84" s="341" t="s">
        <v>337</v>
      </c>
      <c r="B84" s="1295">
        <v>473660.0340676721</v>
      </c>
      <c r="C84" s="1295">
        <v>473660.0340676721</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4162.6890562526805</v>
      </c>
    </row>
    <row r="91" spans="1:6">
      <c r="A91" s="348" t="s">
        <v>68</v>
      </c>
      <c r="B91" s="334">
        <v>2788.898178295553</v>
      </c>
    </row>
    <row r="92" spans="1:6">
      <c r="A92" s="341" t="s">
        <v>69</v>
      </c>
      <c r="B92" s="342">
        <v>2942.0045265303579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125</v>
      </c>
    </row>
    <row r="130" spans="1:6">
      <c r="A130" s="348" t="s">
        <v>295</v>
      </c>
      <c r="B130" s="334">
        <v>8</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102317.82813287049</v>
      </c>
      <c r="C3" s="43" t="s">
        <v>170</v>
      </c>
      <c r="D3" s="43"/>
      <c r="E3" s="154"/>
      <c r="F3" s="43"/>
      <c r="G3" s="43"/>
      <c r="H3" s="43"/>
      <c r="I3" s="43"/>
      <c r="J3" s="43"/>
      <c r="K3" s="96"/>
    </row>
    <row r="4" spans="1:11">
      <c r="A4" s="383" t="s">
        <v>171</v>
      </c>
      <c r="B4" s="49">
        <f>IF(ISERROR('SEAP template'!B78+'SEAP template'!C78),0,'SEAP template'!B78+'SEAP template'!C78)</f>
        <v>9893.5917610785909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0.19963047115934685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1988.1369999999999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0.19963047115934685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396.89272603933034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49954.578999999998</v>
      </c>
      <c r="C5" s="17">
        <f>IF(ISERROR('Eigen informatie GS &amp; warmtenet'!B57),0,'Eigen informatie GS &amp; warmtenet'!B57)</f>
        <v>0</v>
      </c>
      <c r="D5" s="30">
        <f>(SUM(HH_hh_gas_kWh,HH_rest_gas_kWh)/1000)*0.902</f>
        <v>74499.418179999993</v>
      </c>
      <c r="E5" s="17">
        <f>B46*B57</f>
        <v>1606.8673171614507</v>
      </c>
      <c r="F5" s="17">
        <f>B51*B62</f>
        <v>0</v>
      </c>
      <c r="G5" s="18"/>
      <c r="H5" s="17"/>
      <c r="I5" s="17"/>
      <c r="J5" s="17">
        <f>B50*B61+C50*C61</f>
        <v>0</v>
      </c>
      <c r="K5" s="17"/>
      <c r="L5" s="17"/>
      <c r="M5" s="17"/>
      <c r="N5" s="17">
        <f>B48*B59+C48*C59</f>
        <v>3265.7019750604181</v>
      </c>
      <c r="O5" s="17">
        <f>B69*B70*B71</f>
        <v>214.17666666666668</v>
      </c>
      <c r="P5" s="17">
        <f>B77*B78*B79/1000-B77*B78*B79/1000/B80</f>
        <v>457.6</v>
      </c>
    </row>
    <row r="6" spans="1:16">
      <c r="A6" s="16" t="s">
        <v>624</v>
      </c>
      <c r="B6" s="788">
        <f>kWh_PV_kleiner_dan_10kW</f>
        <v>2788.898178295553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52743.47717829555</v>
      </c>
      <c r="C8" s="21">
        <f>C5</f>
        <v>0</v>
      </c>
      <c r="D8" s="21">
        <f>D5</f>
        <v>74499.418179999993</v>
      </c>
      <c r="E8" s="21">
        <f>E5</f>
        <v>1606.8673171614507</v>
      </c>
      <c r="F8" s="21">
        <f>F5</f>
        <v>0</v>
      </c>
      <c r="G8" s="21"/>
      <c r="H8" s="21"/>
      <c r="I8" s="21"/>
      <c r="J8" s="21">
        <f>J5</f>
        <v>0</v>
      </c>
      <c r="K8" s="21"/>
      <c r="L8" s="21">
        <f>L5</f>
        <v>0</v>
      </c>
      <c r="M8" s="21">
        <f>M5</f>
        <v>0</v>
      </c>
      <c r="N8" s="21">
        <f>N5</f>
        <v>3265.7019750604181</v>
      </c>
      <c r="O8" s="21">
        <f>O5</f>
        <v>214.17666666666668</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0.19963047115934685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10529.205199685399</v>
      </c>
      <c r="C12" s="23">
        <f ca="1">C10*C8</f>
        <v>0</v>
      </c>
      <c r="D12" s="23">
        <f>D8*D10</f>
        <v>15048.882472359999</v>
      </c>
      <c r="E12" s="23">
        <f>E10*E8</f>
        <v>364.75888099564935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9825</v>
      </c>
      <c r="C28" s="36"/>
      <c r="D28" s="228"/>
    </row>
    <row r="29" spans="1:7" s="15" customFormat="1">
      <c r="A29" s="230" t="s">
        <v>699</v>
      </c>
      <c r="B29" s="37">
        <f>SUM(HH_hh_gas_aantal,HH_rest_gas_aantal)</f>
        <v>8648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8648</v>
      </c>
      <c r="C32" s="167">
        <f>IF(ISERROR(B32/SUM($B$32,$B$34,$B$35,$B$36,$B$38,$B$39)*100),0,B32/SUM($B$32,$B$34,$B$35,$B$36,$B$38,$B$39)*100)</f>
        <v>88.235894296500362</v>
      </c>
      <c r="D32" s="233"/>
      <c r="G32" s="15"/>
    </row>
    <row r="33" spans="1:7">
      <c r="A33" s="171" t="s">
        <v>72</v>
      </c>
      <c r="B33" s="34" t="s">
        <v>111</v>
      </c>
      <c r="C33" s="167"/>
      <c r="D33" s="233"/>
      <c r="G33" s="15"/>
    </row>
    <row r="34" spans="1:7">
      <c r="A34" s="171" t="s">
        <v>73</v>
      </c>
      <c r="B34" s="33">
        <f>IF((($B$28-$B$32-$B$39-$B$77-$B$38)*C20/100)&lt;0,0,($B$28-$B$32-$B$39-$B$77-$B$38)*C20/100)</f>
        <v>71.044092707744497</v>
      </c>
      <c r="C34" s="167">
        <f>IF(ISERROR(B34/SUM($B$32,$B$34,$B$35,$B$36,$B$38,$B$39)*100),0,B34/SUM($B$32,$B$34,$B$35,$B$36,$B$38,$B$39)*100)</f>
        <v>0.72486575561416688</v>
      </c>
      <c r="D34" s="233"/>
      <c r="G34" s="15"/>
    </row>
    <row r="35" spans="1:7">
      <c r="A35" s="171" t="s">
        <v>74</v>
      </c>
      <c r="B35" s="33">
        <f>IF((($B$28-$B$32-$B$39-$B$77-$B$38)*C21/100)&lt;0,0,($B$28-$B$32-$B$39-$B$77-$B$38)*C21/100)</f>
        <v>1031.1170152628604</v>
      </c>
      <c r="C35" s="167">
        <f>IF(ISERROR(B35/SUM($B$32,$B$34,$B$35,$B$36,$B$38,$B$39)*100),0,B35/SUM($B$32,$B$34,$B$35,$B$36,$B$38,$B$39)*100)</f>
        <v>10.520528673225797</v>
      </c>
      <c r="D35" s="233"/>
      <c r="G35" s="15"/>
    </row>
    <row r="36" spans="1:7">
      <c r="A36" s="171" t="s">
        <v>75</v>
      </c>
      <c r="B36" s="33">
        <f>IF((($B$28-$B$32-$B$39-$B$77-$B$38)*C22/100)&lt;0,0,($B$28-$B$32-$B$39-$B$77-$B$38)*C22/100)</f>
        <v>50.83889202939514</v>
      </c>
      <c r="C36" s="167">
        <f>IF(ISERROR(B36/SUM($B$32,$B$34,$B$35,$B$36,$B$38,$B$39)*100),0,B36/SUM($B$32,$B$34,$B$35,$B$36,$B$38,$B$39)*100)</f>
        <v>0.51871127465967903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8648</v>
      </c>
      <c r="C44" s="34" t="s">
        <v>111</v>
      </c>
      <c r="D44" s="174"/>
    </row>
    <row r="45" spans="1:7">
      <c r="A45" s="171" t="s">
        <v>72</v>
      </c>
      <c r="B45" s="33" t="str">
        <f t="shared" si="0"/>
        <v>-</v>
      </c>
      <c r="C45" s="34" t="s">
        <v>111</v>
      </c>
      <c r="D45" s="174"/>
    </row>
    <row r="46" spans="1:7">
      <c r="A46" s="171" t="s">
        <v>73</v>
      </c>
      <c r="B46" s="33">
        <f t="shared" si="0"/>
        <v>71.044092707744497</v>
      </c>
      <c r="C46" s="34" t="s">
        <v>111</v>
      </c>
      <c r="D46" s="174"/>
    </row>
    <row r="47" spans="1:7">
      <c r="A47" s="171" t="s">
        <v>74</v>
      </c>
      <c r="B47" s="33">
        <f t="shared" si="0"/>
        <v>1031.1170152628604</v>
      </c>
      <c r="C47" s="34" t="s">
        <v>111</v>
      </c>
      <c r="D47" s="174"/>
    </row>
    <row r="48" spans="1:7">
      <c r="A48" s="171" t="s">
        <v>75</v>
      </c>
      <c r="B48" s="33">
        <f t="shared" si="0"/>
        <v>50.83889202939514</v>
      </c>
      <c r="C48" s="33">
        <f>B48*10</f>
        <v>508.3889202939514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34573.479999999996</v>
      </c>
      <c r="C5" s="17">
        <f>IF(ISERROR('Eigen informatie GS &amp; warmtenet'!B58),0,'Eigen informatie GS &amp; warmtenet'!B58)</f>
        <v>0</v>
      </c>
      <c r="D5" s="30">
        <f>SUM(D6:D12)</f>
        <v>33633.280802000001</v>
      </c>
      <c r="E5" s="17">
        <f>SUM(E6:E12)</f>
        <v>805.58054257077879</v>
      </c>
      <c r="F5" s="17">
        <f>SUM(F6:F12)</f>
        <v>10111.496800054469</v>
      </c>
      <c r="G5" s="18"/>
      <c r="H5" s="17"/>
      <c r="I5" s="17"/>
      <c r="J5" s="17">
        <f>SUM(J6:J12)</f>
        <v>0</v>
      </c>
      <c r="K5" s="17"/>
      <c r="L5" s="17"/>
      <c r="M5" s="17"/>
      <c r="N5" s="17">
        <f>SUM(N6:N12)</f>
        <v>2823.8616755537805</v>
      </c>
      <c r="O5" s="17">
        <f>B38*B39*B40</f>
        <v>12.506666666666668</v>
      </c>
      <c r="P5" s="17">
        <f>B46*B47*B48/1000-B46*B47*B48/1000/B49</f>
        <v>19.066666666666666</v>
      </c>
      <c r="R5" s="32"/>
    </row>
    <row r="6" spans="1:18">
      <c r="A6" s="32" t="s">
        <v>54</v>
      </c>
      <c r="B6" s="37">
        <f>B26</f>
        <v>7847.2290000000003</v>
      </c>
      <c r="C6" s="33"/>
      <c r="D6" s="37">
        <f>IF(ISERROR(TER_kantoor_gas_kWh/1000),0,TER_kantoor_gas_kWh/1000)*0.902</f>
        <v>14184.984594000001</v>
      </c>
      <c r="E6" s="33">
        <f>$C$26*'E Balans VL '!I12/100/3.6*1000000</f>
        <v>102.72989399446335</v>
      </c>
      <c r="F6" s="33">
        <f>$C$26*('E Balans VL '!L12+'E Balans VL '!N12)/100/3.6*1000000</f>
        <v>2000.9623047646321</v>
      </c>
      <c r="G6" s="34"/>
      <c r="H6" s="33"/>
      <c r="I6" s="33"/>
      <c r="J6" s="33">
        <f>$C$26*('E Balans VL '!D12+'E Balans VL '!E12)/100/3.6*1000000</f>
        <v>0</v>
      </c>
      <c r="K6" s="33"/>
      <c r="L6" s="33"/>
      <c r="M6" s="33"/>
      <c r="N6" s="33">
        <f>$C$26*'E Balans VL '!Y12/100/3.6*1000000</f>
        <v>7.8736541233378698</v>
      </c>
      <c r="O6" s="33"/>
      <c r="P6" s="33"/>
      <c r="R6" s="32"/>
    </row>
    <row r="7" spans="1:18">
      <c r="A7" s="32" t="s">
        <v>53</v>
      </c>
      <c r="B7" s="37">
        <f t="shared" ref="B7:B12" si="0">B27</f>
        <v>11599.868</v>
      </c>
      <c r="C7" s="33"/>
      <c r="D7" s="37">
        <f>IF(ISERROR(TER_horeca_gas_kWh/1000),0,TER_horeca_gas_kWh/1000)*0.902</f>
        <v>9048.8676080000005</v>
      </c>
      <c r="E7" s="33">
        <f>$C$27*'E Balans VL '!I9/100/3.6*1000000</f>
        <v>383.88507116994515</v>
      </c>
      <c r="F7" s="33">
        <f>$C$27*('E Balans VL '!L9+'E Balans VL '!N9)/100/3.6*1000000</f>
        <v>4987.8987839209367</v>
      </c>
      <c r="G7" s="34"/>
      <c r="H7" s="33"/>
      <c r="I7" s="33"/>
      <c r="J7" s="33">
        <f>$C$27*('E Balans VL '!D9+'E Balans VL '!E9)/100/3.6*1000000</f>
        <v>0</v>
      </c>
      <c r="K7" s="33"/>
      <c r="L7" s="33"/>
      <c r="M7" s="33"/>
      <c r="N7" s="33">
        <f>$C$27*'E Balans VL '!Y9/100/3.6*1000000</f>
        <v>2.7922566761690542</v>
      </c>
      <c r="O7" s="33"/>
      <c r="P7" s="33"/>
      <c r="R7" s="32"/>
    </row>
    <row r="8" spans="1:18">
      <c r="A8" s="6" t="s">
        <v>52</v>
      </c>
      <c r="B8" s="37">
        <f t="shared" si="0"/>
        <v>9921.1509999999998</v>
      </c>
      <c r="C8" s="33"/>
      <c r="D8" s="37">
        <f>IF(ISERROR(TER_handel_gas_kWh/1000),0,TER_handel_gas_kWh/1000)*0.902</f>
        <v>4553.7343719999999</v>
      </c>
      <c r="E8" s="33">
        <f>$C$28*'E Balans VL '!I13/100/3.6*1000000</f>
        <v>313.12668462749428</v>
      </c>
      <c r="F8" s="33">
        <f>$C$28*('E Balans VL '!L13+'E Balans VL '!N13)/100/3.6*1000000</f>
        <v>1945.7124117227333</v>
      </c>
      <c r="G8" s="34"/>
      <c r="H8" s="33"/>
      <c r="I8" s="33"/>
      <c r="J8" s="33">
        <f>$C$28*('E Balans VL '!D13+'E Balans VL '!E13)/100/3.6*1000000</f>
        <v>0</v>
      </c>
      <c r="K8" s="33"/>
      <c r="L8" s="33"/>
      <c r="M8" s="33"/>
      <c r="N8" s="33">
        <f>$C$28*'E Balans VL '!Y13/100/3.6*1000000</f>
        <v>11.774480069179884</v>
      </c>
      <c r="O8" s="33"/>
      <c r="P8" s="33"/>
      <c r="R8" s="32"/>
    </row>
    <row r="9" spans="1:18">
      <c r="A9" s="32" t="s">
        <v>51</v>
      </c>
      <c r="B9" s="37">
        <f t="shared" si="0"/>
        <v>1481.296</v>
      </c>
      <c r="C9" s="33"/>
      <c r="D9" s="37">
        <f>IF(ISERROR(TER_gezond_gas_kWh/1000),0,TER_gezond_gas_kWh/1000)*0.902</f>
        <v>1587.3008140000002</v>
      </c>
      <c r="E9" s="33">
        <f>$C$29*'E Balans VL '!I10/100/3.6*1000000</f>
        <v>0.18964922235297196</v>
      </c>
      <c r="F9" s="33">
        <f>$C$29*('E Balans VL '!L10+'E Balans VL '!N10)/100/3.6*1000000</f>
        <v>308.61604360520482</v>
      </c>
      <c r="G9" s="34"/>
      <c r="H9" s="33"/>
      <c r="I9" s="33"/>
      <c r="J9" s="33">
        <f>$C$29*('E Balans VL '!D10+'E Balans VL '!E10)/100/3.6*1000000</f>
        <v>0</v>
      </c>
      <c r="K9" s="33"/>
      <c r="L9" s="33"/>
      <c r="M9" s="33"/>
      <c r="N9" s="33">
        <f>$C$29*'E Balans VL '!Y10/100/3.6*1000000</f>
        <v>17.398521672535729</v>
      </c>
      <c r="O9" s="33"/>
      <c r="P9" s="33"/>
      <c r="R9" s="32"/>
    </row>
    <row r="10" spans="1:18">
      <c r="A10" s="32" t="s">
        <v>50</v>
      </c>
      <c r="B10" s="37">
        <f t="shared" si="0"/>
        <v>3532.2689999999998</v>
      </c>
      <c r="C10" s="33"/>
      <c r="D10" s="37">
        <f>IF(ISERROR(TER_ander_gas_kWh/1000),0,TER_ander_gas_kWh/1000)*0.902</f>
        <v>3901.0931740000001</v>
      </c>
      <c r="E10" s="33">
        <f>$C$30*'E Balans VL '!I14/100/3.6*1000000</f>
        <v>5.3117019078839203</v>
      </c>
      <c r="F10" s="33">
        <f>$C$30*('E Balans VL '!L14+'E Balans VL '!N14)/100/3.6*1000000</f>
        <v>779.81113393233341</v>
      </c>
      <c r="G10" s="34"/>
      <c r="H10" s="33"/>
      <c r="I10" s="33"/>
      <c r="J10" s="33">
        <f>$C$30*('E Balans VL '!D14+'E Balans VL '!E14)/100/3.6*1000000</f>
        <v>0</v>
      </c>
      <c r="K10" s="33"/>
      <c r="L10" s="33"/>
      <c r="M10" s="33"/>
      <c r="N10" s="33">
        <f>$C$30*'E Balans VL '!Y14/100/3.6*1000000</f>
        <v>2783.6656847410372</v>
      </c>
      <c r="O10" s="33"/>
      <c r="P10" s="33"/>
      <c r="R10" s="32"/>
    </row>
    <row r="11" spans="1:18">
      <c r="A11" s="32" t="s">
        <v>55</v>
      </c>
      <c r="B11" s="37">
        <f t="shared" si="0"/>
        <v>191.667</v>
      </c>
      <c r="C11" s="33"/>
      <c r="D11" s="37">
        <f>IF(ISERROR(TER_onderwijs_gas_kWh/1000),0,TER_onderwijs_gas_kWh/1000)*0.902</f>
        <v>357.30024000000003</v>
      </c>
      <c r="E11" s="33">
        <f>$C$31*'E Balans VL '!I11/100/3.6*1000000</f>
        <v>0.33754164863908076</v>
      </c>
      <c r="F11" s="33">
        <f>$C$31*('E Balans VL '!L11+'E Balans VL '!N11)/100/3.6*1000000</f>
        <v>88.496122108628839</v>
      </c>
      <c r="G11" s="34"/>
      <c r="H11" s="33"/>
      <c r="I11" s="33"/>
      <c r="J11" s="33">
        <f>$C$31*('E Balans VL '!D11+'E Balans VL '!E11)/100/3.6*1000000</f>
        <v>0</v>
      </c>
      <c r="K11" s="33"/>
      <c r="L11" s="33"/>
      <c r="M11" s="33"/>
      <c r="N11" s="33">
        <f>$C$31*'E Balans VL '!Y11/100/3.6*1000000</f>
        <v>0.35707827152052918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34573.479999999996</v>
      </c>
      <c r="C16" s="21">
        <f t="shared" ca="1" si="1"/>
        <v>0</v>
      </c>
      <c r="D16" s="21">
        <f t="shared" ca="1" si="1"/>
        <v>33633.280802000001</v>
      </c>
      <c r="E16" s="21">
        <f t="shared" si="1"/>
        <v>805.58054257077879</v>
      </c>
      <c r="F16" s="21">
        <f t="shared" ca="1" si="1"/>
        <v>10111.496800054469</v>
      </c>
      <c r="G16" s="21">
        <f t="shared" si="1"/>
        <v>0</v>
      </c>
      <c r="H16" s="21">
        <f t="shared" si="1"/>
        <v>0</v>
      </c>
      <c r="I16" s="21">
        <f t="shared" si="1"/>
        <v>0</v>
      </c>
      <c r="J16" s="21">
        <f t="shared" si="1"/>
        <v>0</v>
      </c>
      <c r="K16" s="21">
        <f t="shared" si="1"/>
        <v>0</v>
      </c>
      <c r="L16" s="21">
        <f t="shared" ca="1" si="1"/>
        <v>0</v>
      </c>
      <c r="M16" s="21">
        <f t="shared" si="1"/>
        <v>0</v>
      </c>
      <c r="N16" s="21">
        <f t="shared" ca="1" si="1"/>
        <v>2823.8616755537805</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0.19963047115934685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6901.9201020182545</v>
      </c>
      <c r="C20" s="23">
        <f t="shared" ref="C20:P20" ca="1" si="2">C16*C18</f>
        <v>0</v>
      </c>
      <c r="D20" s="23">
        <f t="shared" ca="1" si="2"/>
        <v>6793.9227220040011</v>
      </c>
      <c r="E20" s="23">
        <f t="shared" si="2"/>
        <v>182.86678316356679</v>
      </c>
      <c r="F20" s="23">
        <f t="shared" ca="1" si="2"/>
        <v>2699.7696456145432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7847.2290000000003</v>
      </c>
      <c r="C26" s="39">
        <f>IF(ISERROR(B26*3.6/1000000/'E Balans VL '!Z12*100),0,B26*3.6/1000000/'E Balans VL '!Z12*100)</f>
        <v>0.16809374145482403</v>
      </c>
      <c r="D26" s="237" t="s">
        <v>660</v>
      </c>
      <c r="F26" s="6"/>
    </row>
    <row r="27" spans="1:18">
      <c r="A27" s="231" t="s">
        <v>53</v>
      </c>
      <c r="B27" s="33">
        <f>IF(ISERROR(TER_horeca_ele_kWh/1000),0,TER_horeca_ele_kWh/1000)</f>
        <v>11599.868</v>
      </c>
      <c r="C27" s="39">
        <f>IF(ISERROR(B27*3.6/1000000/'E Balans VL '!Z9*100),0,B27*3.6/1000000/'E Balans VL '!Z9*100)</f>
        <v>0.93084908627039231</v>
      </c>
      <c r="D27" s="237" t="s">
        <v>660</v>
      </c>
      <c r="F27" s="6"/>
    </row>
    <row r="28" spans="1:18">
      <c r="A28" s="171" t="s">
        <v>52</v>
      </c>
      <c r="B28" s="33">
        <f>IF(ISERROR(TER_handel_ele_kWh/1000),0,TER_handel_ele_kWh/1000)</f>
        <v>9921.1509999999998</v>
      </c>
      <c r="C28" s="39">
        <f>IF(ISERROR(B28*3.6/1000000/'E Balans VL '!Z13*100),0,B28*3.6/1000000/'E Balans VL '!Z13*100)</f>
        <v>0.29261704904763808</v>
      </c>
      <c r="D28" s="237" t="s">
        <v>660</v>
      </c>
      <c r="F28" s="6"/>
    </row>
    <row r="29" spans="1:18">
      <c r="A29" s="231" t="s">
        <v>51</v>
      </c>
      <c r="B29" s="33">
        <f>IF(ISERROR(TER_gezond_ele_kWh/1000),0,TER_gezond_ele_kWh/1000)</f>
        <v>1481.296</v>
      </c>
      <c r="C29" s="39">
        <f>IF(ISERROR(B29*3.6/1000000/'E Balans VL '!Z10*100),0,B29*3.6/1000000/'E Balans VL '!Z10*100)</f>
        <v>0.15816269776493846</v>
      </c>
      <c r="D29" s="237" t="s">
        <v>660</v>
      </c>
      <c r="F29" s="6"/>
    </row>
    <row r="30" spans="1:18">
      <c r="A30" s="231" t="s">
        <v>50</v>
      </c>
      <c r="B30" s="33">
        <f>IF(ISERROR(TER_ander_ele_kWh/1000),0,TER_ander_ele_kWh/1000)</f>
        <v>3532.2689999999998</v>
      </c>
      <c r="C30" s="39">
        <f>IF(ISERROR(B30*3.6/1000000/'E Balans VL '!Z14*100),0,B30*3.6/1000000/'E Balans VL '!Z14*100)</f>
        <v>0.26680614823086662</v>
      </c>
      <c r="D30" s="237" t="s">
        <v>660</v>
      </c>
      <c r="F30" s="6"/>
    </row>
    <row r="31" spans="1:18">
      <c r="A31" s="231" t="s">
        <v>55</v>
      </c>
      <c r="B31" s="33">
        <f>IF(ISERROR(TER_onderwijs_ele_kWh/1000),0,TER_onderwijs_ele_kWh/1000)</f>
        <v>191.667</v>
      </c>
      <c r="C31" s="39">
        <f>IF(ISERROR(B31*3.6/1000000/'E Balans VL '!Z11*100),0,B31*3.6/1000000/'E Balans VL '!Z11*100)</f>
        <v>3.8703965638758622E-2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3129.5120000000002</v>
      </c>
      <c r="C5" s="17">
        <f>IF(ISERROR('Eigen informatie GS &amp; warmtenet'!B59),0,'Eigen informatie GS &amp; warmtenet'!B59)</f>
        <v>0</v>
      </c>
      <c r="D5" s="30">
        <f>SUM(D6:D15)</f>
        <v>3263.4937280000004</v>
      </c>
      <c r="E5" s="17">
        <f>SUM(E6:E15)</f>
        <v>508.50973114111582</v>
      </c>
      <c r="F5" s="17">
        <f>SUM(F6:F15)</f>
        <v>1884.5603776941373</v>
      </c>
      <c r="G5" s="18"/>
      <c r="H5" s="17"/>
      <c r="I5" s="17"/>
      <c r="J5" s="17">
        <f>SUM(J6:J15)</f>
        <v>1.7896441327826336</v>
      </c>
      <c r="K5" s="17"/>
      <c r="L5" s="17"/>
      <c r="M5" s="17"/>
      <c r="N5" s="17">
        <f>SUM(N6:N15)</f>
        <v>1009.3290073367674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95.965000000000003</v>
      </c>
      <c r="C8" s="33"/>
      <c r="D8" s="37">
        <f>IF( ISERROR(IND_metaal_Gas_kWH/1000),0,IND_metaal_Gas_kWH/1000)*0.902</f>
        <v>89.728254000000007</v>
      </c>
      <c r="E8" s="33">
        <f>C30*'E Balans VL '!I18/100/3.6*1000000</f>
        <v>3.453111013804794</v>
      </c>
      <c r="F8" s="33">
        <f>C30*'E Balans VL '!L18/100/3.6*1000000+C30*'E Balans VL '!N18/100/3.6*1000000</f>
        <v>41.904804649396027</v>
      </c>
      <c r="G8" s="34"/>
      <c r="H8" s="33"/>
      <c r="I8" s="33"/>
      <c r="J8" s="40">
        <f>C30*'E Balans VL '!D18/100/3.6*1000000+C30*'E Balans VL '!E18/100/3.6*1000000</f>
        <v>0</v>
      </c>
      <c r="K8" s="33"/>
      <c r="L8" s="33"/>
      <c r="M8" s="33"/>
      <c r="N8" s="33">
        <f>C30*'E Balans VL '!Y18/100/3.6*1000000</f>
        <v>4.8097005848723313</v>
      </c>
      <c r="O8" s="33"/>
      <c r="P8" s="33"/>
      <c r="R8" s="32"/>
    </row>
    <row r="9" spans="1:18">
      <c r="A9" s="6" t="s">
        <v>33</v>
      </c>
      <c r="B9" s="37">
        <f t="shared" si="0"/>
        <v>1879.1010000000001</v>
      </c>
      <c r="C9" s="33"/>
      <c r="D9" s="37">
        <f>IF( ISERROR(IND_andere_gas_kWh/1000),0,IND_andere_gas_kWh/1000)*0.902</f>
        <v>1783.3667500000001</v>
      </c>
      <c r="E9" s="33">
        <f>C31*'E Balans VL '!I19/100/3.6*1000000</f>
        <v>479.50405934905035</v>
      </c>
      <c r="F9" s="33">
        <f>C31*'E Balans VL '!L19/100/3.6*1000000+C31*'E Balans VL '!N19/100/3.6*1000000</f>
        <v>1617.7647222779503</v>
      </c>
      <c r="G9" s="34"/>
      <c r="H9" s="33"/>
      <c r="I9" s="33"/>
      <c r="J9" s="40">
        <f>C31*'E Balans VL '!D19/100/3.6*1000000+C31*'E Balans VL '!E19/100/3.6*1000000</f>
        <v>0</v>
      </c>
      <c r="K9" s="33"/>
      <c r="L9" s="33"/>
      <c r="M9" s="33"/>
      <c r="N9" s="33">
        <f>C31*'E Balans VL '!Y19/100/3.6*1000000</f>
        <v>587.65923518835473</v>
      </c>
      <c r="O9" s="33"/>
      <c r="P9" s="33"/>
      <c r="R9" s="32"/>
    </row>
    <row r="10" spans="1:18">
      <c r="A10" s="6" t="s">
        <v>41</v>
      </c>
      <c r="B10" s="37">
        <f t="shared" si="0"/>
        <v>975.43399999999997</v>
      </c>
      <c r="C10" s="33"/>
      <c r="D10" s="37">
        <f>IF( ISERROR(IND_voed_gas_kWh/1000),0,IND_voed_gas_kWh/1000)*0.902</f>
        <v>982.62527</v>
      </c>
      <c r="E10" s="33">
        <f>C32*'E Balans VL '!I20/100/3.6*1000000</f>
        <v>24.796871660641983</v>
      </c>
      <c r="F10" s="33">
        <f>C32*'E Balans VL '!L20/100/3.6*1000000+C32*'E Balans VL '!N20/100/3.6*1000000</f>
        <v>220.72607167288763</v>
      </c>
      <c r="G10" s="34"/>
      <c r="H10" s="33"/>
      <c r="I10" s="33"/>
      <c r="J10" s="40">
        <f>C32*'E Balans VL '!D20/100/3.6*1000000+C32*'E Balans VL '!E20/100/3.6*1000000</f>
        <v>0</v>
      </c>
      <c r="K10" s="33"/>
      <c r="L10" s="33"/>
      <c r="M10" s="33"/>
      <c r="N10" s="33">
        <f>C32*'E Balans VL '!Y20/100/3.6*1000000</f>
        <v>365.81419017855893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14.666</v>
      </c>
      <c r="C12" s="33"/>
      <c r="D12" s="37">
        <f>IF( ISERROR(IND_min_gas_kWh/1000),0,IND_min_gas_kWh/1000)*0.902</f>
        <v>0</v>
      </c>
      <c r="E12" s="33">
        <f>C34*'E Balans VL '!I22/100/3.6*1000000</f>
        <v>0.31161574374499512</v>
      </c>
      <c r="F12" s="33">
        <f>C34*'E Balans VL '!L22/100/3.6*1000000+C34*'E Balans VL '!N22/100/3.6*1000000</f>
        <v>2.3928828850982957</v>
      </c>
      <c r="G12" s="34"/>
      <c r="H12" s="33"/>
      <c r="I12" s="33"/>
      <c r="J12" s="40">
        <f>C34*'E Balans VL '!D22/100/3.6*1000000+C34*'E Balans VL '!E22/100/3.6*1000000</f>
        <v>1.7087258638628266E-2</v>
      </c>
      <c r="K12" s="33"/>
      <c r="L12" s="33"/>
      <c r="M12" s="33"/>
      <c r="N12" s="33">
        <f>C34*'E Balans VL '!Y22/100/3.6*1000000</f>
        <v>0</v>
      </c>
      <c r="O12" s="33"/>
      <c r="P12" s="33"/>
      <c r="R12" s="32"/>
    </row>
    <row r="13" spans="1:18">
      <c r="A13" s="6" t="s">
        <v>39</v>
      </c>
      <c r="B13" s="37">
        <f t="shared" si="0"/>
        <v>26.478000000000002</v>
      </c>
      <c r="C13" s="33"/>
      <c r="D13" s="37">
        <f>IF( ISERROR(IND_papier_gas_kWh/1000),0,IND_papier_gas_kWh/1000)*0.902</f>
        <v>49.913974000000003</v>
      </c>
      <c r="E13" s="33">
        <f>C35*'E Balans VL '!I23/100/3.6*1000000</f>
        <v>0.11355643907892661</v>
      </c>
      <c r="F13" s="33">
        <f>C35*'E Balans VL '!L23/100/3.6*1000000+C35*'E Balans VL '!N23/100/3.6*1000000</f>
        <v>0.66547432248025995</v>
      </c>
      <c r="G13" s="34"/>
      <c r="H13" s="33"/>
      <c r="I13" s="33"/>
      <c r="J13" s="40">
        <f>C35*'E Balans VL '!D23/100/3.6*1000000+C35*'E Balans VL '!E23/100/3.6*1000000</f>
        <v>1.7725568741440052</v>
      </c>
      <c r="K13" s="33"/>
      <c r="L13" s="33"/>
      <c r="M13" s="33"/>
      <c r="N13" s="33">
        <f>C35*'E Balans VL '!Y23/100/3.6*1000000</f>
        <v>48.196256708634351</v>
      </c>
      <c r="O13" s="33"/>
      <c r="P13" s="33"/>
      <c r="R13" s="32"/>
    </row>
    <row r="14" spans="1:18">
      <c r="A14" s="6" t="s">
        <v>34</v>
      </c>
      <c r="B14" s="37">
        <f t="shared" si="0"/>
        <v>137.86799999999999</v>
      </c>
      <c r="C14" s="33"/>
      <c r="D14" s="37">
        <f>IF( ISERROR(IND_chemie_gas_kWh/1000),0,IND_chemie_gas_kWh/1000)*0.902</f>
        <v>332.29409399999997</v>
      </c>
      <c r="E14" s="33">
        <f>C36*'E Balans VL '!I24/100/3.6*1000000</f>
        <v>0.3305169347947316</v>
      </c>
      <c r="F14" s="33">
        <f>C36*'E Balans VL '!L24/100/3.6*1000000+C36*'E Balans VL '!N24/100/3.6*1000000</f>
        <v>1.1064218863246449</v>
      </c>
      <c r="G14" s="34"/>
      <c r="H14" s="33"/>
      <c r="I14" s="33"/>
      <c r="J14" s="40">
        <f>C36*'E Balans VL '!D24/100/3.6*1000000+C36*'E Balans VL '!E24/100/3.6*1000000</f>
        <v>0</v>
      </c>
      <c r="K14" s="33"/>
      <c r="L14" s="33"/>
      <c r="M14" s="33"/>
      <c r="N14" s="33">
        <f>C36*'E Balans VL '!Y24/100/3.6*1000000</f>
        <v>2.8496246763471054</v>
      </c>
      <c r="O14" s="33"/>
      <c r="P14" s="33"/>
      <c r="R14" s="32"/>
    </row>
    <row r="15" spans="1:18">
      <c r="A15" s="6" t="s">
        <v>270</v>
      </c>
      <c r="B15" s="37">
        <f t="shared" si="0"/>
        <v>0</v>
      </c>
      <c r="C15" s="33"/>
      <c r="D15" s="37">
        <f>IF( ISERROR(IND_rest_gas_kWh/1000),0,IND_rest_gas_kWh/1000)*0.902</f>
        <v>25.565386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3129.5120000000002</v>
      </c>
      <c r="C18" s="21">
        <f>C5+C16</f>
        <v>0</v>
      </c>
      <c r="D18" s="21">
        <f>MAX((D5+D16),0)</f>
        <v>3263.4937280000004</v>
      </c>
      <c r="E18" s="21">
        <f>MAX((E5+E16),0)</f>
        <v>508.50973114111582</v>
      </c>
      <c r="F18" s="21">
        <f>MAX((F5+F16),0)</f>
        <v>1884.5603776941373</v>
      </c>
      <c r="G18" s="21"/>
      <c r="H18" s="21"/>
      <c r="I18" s="21"/>
      <c r="J18" s="21">
        <f>MAX((J5+J16),0)</f>
        <v>1.7896441327826336</v>
      </c>
      <c r="K18" s="21"/>
      <c r="L18" s="21">
        <f>MAX((L5+L16),0)</f>
        <v>0</v>
      </c>
      <c r="M18" s="21"/>
      <c r="N18" s="21">
        <f>MAX((N5+N16),0)</f>
        <v>1009.3290073367674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0.19963047115934685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624.74595505882985</v>
      </c>
      <c r="C22" s="23">
        <f ca="1">C18*C20</f>
        <v>0</v>
      </c>
      <c r="D22" s="23">
        <f>D18*D20</f>
        <v>659.22573305600008</v>
      </c>
      <c r="E22" s="23">
        <f>E18*E20</f>
        <v>115.43170896903329</v>
      </c>
      <c r="F22" s="23">
        <f>F18*F20</f>
        <v>503.17762084433468</v>
      </c>
      <c r="G22" s="23"/>
      <c r="H22" s="23"/>
      <c r="I22" s="23"/>
      <c r="J22" s="23">
        <f>J18*J20</f>
        <v>0.63353402300505224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95.965000000000003</v>
      </c>
      <c r="C30" s="39">
        <f>IF(ISERROR(B30*3.6/1000000/'E Balans VL '!Z18*100),0,B30*3.6/1000000/'E Balans VL '!Z18*100)</f>
        <v>2.0332926064624827E-2</v>
      </c>
      <c r="D30" s="237" t="s">
        <v>660</v>
      </c>
    </row>
    <row r="31" spans="1:18">
      <c r="A31" s="6" t="s">
        <v>33</v>
      </c>
      <c r="B31" s="37">
        <f>IF( ISERROR(IND_ander_ele_kWh/1000),0,IND_ander_ele_kWh/1000)</f>
        <v>1879.1010000000001</v>
      </c>
      <c r="C31" s="39">
        <f>IF(ISERROR(B31*3.6/1000000/'E Balans VL '!Z19*100),0,B31*3.6/1000000/'E Balans VL '!Z19*100)</f>
        <v>7.9095627899128107E-2</v>
      </c>
      <c r="D31" s="237" t="s">
        <v>660</v>
      </c>
    </row>
    <row r="32" spans="1:18">
      <c r="A32" s="171" t="s">
        <v>41</v>
      </c>
      <c r="B32" s="37">
        <f>IF( ISERROR(IND_voed_ele_kWh/1000),0,IND_voed_ele_kWh/1000)</f>
        <v>975.43399999999997</v>
      </c>
      <c r="C32" s="39">
        <f>IF(ISERROR(B32*3.6/1000000/'E Balans VL '!Z20*100),0,B32*3.6/1000000/'E Balans VL '!Z20*100)</f>
        <v>0.16295728597667161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14.666</v>
      </c>
      <c r="C34" s="39">
        <f>IF(ISERROR(B34*3.6/1000000/'E Balans VL '!Z22*100),0,B34*3.6/1000000/'E Balans VL '!Z22*100)</f>
        <v>1.8589945935044002E-3</v>
      </c>
      <c r="D34" s="237" t="s">
        <v>660</v>
      </c>
    </row>
    <row r="35" spans="1:5">
      <c r="A35" s="171" t="s">
        <v>39</v>
      </c>
      <c r="B35" s="37">
        <f>IF( ISERROR(IND_papier_ele_kWh/1000),0,IND_papier_ele_kWh/1000)</f>
        <v>26.478000000000002</v>
      </c>
      <c r="C35" s="39">
        <f>IF(ISERROR(B35*3.6/1000000/'E Balans VL '!Z22*100),0,B35*3.6/1000000/'E Balans VL '!Z22*100)</f>
        <v>3.3562292954322595E-3</v>
      </c>
      <c r="D35" s="237" t="s">
        <v>660</v>
      </c>
    </row>
    <row r="36" spans="1:5">
      <c r="A36" s="171" t="s">
        <v>34</v>
      </c>
      <c r="B36" s="37">
        <f>IF( ISERROR(IND_chemie_ele_kWh/1000),0,IND_chemie_ele_kWh/1000)</f>
        <v>137.86799999999999</v>
      </c>
      <c r="C36" s="39">
        <f>IF(ISERROR(B36*3.6/1000000/'E Balans VL '!Z24*100),0,B36*3.6/1000000/'E Balans VL '!Z24*100)</f>
        <v>4.4779570859284036E-3</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2798.462</v>
      </c>
      <c r="C5" s="17">
        <f>'Eigen informatie GS &amp; warmtenet'!B60</f>
        <v>0</v>
      </c>
      <c r="D5" s="30">
        <f>IF(ISERROR(SUM(LB_lb_gas_kWh,LB_rest_gas_kWh)/1000),0,SUM(LB_lb_gas_kWh,LB_rest_gas_kWh)/1000)*0.902</f>
        <v>281.57373200000001</v>
      </c>
      <c r="E5" s="17">
        <f>B17*'E Balans VL '!I25/3.6*1000000/100</f>
        <v>72.161590128183434</v>
      </c>
      <c r="F5" s="17">
        <f>B17*('E Balans VL '!L25/3.6*1000000+'E Balans VL '!N25/3.6*1000000)/100</f>
        <v>10228.91155119914</v>
      </c>
      <c r="G5" s="18"/>
      <c r="H5" s="17"/>
      <c r="I5" s="17"/>
      <c r="J5" s="17">
        <f>('E Balans VL '!D25+'E Balans VL '!E25)/3.6*1000000*landbouw!B17/100</f>
        <v>402.87558193807109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2798.462</v>
      </c>
      <c r="C8" s="21">
        <f>C5+C6</f>
        <v>0</v>
      </c>
      <c r="D8" s="21">
        <f>MAX((D5+D6),0)</f>
        <v>281.57373200000001</v>
      </c>
      <c r="E8" s="21">
        <f>MAX((E5+E6),0)</f>
        <v>72.161590128183434</v>
      </c>
      <c r="F8" s="21">
        <f>MAX((F5+F6),0)</f>
        <v>10228.91155119914</v>
      </c>
      <c r="G8" s="21"/>
      <c r="H8" s="21"/>
      <c r="I8" s="21"/>
      <c r="J8" s="21">
        <f>MAX((J5+J6),0)</f>
        <v>402.87558193807109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0.19963047115934685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558.65828758152804</v>
      </c>
      <c r="C12" s="23">
        <f ca="1">C8*C10</f>
        <v>0</v>
      </c>
      <c r="D12" s="23">
        <f>D8*D10</f>
        <v>56.877893864000008</v>
      </c>
      <c r="E12" s="23">
        <f>E8*E10</f>
        <v>16.380680959097639</v>
      </c>
      <c r="F12" s="23">
        <f>F8*F10</f>
        <v>2731.1193841701706</v>
      </c>
      <c r="G12" s="23"/>
      <c r="H12" s="23"/>
      <c r="I12" s="23"/>
      <c r="J12" s="23">
        <f>J8*J10</f>
        <v>142.61795600607715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0.3946016785966443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738.19243421615772</v>
      </c>
      <c r="C26" s="247">
        <f>B26*'GWP N2O_CH4'!B5</f>
        <v>15502.041118539311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299.69085497993109</v>
      </c>
      <c r="C27" s="247">
        <f>B27*'GWP N2O_CH4'!B5</f>
        <v>6293.5079545785529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9.9028908944606258</v>
      </c>
      <c r="C28" s="247">
        <f>B28*'GWP N2O_CH4'!B4</f>
        <v>3069.8961772827938</v>
      </c>
      <c r="D28" s="50"/>
    </row>
    <row r="29" spans="1:4">
      <c r="A29" s="41" t="s">
        <v>277</v>
      </c>
      <c r="B29" s="247">
        <f>B34*'ha_N2O bodem landbouw'!B4</f>
        <v>38.159691318788042</v>
      </c>
      <c r="C29" s="247">
        <f>B29*'GWP N2O_CH4'!B4</f>
        <v>11829.504308824293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8.5880042046750284E-3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1.3567440415099594E-4</v>
      </c>
      <c r="C5" s="463" t="s">
        <v>211</v>
      </c>
      <c r="D5" s="448">
        <f>SUM(D6:D11)</f>
        <v>2.8369942638145434E-4</v>
      </c>
      <c r="E5" s="448">
        <f>SUM(E6:E11)</f>
        <v>1.2349445635250591E-3</v>
      </c>
      <c r="F5" s="461" t="s">
        <v>211</v>
      </c>
      <c r="G5" s="448">
        <f>SUM(G6:G11)</f>
        <v>0.555862773270276</v>
      </c>
      <c r="H5" s="448">
        <f>SUM(H6:H11)</f>
        <v>7.8196171480577864E-2</v>
      </c>
      <c r="I5" s="463" t="s">
        <v>211</v>
      </c>
      <c r="J5" s="463" t="s">
        <v>211</v>
      </c>
      <c r="K5" s="463" t="s">
        <v>211</v>
      </c>
      <c r="L5" s="463" t="s">
        <v>211</v>
      </c>
      <c r="M5" s="448">
        <f>SUM(M6:M11)</f>
        <v>1.9854355089527827E-2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6.8557737251450184E-5</v>
      </c>
      <c r="C6" s="449"/>
      <c r="D6" s="892">
        <f>vkm_2011_GW_PW*SUMIFS(TableVerdeelsleutelVkm[CNG],TableVerdeelsleutelVkm[Voertuigtype],"Lichte voertuigen")*SUMIFS(TableECFTransport[EnergieConsumptieFactor (PJ per km)],TableECFTransport[Index],CONCATENATE($A6,"_CNG_CNG"))</f>
        <v>1.3622542481259866E-4</v>
      </c>
      <c r="E6" s="892">
        <f>vkm_2011_GW_PW*SUMIFS(TableVerdeelsleutelVkm[LPG],TableVerdeelsleutelVkm[Voertuigtype],"Lichte voertuigen")*SUMIFS(TableECFTransport[EnergieConsumptieFactor (PJ per km)],TableECFTransport[Index],CONCATENATE($A6,"_LPG_LPG"))</f>
        <v>5.3609587979161976E-4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0.12746520569219572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3.6880320748072237E-2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5.121158362756748E-3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8.8311627807848417E-2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2.8528427881336701E-5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2.7825642687172589E-3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5.4686756538090921E-6</v>
      </c>
      <c r="C8" s="449"/>
      <c r="D8" s="451">
        <f>vkm_2011_NGW_PW*SUMIFS(TableVerdeelsleutelVkm[CNG],TableVerdeelsleutelVkm[Voertuigtype],"Lichte voertuigen")*SUMIFS(TableECFTransport[EnergieConsumptieFactor (PJ per km)],TableECFTransport[Index],CONCATENATE($A8,"_CNG_CNG"))</f>
        <v>1.9240349553572769E-5</v>
      </c>
      <c r="E8" s="451">
        <f>vkm_2011_NGW_PW*SUMIFS(TableVerdeelsleutelVkm[LPG],TableVerdeelsleutelVkm[Voertuigtype],"Lichte voertuigen")*SUMIFS(TableECFTransport[EnergieConsumptieFactor (PJ per km)],TableECFTransport[Index],CONCATENATE($A8,"_LPG_LPG"))</f>
        <v>7.0025470547650291E-5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1.5547622949223657E-2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5.0508735006216145E-3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6.4122315674330606E-4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2.879062115195273E-3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8.7957788806314584E-7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9.0713327943248739E-5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6.1647991245736657E-5</v>
      </c>
      <c r="C10" s="449"/>
      <c r="D10" s="451">
        <f>vkm_2011_SW_PW*SUMIFS(TableVerdeelsleutelVkm[CNG],TableVerdeelsleutelVkm[Voertuigtype],"Lichte voertuigen")*SUMIFS(TableECFTransport[EnergieConsumptieFactor (PJ per km)],TableECFTransport[Index],CONCATENATE($A10,"_CNG_CNG"))</f>
        <v>1.2823365201528289E-4</v>
      </c>
      <c r="E10" s="451">
        <f>vkm_2011_SW_PW*SUMIFS(TableVerdeelsleutelVkm[LPG],TableVerdeelsleutelVkm[Voertuigtype],"Lichte voertuigen")*SUMIFS(TableECFTransport[EnergieConsumptieFactor (PJ per km)],TableECFTransport[Index],CONCATENATE($A10,"_LPG_LPG"))</f>
        <v>6.2882321318578904E-4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0.13393212449703981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3.6170229204647554E-2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5.30356048489284E-3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0.18772713020877316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6.5340021467044133E-5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5.9151354884744278E-3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37.687334486387762</v>
      </c>
      <c r="C14" s="21"/>
      <c r="D14" s="21">
        <f t="shared" ref="D14:M14" si="0">((D5)*10^9/3600)+D12</f>
        <v>78.805396217070651</v>
      </c>
      <c r="E14" s="21">
        <f t="shared" si="0"/>
        <v>343.04015653473863</v>
      </c>
      <c r="F14" s="21"/>
      <c r="G14" s="21">
        <f t="shared" si="0"/>
        <v>154406.32590840998</v>
      </c>
      <c r="H14" s="21">
        <f t="shared" si="0"/>
        <v>21721.158744604963</v>
      </c>
      <c r="I14" s="21"/>
      <c r="J14" s="21"/>
      <c r="K14" s="21"/>
      <c r="L14" s="21"/>
      <c r="M14" s="21">
        <f t="shared" si="0"/>
        <v>5515.0986359799517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0.19963047115934685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7.5235403402574903</v>
      </c>
      <c r="C18" s="23"/>
      <c r="D18" s="23">
        <f t="shared" ref="D18:M18" si="1">D14*D16</f>
        <v>15.918690035848272</v>
      </c>
      <c r="E18" s="23">
        <f t="shared" si="1"/>
        <v>77.870115533385672</v>
      </c>
      <c r="F18" s="23"/>
      <c r="G18" s="23">
        <f t="shared" si="1"/>
        <v>41226.489017545471</v>
      </c>
      <c r="H18" s="23">
        <f t="shared" si="1"/>
        <v>5408.5685274066354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6.0107458323187587E-3</v>
      </c>
      <c r="C50" s="321">
        <f t="shared" ref="C50:P50" si="2">SUM(C51:C52)</f>
        <v>0</v>
      </c>
      <c r="D50" s="321">
        <f t="shared" si="2"/>
        <v>0</v>
      </c>
      <c r="E50" s="321">
        <f t="shared" si="2"/>
        <v>0</v>
      </c>
      <c r="F50" s="321">
        <f t="shared" si="2"/>
        <v>0</v>
      </c>
      <c r="G50" s="321">
        <f t="shared" si="2"/>
        <v>5.5429116872870625E-3</v>
      </c>
      <c r="H50" s="321">
        <f t="shared" si="2"/>
        <v>0</v>
      </c>
      <c r="I50" s="321">
        <f t="shared" si="2"/>
        <v>0</v>
      </c>
      <c r="J50" s="321">
        <f t="shared" si="2"/>
        <v>0</v>
      </c>
      <c r="K50" s="321">
        <f t="shared" si="2"/>
        <v>0</v>
      </c>
      <c r="L50" s="321">
        <f t="shared" si="2"/>
        <v>0</v>
      </c>
      <c r="M50" s="321">
        <f t="shared" si="2"/>
        <v>1.719287200369018E-4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5.5429116872870625E-3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1.719287200369018E-4</v>
      </c>
      <c r="N51" s="323"/>
      <c r="O51" s="323"/>
      <c r="P51" s="326"/>
    </row>
    <row r="52" spans="1:18">
      <c r="A52" s="4" t="s">
        <v>330</v>
      </c>
      <c r="B52" s="893">
        <f>vkm_2011_tram*SUMIFS(TableECFTransport[EnergieConsumptieFactor (PJ per km)],TableECFTransport[Index],"Tram_gemiddeld_Electric_Electric")</f>
        <v>6.0107458323187587E-3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1669.651620088544</v>
      </c>
      <c r="C54" s="21">
        <f t="shared" ref="C54:P54" si="3">(C50)*10^9/3600</f>
        <v>0</v>
      </c>
      <c r="D54" s="21">
        <f t="shared" si="3"/>
        <v>0</v>
      </c>
      <c r="E54" s="21">
        <f t="shared" si="3"/>
        <v>0</v>
      </c>
      <c r="F54" s="21">
        <f t="shared" si="3"/>
        <v>0</v>
      </c>
      <c r="G54" s="21">
        <f t="shared" si="3"/>
        <v>1539.6976909130728</v>
      </c>
      <c r="H54" s="21">
        <f t="shared" si="3"/>
        <v>0</v>
      </c>
      <c r="I54" s="21">
        <f t="shared" si="3"/>
        <v>0</v>
      </c>
      <c r="J54" s="21">
        <f t="shared" si="3"/>
        <v>0</v>
      </c>
      <c r="K54" s="21">
        <f t="shared" si="3"/>
        <v>0</v>
      </c>
      <c r="L54" s="21">
        <f t="shared" si="3"/>
        <v>0</v>
      </c>
      <c r="M54" s="21">
        <f t="shared" si="3"/>
        <v>47.757977788028278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0.19963047115934685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333.31333959024283</v>
      </c>
      <c r="C58" s="23">
        <f t="shared" ref="C58:P58" ca="1" si="4">C54*C56</f>
        <v>0</v>
      </c>
      <c r="D58" s="23">
        <f t="shared" si="4"/>
        <v>0</v>
      </c>
      <c r="E58" s="23">
        <f t="shared" si="4"/>
        <v>0</v>
      </c>
      <c r="F58" s="23">
        <f t="shared" si="4"/>
        <v>0</v>
      </c>
      <c r="G58" s="23">
        <f t="shared" si="4"/>
        <v>411.09928347379048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36561.616999999998</v>
      </c>
      <c r="D10" s="1012">
        <f ca="1">tertiair!C16</f>
        <v>0</v>
      </c>
      <c r="E10" s="1012">
        <f ca="1">tertiair!D16</f>
        <v>33633.280802000001</v>
      </c>
      <c r="F10" s="1012">
        <f>tertiair!E16</f>
        <v>805.58054257077879</v>
      </c>
      <c r="G10" s="1012">
        <f ca="1">tertiair!F16</f>
        <v>10111.496800054469</v>
      </c>
      <c r="H10" s="1012">
        <f>tertiair!G16</f>
        <v>0</v>
      </c>
      <c r="I10" s="1012">
        <f>tertiair!H16</f>
        <v>0</v>
      </c>
      <c r="J10" s="1012">
        <f>tertiair!I16</f>
        <v>0</v>
      </c>
      <c r="K10" s="1012">
        <f>tertiair!J16</f>
        <v>0</v>
      </c>
      <c r="L10" s="1012">
        <f>tertiair!K16</f>
        <v>0</v>
      </c>
      <c r="M10" s="1012">
        <f ca="1">tertiair!L16</f>
        <v>0</v>
      </c>
      <c r="N10" s="1012">
        <f>tertiair!M16</f>
        <v>0</v>
      </c>
      <c r="O10" s="1012">
        <f ca="1">tertiair!N16</f>
        <v>2823.8616755537805</v>
      </c>
      <c r="P10" s="1012">
        <f>tertiair!O16</f>
        <v>12.506666666666668</v>
      </c>
      <c r="Q10" s="1013">
        <f>tertiair!P16</f>
        <v>19.066666666666666</v>
      </c>
      <c r="R10" s="700">
        <f ca="1">SUM(C10:Q10)</f>
        <v>83967.410153512348</v>
      </c>
      <c r="S10" s="67"/>
    </row>
    <row r="11" spans="1:19" s="473" customFormat="1">
      <c r="A11" s="809" t="s">
        <v>225</v>
      </c>
      <c r="B11" s="814"/>
      <c r="C11" s="1012">
        <f>huishoudens!B8</f>
        <v>52743.47717829555</v>
      </c>
      <c r="D11" s="1012">
        <f>huishoudens!C8</f>
        <v>0</v>
      </c>
      <c r="E11" s="1012">
        <f>huishoudens!D8</f>
        <v>74499.418179999993</v>
      </c>
      <c r="F11" s="1012">
        <f>huishoudens!E8</f>
        <v>1606.8673171614507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3265.7019750604181</v>
      </c>
      <c r="P11" s="1012">
        <f>huishoudens!O8</f>
        <v>214.17666666666668</v>
      </c>
      <c r="Q11" s="1013">
        <f>huishoudens!P8</f>
        <v>457.6</v>
      </c>
      <c r="R11" s="700">
        <f>SUM(C11:Q11)</f>
        <v>132787.24131718409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3129.5120000000002</v>
      </c>
      <c r="D13" s="1012">
        <f>industrie!C18</f>
        <v>0</v>
      </c>
      <c r="E13" s="1012">
        <f>industrie!D18</f>
        <v>3263.4937280000004</v>
      </c>
      <c r="F13" s="1012">
        <f>industrie!E18</f>
        <v>508.50973114111582</v>
      </c>
      <c r="G13" s="1012">
        <f>industrie!F18</f>
        <v>1884.5603776941373</v>
      </c>
      <c r="H13" s="1012">
        <f>industrie!G18</f>
        <v>0</v>
      </c>
      <c r="I13" s="1012">
        <f>industrie!H18</f>
        <v>0</v>
      </c>
      <c r="J13" s="1012">
        <f>industrie!I18</f>
        <v>0</v>
      </c>
      <c r="K13" s="1012">
        <f>industrie!J18</f>
        <v>1.7896441327826336</v>
      </c>
      <c r="L13" s="1012">
        <f>industrie!K18</f>
        <v>0</v>
      </c>
      <c r="M13" s="1012">
        <f>industrie!L18</f>
        <v>0</v>
      </c>
      <c r="N13" s="1012">
        <f>industrie!M18</f>
        <v>0</v>
      </c>
      <c r="O13" s="1012">
        <f>industrie!N18</f>
        <v>1009.3290073367674</v>
      </c>
      <c r="P13" s="1012">
        <f>industrie!O18</f>
        <v>0</v>
      </c>
      <c r="Q13" s="1013">
        <f>industrie!P18</f>
        <v>0</v>
      </c>
      <c r="R13" s="700">
        <f>SUM(C13:Q13)</f>
        <v>9797.1944883048036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92434.606178295551</v>
      </c>
      <c r="D16" s="732">
        <f t="shared" ref="D16:R16" ca="1" si="0">SUM(D9:D15)</f>
        <v>0</v>
      </c>
      <c r="E16" s="732">
        <f t="shared" ca="1" si="0"/>
        <v>111396.19271</v>
      </c>
      <c r="F16" s="732">
        <f t="shared" si="0"/>
        <v>2920.9575908733455</v>
      </c>
      <c r="G16" s="732">
        <f t="shared" ca="1" si="0"/>
        <v>11996.057177748606</v>
      </c>
      <c r="H16" s="732">
        <f t="shared" si="0"/>
        <v>0</v>
      </c>
      <c r="I16" s="732">
        <f t="shared" si="0"/>
        <v>0</v>
      </c>
      <c r="J16" s="732">
        <f t="shared" si="0"/>
        <v>0</v>
      </c>
      <c r="K16" s="732">
        <f t="shared" si="0"/>
        <v>1.7896441327826336</v>
      </c>
      <c r="L16" s="732">
        <f t="shared" si="0"/>
        <v>0</v>
      </c>
      <c r="M16" s="732">
        <f t="shared" ca="1" si="0"/>
        <v>0</v>
      </c>
      <c r="N16" s="732">
        <f t="shared" si="0"/>
        <v>0</v>
      </c>
      <c r="O16" s="732">
        <f t="shared" ca="1" si="0"/>
        <v>7098.8926579509653</v>
      </c>
      <c r="P16" s="732">
        <f t="shared" si="0"/>
        <v>226.68333333333334</v>
      </c>
      <c r="Q16" s="732">
        <f t="shared" si="0"/>
        <v>476.66666666666669</v>
      </c>
      <c r="R16" s="732">
        <f t="shared" ca="1" si="0"/>
        <v>226551.84595900125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1669.651620088544</v>
      </c>
      <c r="D19" s="1012">
        <f>transport!C54</f>
        <v>0</v>
      </c>
      <c r="E19" s="1012">
        <f>transport!D54</f>
        <v>0</v>
      </c>
      <c r="F19" s="1012">
        <f>transport!E54</f>
        <v>0</v>
      </c>
      <c r="G19" s="1012">
        <f>transport!F54</f>
        <v>0</v>
      </c>
      <c r="H19" s="1012">
        <f>transport!G54</f>
        <v>1539.6976909130728</v>
      </c>
      <c r="I19" s="1012">
        <f>transport!H54</f>
        <v>0</v>
      </c>
      <c r="J19" s="1012">
        <f>transport!I54</f>
        <v>0</v>
      </c>
      <c r="K19" s="1012">
        <f>transport!J54</f>
        <v>0</v>
      </c>
      <c r="L19" s="1012">
        <f>transport!K54</f>
        <v>0</v>
      </c>
      <c r="M19" s="1012">
        <f>transport!L54</f>
        <v>0</v>
      </c>
      <c r="N19" s="1012">
        <f>transport!M54</f>
        <v>47.757977788028278</v>
      </c>
      <c r="O19" s="1012">
        <f>transport!N54</f>
        <v>0</v>
      </c>
      <c r="P19" s="1012">
        <f>transport!O54</f>
        <v>0</v>
      </c>
      <c r="Q19" s="1013">
        <f>transport!P54</f>
        <v>0</v>
      </c>
      <c r="R19" s="700">
        <f>SUM(C19:Q19)</f>
        <v>3257.1072887896453</v>
      </c>
      <c r="S19" s="67"/>
    </row>
    <row r="20" spans="1:19" s="473" customFormat="1">
      <c r="A20" s="809" t="s">
        <v>307</v>
      </c>
      <c r="B20" s="814"/>
      <c r="C20" s="1012">
        <f>transport!B14</f>
        <v>37.687334486387762</v>
      </c>
      <c r="D20" s="1012">
        <f>transport!C14</f>
        <v>0</v>
      </c>
      <c r="E20" s="1012">
        <f>transport!D14</f>
        <v>78.805396217070651</v>
      </c>
      <c r="F20" s="1012">
        <f>transport!E14</f>
        <v>343.04015653473863</v>
      </c>
      <c r="G20" s="1012">
        <f>transport!F14</f>
        <v>0</v>
      </c>
      <c r="H20" s="1012">
        <f>transport!G14</f>
        <v>154406.32590840998</v>
      </c>
      <c r="I20" s="1012">
        <f>transport!H14</f>
        <v>21721.158744604963</v>
      </c>
      <c r="J20" s="1012">
        <f>transport!I14</f>
        <v>0</v>
      </c>
      <c r="K20" s="1012">
        <f>transport!J14</f>
        <v>0</v>
      </c>
      <c r="L20" s="1012">
        <f>transport!K14</f>
        <v>0</v>
      </c>
      <c r="M20" s="1012">
        <f>transport!L14</f>
        <v>0</v>
      </c>
      <c r="N20" s="1012">
        <f>transport!M14</f>
        <v>5515.0986359799517</v>
      </c>
      <c r="O20" s="1012">
        <f>transport!N14</f>
        <v>0</v>
      </c>
      <c r="P20" s="1012">
        <f>transport!O14</f>
        <v>0</v>
      </c>
      <c r="Q20" s="1013">
        <f>transport!P14</f>
        <v>0</v>
      </c>
      <c r="R20" s="700">
        <f>SUM(C20:Q20)</f>
        <v>182102.1161762331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1707.3389545749317</v>
      </c>
      <c r="D22" s="812">
        <f t="shared" ref="D22:R22" si="1">SUM(D18:D21)</f>
        <v>0</v>
      </c>
      <c r="E22" s="812">
        <f t="shared" si="1"/>
        <v>78.805396217070651</v>
      </c>
      <c r="F22" s="812">
        <f t="shared" si="1"/>
        <v>343.04015653473863</v>
      </c>
      <c r="G22" s="812">
        <f t="shared" si="1"/>
        <v>0</v>
      </c>
      <c r="H22" s="812">
        <f t="shared" si="1"/>
        <v>155946.02359932306</v>
      </c>
      <c r="I22" s="812">
        <f t="shared" si="1"/>
        <v>21721.158744604963</v>
      </c>
      <c r="J22" s="812">
        <f t="shared" si="1"/>
        <v>0</v>
      </c>
      <c r="K22" s="812">
        <f t="shared" si="1"/>
        <v>0</v>
      </c>
      <c r="L22" s="812">
        <f t="shared" si="1"/>
        <v>0</v>
      </c>
      <c r="M22" s="812">
        <f t="shared" si="1"/>
        <v>0</v>
      </c>
      <c r="N22" s="812">
        <f t="shared" si="1"/>
        <v>5562.85661376798</v>
      </c>
      <c r="O22" s="812">
        <f t="shared" si="1"/>
        <v>0</v>
      </c>
      <c r="P22" s="812">
        <f t="shared" si="1"/>
        <v>0</v>
      </c>
      <c r="Q22" s="812">
        <f t="shared" si="1"/>
        <v>0</v>
      </c>
      <c r="R22" s="812">
        <f t="shared" si="1"/>
        <v>185359.22346502275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2798.462</v>
      </c>
      <c r="D24" s="1012">
        <f>+landbouw!C8</f>
        <v>0</v>
      </c>
      <c r="E24" s="1012">
        <f>+landbouw!D8</f>
        <v>281.57373200000001</v>
      </c>
      <c r="F24" s="1012">
        <f>+landbouw!E8</f>
        <v>72.161590128183434</v>
      </c>
      <c r="G24" s="1012">
        <f>+landbouw!F8</f>
        <v>10228.91155119914</v>
      </c>
      <c r="H24" s="1012">
        <f>+landbouw!G8</f>
        <v>0</v>
      </c>
      <c r="I24" s="1012">
        <f>+landbouw!H8</f>
        <v>0</v>
      </c>
      <c r="J24" s="1012">
        <f>+landbouw!I8</f>
        <v>0</v>
      </c>
      <c r="K24" s="1012">
        <f>+landbouw!J8</f>
        <v>402.87558193807109</v>
      </c>
      <c r="L24" s="1012">
        <f>+landbouw!K8</f>
        <v>0</v>
      </c>
      <c r="M24" s="1012">
        <f>+landbouw!L8</f>
        <v>0</v>
      </c>
      <c r="N24" s="1012">
        <f>+landbouw!M8</f>
        <v>0</v>
      </c>
      <c r="O24" s="1012">
        <f>+landbouw!N8</f>
        <v>0</v>
      </c>
      <c r="P24" s="1012">
        <f>+landbouw!O8</f>
        <v>0</v>
      </c>
      <c r="Q24" s="1013">
        <f>+landbouw!P8</f>
        <v>0</v>
      </c>
      <c r="R24" s="700">
        <f>SUM(C24:Q24)</f>
        <v>13783.984455265396</v>
      </c>
      <c r="S24" s="67"/>
    </row>
    <row r="25" spans="1:19" s="473" customFormat="1" ht="15" thickBot="1">
      <c r="A25" s="831" t="s">
        <v>848</v>
      </c>
      <c r="B25" s="1015"/>
      <c r="C25" s="1016">
        <f>IF(Onbekend_ele_kWh="---",0,Onbekend_ele_kWh)/1000+IF(REST_rest_ele_kWh="---",0,REST_rest_ele_kWh)/1000</f>
        <v>5377.4210000000003</v>
      </c>
      <c r="D25" s="1016"/>
      <c r="E25" s="1016">
        <f>IF(onbekend_gas_kWh="---",0,onbekend_gas_kWh)/1000+IF(REST_rest_gas_kWh="---",0,REST_rest_gas_kWh)/1000</f>
        <v>7768.2579999999998</v>
      </c>
      <c r="F25" s="1016"/>
      <c r="G25" s="1016"/>
      <c r="H25" s="1016"/>
      <c r="I25" s="1016"/>
      <c r="J25" s="1016"/>
      <c r="K25" s="1016"/>
      <c r="L25" s="1016"/>
      <c r="M25" s="1016"/>
      <c r="N25" s="1016"/>
      <c r="O25" s="1016"/>
      <c r="P25" s="1016"/>
      <c r="Q25" s="1017"/>
      <c r="R25" s="700">
        <f>SUM(C25:Q25)</f>
        <v>13145.679</v>
      </c>
      <c r="S25" s="67"/>
    </row>
    <row r="26" spans="1:19" s="473" customFormat="1" ht="15.75" thickBot="1">
      <c r="A26" s="705" t="s">
        <v>849</v>
      </c>
      <c r="B26" s="817"/>
      <c r="C26" s="812">
        <f>SUM(C24:C25)</f>
        <v>8175.8829999999998</v>
      </c>
      <c r="D26" s="812">
        <f t="shared" ref="D26:R26" si="2">SUM(D24:D25)</f>
        <v>0</v>
      </c>
      <c r="E26" s="812">
        <f t="shared" si="2"/>
        <v>8049.8317319999996</v>
      </c>
      <c r="F26" s="812">
        <f t="shared" si="2"/>
        <v>72.161590128183434</v>
      </c>
      <c r="G26" s="812">
        <f t="shared" si="2"/>
        <v>10228.91155119914</v>
      </c>
      <c r="H26" s="812">
        <f t="shared" si="2"/>
        <v>0</v>
      </c>
      <c r="I26" s="812">
        <f t="shared" si="2"/>
        <v>0</v>
      </c>
      <c r="J26" s="812">
        <f t="shared" si="2"/>
        <v>0</v>
      </c>
      <c r="K26" s="812">
        <f t="shared" si="2"/>
        <v>402.87558193807109</v>
      </c>
      <c r="L26" s="812">
        <f t="shared" si="2"/>
        <v>0</v>
      </c>
      <c r="M26" s="812">
        <f t="shared" si="2"/>
        <v>0</v>
      </c>
      <c r="N26" s="812">
        <f t="shared" si="2"/>
        <v>0</v>
      </c>
      <c r="O26" s="812">
        <f t="shared" si="2"/>
        <v>0</v>
      </c>
      <c r="P26" s="812">
        <f t="shared" si="2"/>
        <v>0</v>
      </c>
      <c r="Q26" s="812">
        <f t="shared" si="2"/>
        <v>0</v>
      </c>
      <c r="R26" s="812">
        <f t="shared" si="2"/>
        <v>26929.663455265396</v>
      </c>
      <c r="S26" s="67"/>
    </row>
    <row r="27" spans="1:19" s="473" customFormat="1" ht="17.25" thickTop="1" thickBot="1">
      <c r="A27" s="706" t="s">
        <v>116</v>
      </c>
      <c r="B27" s="805"/>
      <c r="C27" s="707">
        <f ca="1">C22+C16+C26</f>
        <v>102317.82813287049</v>
      </c>
      <c r="D27" s="707">
        <f t="shared" ref="D27:R27" ca="1" si="3">D22+D16+D26</f>
        <v>0</v>
      </c>
      <c r="E27" s="707">
        <f t="shared" ca="1" si="3"/>
        <v>119524.82983821708</v>
      </c>
      <c r="F27" s="707">
        <f t="shared" si="3"/>
        <v>3336.1593375362677</v>
      </c>
      <c r="G27" s="707">
        <f t="shared" ca="1" si="3"/>
        <v>22224.968728947744</v>
      </c>
      <c r="H27" s="707">
        <f t="shared" si="3"/>
        <v>155946.02359932306</v>
      </c>
      <c r="I27" s="707">
        <f t="shared" si="3"/>
        <v>21721.158744604963</v>
      </c>
      <c r="J27" s="707">
        <f t="shared" si="3"/>
        <v>0</v>
      </c>
      <c r="K27" s="707">
        <f t="shared" si="3"/>
        <v>404.66522607085375</v>
      </c>
      <c r="L27" s="707">
        <f t="shared" si="3"/>
        <v>0</v>
      </c>
      <c r="M27" s="707">
        <f t="shared" ca="1" si="3"/>
        <v>0</v>
      </c>
      <c r="N27" s="707">
        <f t="shared" si="3"/>
        <v>5562.85661376798</v>
      </c>
      <c r="O27" s="707">
        <f t="shared" ca="1" si="3"/>
        <v>7098.8926579509653</v>
      </c>
      <c r="P27" s="707">
        <f t="shared" si="3"/>
        <v>226.68333333333334</v>
      </c>
      <c r="Q27" s="707">
        <f t="shared" si="3"/>
        <v>476.66666666666669</v>
      </c>
      <c r="R27" s="707">
        <f t="shared" ca="1" si="3"/>
        <v>438840.73287928937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7298.8128280575847</v>
      </c>
      <c r="D40" s="1012">
        <f ca="1">tertiair!C20</f>
        <v>0</v>
      </c>
      <c r="E40" s="1012">
        <f ca="1">tertiair!D20</f>
        <v>6793.9227220040011</v>
      </c>
      <c r="F40" s="1012">
        <f>tertiair!E20</f>
        <v>182.86678316356679</v>
      </c>
      <c r="G40" s="1012">
        <f ca="1">tertiair!F20</f>
        <v>2699.7696456145432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16975.371978839696</v>
      </c>
    </row>
    <row r="41" spans="1:18">
      <c r="A41" s="822" t="s">
        <v>225</v>
      </c>
      <c r="B41" s="829"/>
      <c r="C41" s="1012">
        <f ca="1">huishoudens!B12</f>
        <v>10529.205199685399</v>
      </c>
      <c r="D41" s="1012">
        <f ca="1">huishoudens!C12</f>
        <v>0</v>
      </c>
      <c r="E41" s="1012">
        <f>huishoudens!D12</f>
        <v>15048.882472359999</v>
      </c>
      <c r="F41" s="1012">
        <f>huishoudens!E12</f>
        <v>364.75888099564935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25942.846553041047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624.74595505882985</v>
      </c>
      <c r="D43" s="1012">
        <f ca="1">industrie!C22</f>
        <v>0</v>
      </c>
      <c r="E43" s="1012">
        <f>industrie!D22</f>
        <v>659.22573305600008</v>
      </c>
      <c r="F43" s="1012">
        <f>industrie!E22</f>
        <v>115.43170896903329</v>
      </c>
      <c r="G43" s="1012">
        <f>industrie!F22</f>
        <v>503.17762084433468</v>
      </c>
      <c r="H43" s="1012">
        <f>industrie!G22</f>
        <v>0</v>
      </c>
      <c r="I43" s="1012">
        <f>industrie!H22</f>
        <v>0</v>
      </c>
      <c r="J43" s="1012">
        <f>industrie!I22</f>
        <v>0</v>
      </c>
      <c r="K43" s="1012">
        <f>industrie!J22</f>
        <v>0.63353402300505224</v>
      </c>
      <c r="L43" s="1012">
        <f>industrie!K22</f>
        <v>0</v>
      </c>
      <c r="M43" s="1012">
        <f>industrie!L22</f>
        <v>0</v>
      </c>
      <c r="N43" s="1012">
        <f>industrie!M22</f>
        <v>0</v>
      </c>
      <c r="O43" s="1012">
        <f>industrie!N22</f>
        <v>0</v>
      </c>
      <c r="P43" s="1012">
        <f>industrie!O22</f>
        <v>0</v>
      </c>
      <c r="Q43" s="774">
        <f>industrie!P22</f>
        <v>0</v>
      </c>
      <c r="R43" s="849">
        <f t="shared" ca="1" si="4"/>
        <v>1903.214551951203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18452.763982801811</v>
      </c>
      <c r="D46" s="732">
        <f t="shared" ref="D46:Q46" ca="1" si="5">SUM(D39:D45)</f>
        <v>0</v>
      </c>
      <c r="E46" s="732">
        <f t="shared" ca="1" si="5"/>
        <v>22502.030927420001</v>
      </c>
      <c r="F46" s="732">
        <f t="shared" si="5"/>
        <v>663.05737312824942</v>
      </c>
      <c r="G46" s="732">
        <f t="shared" ca="1" si="5"/>
        <v>3202.9472664588779</v>
      </c>
      <c r="H46" s="732">
        <f t="shared" si="5"/>
        <v>0</v>
      </c>
      <c r="I46" s="732">
        <f t="shared" si="5"/>
        <v>0</v>
      </c>
      <c r="J46" s="732">
        <f t="shared" si="5"/>
        <v>0</v>
      </c>
      <c r="K46" s="732">
        <f t="shared" si="5"/>
        <v>0.63353402300505224</v>
      </c>
      <c r="L46" s="732">
        <f t="shared" si="5"/>
        <v>0</v>
      </c>
      <c r="M46" s="732">
        <f t="shared" ca="1" si="5"/>
        <v>0</v>
      </c>
      <c r="N46" s="732">
        <f t="shared" si="5"/>
        <v>0</v>
      </c>
      <c r="O46" s="732">
        <f t="shared" ca="1" si="5"/>
        <v>0</v>
      </c>
      <c r="P46" s="732">
        <f t="shared" si="5"/>
        <v>0</v>
      </c>
      <c r="Q46" s="732">
        <f t="shared" si="5"/>
        <v>0</v>
      </c>
      <c r="R46" s="732">
        <f ca="1">SUM(R39:R45)</f>
        <v>44821.433083831951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333.31333959024283</v>
      </c>
      <c r="D49" s="1012">
        <f ca="1">transport!C58</f>
        <v>0</v>
      </c>
      <c r="E49" s="1012">
        <f>transport!D58</f>
        <v>0</v>
      </c>
      <c r="F49" s="1012">
        <f>transport!E58</f>
        <v>0</v>
      </c>
      <c r="G49" s="1012">
        <f>transport!F58</f>
        <v>0</v>
      </c>
      <c r="H49" s="1012">
        <f>transport!G58</f>
        <v>411.09928347379048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744.41262306403337</v>
      </c>
    </row>
    <row r="50" spans="1:18">
      <c r="A50" s="825" t="s">
        <v>307</v>
      </c>
      <c r="B50" s="835"/>
      <c r="C50" s="703">
        <f ca="1">transport!B18</f>
        <v>7.5235403402574903</v>
      </c>
      <c r="D50" s="703">
        <f>transport!C18</f>
        <v>0</v>
      </c>
      <c r="E50" s="703">
        <f>transport!D18</f>
        <v>15.918690035848272</v>
      </c>
      <c r="F50" s="703">
        <f>transport!E18</f>
        <v>77.870115533385672</v>
      </c>
      <c r="G50" s="703">
        <f>transport!F18</f>
        <v>0</v>
      </c>
      <c r="H50" s="703">
        <f>transport!G18</f>
        <v>41226.489017545471</v>
      </c>
      <c r="I50" s="703">
        <f>transport!H18</f>
        <v>5408.5685274066354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46736.369890861599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340.83687993050034</v>
      </c>
      <c r="D52" s="732">
        <f t="shared" ref="D52:Q52" ca="1" si="6">SUM(D48:D51)</f>
        <v>0</v>
      </c>
      <c r="E52" s="732">
        <f t="shared" si="6"/>
        <v>15.918690035848272</v>
      </c>
      <c r="F52" s="732">
        <f t="shared" si="6"/>
        <v>77.870115533385672</v>
      </c>
      <c r="G52" s="732">
        <f t="shared" si="6"/>
        <v>0</v>
      </c>
      <c r="H52" s="732">
        <f t="shared" si="6"/>
        <v>41637.588301019263</v>
      </c>
      <c r="I52" s="732">
        <f t="shared" si="6"/>
        <v>5408.5685274066354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47480.782513925631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558.65828758152804</v>
      </c>
      <c r="D54" s="703">
        <f ca="1">+landbouw!C12</f>
        <v>0</v>
      </c>
      <c r="E54" s="703">
        <f>+landbouw!D12</f>
        <v>56.877893864000008</v>
      </c>
      <c r="F54" s="703">
        <f>+landbouw!E12</f>
        <v>16.380680959097639</v>
      </c>
      <c r="G54" s="703">
        <f>+landbouw!F12</f>
        <v>2731.1193841701706</v>
      </c>
      <c r="H54" s="703">
        <f>+landbouw!G12</f>
        <v>0</v>
      </c>
      <c r="I54" s="703">
        <f>+landbouw!H12</f>
        <v>0</v>
      </c>
      <c r="J54" s="703">
        <f>+landbouw!I12</f>
        <v>0</v>
      </c>
      <c r="K54" s="703">
        <f>+landbouw!J12</f>
        <v>142.61795600607715</v>
      </c>
      <c r="L54" s="703">
        <f>+landbouw!K12</f>
        <v>0</v>
      </c>
      <c r="M54" s="703">
        <f>+landbouw!L12</f>
        <v>0</v>
      </c>
      <c r="N54" s="703">
        <f>+landbouw!M12</f>
        <v>0</v>
      </c>
      <c r="O54" s="703">
        <f>+landbouw!N12</f>
        <v>0</v>
      </c>
      <c r="P54" s="703">
        <f>+landbouw!O12</f>
        <v>0</v>
      </c>
      <c r="Q54" s="704">
        <f>+landbouw!P12</f>
        <v>0</v>
      </c>
      <c r="R54" s="731">
        <f ca="1">SUM(C54:Q54)</f>
        <v>3505.6542025808735</v>
      </c>
    </row>
    <row r="55" spans="1:18" ht="15" thickBot="1">
      <c r="A55" s="825" t="s">
        <v>848</v>
      </c>
      <c r="B55" s="835"/>
      <c r="C55" s="703">
        <f ca="1">C25*'EF ele_warmte'!B12</f>
        <v>1073.497087852166</v>
      </c>
      <c r="D55" s="703"/>
      <c r="E55" s="703">
        <f>E25*EF_CO2_aardgas</f>
        <v>1569.188116</v>
      </c>
      <c r="F55" s="703"/>
      <c r="G55" s="703"/>
      <c r="H55" s="703"/>
      <c r="I55" s="703"/>
      <c r="J55" s="703"/>
      <c r="K55" s="703"/>
      <c r="L55" s="703"/>
      <c r="M55" s="703"/>
      <c r="N55" s="703"/>
      <c r="O55" s="703"/>
      <c r="P55" s="703"/>
      <c r="Q55" s="704"/>
      <c r="R55" s="731">
        <f ca="1">SUM(C55:Q55)</f>
        <v>2642.6852038521661</v>
      </c>
    </row>
    <row r="56" spans="1:18" ht="15.75" thickBot="1">
      <c r="A56" s="823" t="s">
        <v>849</v>
      </c>
      <c r="B56" s="836"/>
      <c r="C56" s="732">
        <f ca="1">SUM(C54:C55)</f>
        <v>1632.1553754336942</v>
      </c>
      <c r="D56" s="732">
        <f t="shared" ref="D56:Q56" ca="1" si="7">SUM(D54:D55)</f>
        <v>0</v>
      </c>
      <c r="E56" s="732">
        <f t="shared" si="7"/>
        <v>1626.0660098640001</v>
      </c>
      <c r="F56" s="732">
        <f t="shared" si="7"/>
        <v>16.380680959097639</v>
      </c>
      <c r="G56" s="732">
        <f t="shared" si="7"/>
        <v>2731.1193841701706</v>
      </c>
      <c r="H56" s="732">
        <f t="shared" si="7"/>
        <v>0</v>
      </c>
      <c r="I56" s="732">
        <f t="shared" si="7"/>
        <v>0</v>
      </c>
      <c r="J56" s="732">
        <f t="shared" si="7"/>
        <v>0</v>
      </c>
      <c r="K56" s="732">
        <f t="shared" si="7"/>
        <v>142.61795600607715</v>
      </c>
      <c r="L56" s="732">
        <f t="shared" si="7"/>
        <v>0</v>
      </c>
      <c r="M56" s="732">
        <f t="shared" si="7"/>
        <v>0</v>
      </c>
      <c r="N56" s="732">
        <f t="shared" si="7"/>
        <v>0</v>
      </c>
      <c r="O56" s="732">
        <f t="shared" si="7"/>
        <v>0</v>
      </c>
      <c r="P56" s="732">
        <f t="shared" si="7"/>
        <v>0</v>
      </c>
      <c r="Q56" s="733">
        <f t="shared" si="7"/>
        <v>0</v>
      </c>
      <c r="R56" s="734">
        <f ca="1">SUM(R54:R55)</f>
        <v>6148.3394064330396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20425.756238166003</v>
      </c>
      <c r="D61" s="740">
        <f t="shared" ref="D61:Q61" ca="1" si="8">D46+D52+D56</f>
        <v>0</v>
      </c>
      <c r="E61" s="740">
        <f t="shared" ca="1" si="8"/>
        <v>24144.015627319848</v>
      </c>
      <c r="F61" s="740">
        <f t="shared" si="8"/>
        <v>757.30816962073277</v>
      </c>
      <c r="G61" s="740">
        <f t="shared" ca="1" si="8"/>
        <v>5934.066650629049</v>
      </c>
      <c r="H61" s="740">
        <f t="shared" si="8"/>
        <v>41637.588301019263</v>
      </c>
      <c r="I61" s="740">
        <f t="shared" si="8"/>
        <v>5408.5685274066354</v>
      </c>
      <c r="J61" s="740">
        <f t="shared" si="8"/>
        <v>0</v>
      </c>
      <c r="K61" s="740">
        <f t="shared" si="8"/>
        <v>143.25149002908219</v>
      </c>
      <c r="L61" s="740">
        <f t="shared" si="8"/>
        <v>0</v>
      </c>
      <c r="M61" s="740">
        <f t="shared" ca="1" si="8"/>
        <v>0</v>
      </c>
      <c r="N61" s="740">
        <f t="shared" si="8"/>
        <v>0</v>
      </c>
      <c r="O61" s="740">
        <f t="shared" ca="1" si="8"/>
        <v>0</v>
      </c>
      <c r="P61" s="740">
        <f t="shared" si="8"/>
        <v>0</v>
      </c>
      <c r="Q61" s="740">
        <f t="shared" si="8"/>
        <v>0</v>
      </c>
      <c r="R61" s="740">
        <f ca="1">R46+R52+R56</f>
        <v>98450.55500419061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0.19963047115934679</v>
      </c>
      <c r="D63" s="781">
        <f t="shared" ca="1" si="9"/>
        <v>0</v>
      </c>
      <c r="E63" s="1023">
        <f t="shared" ca="1" si="9"/>
        <v>0.20199999999999999</v>
      </c>
      <c r="F63" s="781">
        <f t="shared" si="9"/>
        <v>0.22700000000000001</v>
      </c>
      <c r="G63" s="781">
        <f t="shared" ca="1" si="9"/>
        <v>0.26700000000000007</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4162.6890562526805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5730.9027048259104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9893.5917610785909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4162.6890562526805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5730.9027048259104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9893.5917610785909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52743.47717829555</v>
      </c>
      <c r="C4" s="477">
        <f>huishoudens!C8</f>
        <v>0</v>
      </c>
      <c r="D4" s="477">
        <f>huishoudens!D8</f>
        <v>74499.418179999993</v>
      </c>
      <c r="E4" s="477">
        <f>huishoudens!E8</f>
        <v>1606.8673171614507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3265.7019750604181</v>
      </c>
      <c r="O4" s="477">
        <f>huishoudens!O8</f>
        <v>214.17666666666668</v>
      </c>
      <c r="P4" s="478">
        <f>huishoudens!P8</f>
        <v>457.6</v>
      </c>
      <c r="Q4" s="479">
        <f>SUM(B4:P4)</f>
        <v>132787.24131718409</v>
      </c>
    </row>
    <row r="5" spans="1:17">
      <c r="A5" s="476" t="s">
        <v>156</v>
      </c>
      <c r="B5" s="477">
        <f ca="1">tertiair!B16</f>
        <v>34573.479999999996</v>
      </c>
      <c r="C5" s="477">
        <f ca="1">tertiair!C16</f>
        <v>0</v>
      </c>
      <c r="D5" s="477">
        <f ca="1">tertiair!D16</f>
        <v>33633.280802000001</v>
      </c>
      <c r="E5" s="477">
        <f>tertiair!E16</f>
        <v>805.58054257077879</v>
      </c>
      <c r="F5" s="477">
        <f ca="1">tertiair!F16</f>
        <v>10111.496800054469</v>
      </c>
      <c r="G5" s="477">
        <f>tertiair!G16</f>
        <v>0</v>
      </c>
      <c r="H5" s="477">
        <f>tertiair!H16</f>
        <v>0</v>
      </c>
      <c r="I5" s="477">
        <f>tertiair!I16</f>
        <v>0</v>
      </c>
      <c r="J5" s="477">
        <f>tertiair!J16</f>
        <v>0</v>
      </c>
      <c r="K5" s="477">
        <f>tertiair!K16</f>
        <v>0</v>
      </c>
      <c r="L5" s="477">
        <f ca="1">tertiair!L16</f>
        <v>0</v>
      </c>
      <c r="M5" s="477">
        <f>tertiair!M16</f>
        <v>0</v>
      </c>
      <c r="N5" s="477">
        <f ca="1">tertiair!N16</f>
        <v>2823.8616755537805</v>
      </c>
      <c r="O5" s="477">
        <f>tertiair!O16</f>
        <v>12.506666666666668</v>
      </c>
      <c r="P5" s="478">
        <f>tertiair!P16</f>
        <v>19.066666666666666</v>
      </c>
      <c r="Q5" s="476">
        <f t="shared" ref="Q5:Q14" ca="1" si="0">SUM(B5:P5)</f>
        <v>81979.27315351236</v>
      </c>
    </row>
    <row r="6" spans="1:17">
      <c r="A6" s="476" t="s">
        <v>194</v>
      </c>
      <c r="B6" s="477">
        <f>'openbare verlichting'!B8</f>
        <v>1988.1369999999999</v>
      </c>
      <c r="C6" s="477"/>
      <c r="D6" s="477"/>
      <c r="E6" s="477"/>
      <c r="F6" s="477"/>
      <c r="G6" s="477"/>
      <c r="H6" s="477"/>
      <c r="I6" s="477"/>
      <c r="J6" s="477"/>
      <c r="K6" s="477"/>
      <c r="L6" s="477"/>
      <c r="M6" s="477"/>
      <c r="N6" s="477"/>
      <c r="O6" s="477"/>
      <c r="P6" s="478"/>
      <c r="Q6" s="476">
        <f t="shared" si="0"/>
        <v>1988.1369999999999</v>
      </c>
    </row>
    <row r="7" spans="1:17">
      <c r="A7" s="476" t="s">
        <v>112</v>
      </c>
      <c r="B7" s="477">
        <f>landbouw!B8</f>
        <v>2798.462</v>
      </c>
      <c r="C7" s="477">
        <f>landbouw!C8</f>
        <v>0</v>
      </c>
      <c r="D7" s="477">
        <f>landbouw!D8</f>
        <v>281.57373200000001</v>
      </c>
      <c r="E7" s="477">
        <f>landbouw!E8</f>
        <v>72.161590128183434</v>
      </c>
      <c r="F7" s="477">
        <f>landbouw!F8</f>
        <v>10228.91155119914</v>
      </c>
      <c r="G7" s="477">
        <f>landbouw!G8</f>
        <v>0</v>
      </c>
      <c r="H7" s="477">
        <f>landbouw!H8</f>
        <v>0</v>
      </c>
      <c r="I7" s="477">
        <f>landbouw!I8</f>
        <v>0</v>
      </c>
      <c r="J7" s="477">
        <f>landbouw!J8</f>
        <v>402.87558193807109</v>
      </c>
      <c r="K7" s="477">
        <f>landbouw!K8</f>
        <v>0</v>
      </c>
      <c r="L7" s="477">
        <f>landbouw!L8</f>
        <v>0</v>
      </c>
      <c r="M7" s="477">
        <f>landbouw!M8</f>
        <v>0</v>
      </c>
      <c r="N7" s="477">
        <f>landbouw!N8</f>
        <v>0</v>
      </c>
      <c r="O7" s="477">
        <f>landbouw!O8</f>
        <v>0</v>
      </c>
      <c r="P7" s="478">
        <f>landbouw!P8</f>
        <v>0</v>
      </c>
      <c r="Q7" s="476">
        <f t="shared" si="0"/>
        <v>13783.984455265396</v>
      </c>
    </row>
    <row r="8" spans="1:17">
      <c r="A8" s="476" t="s">
        <v>638</v>
      </c>
      <c r="B8" s="477">
        <f>industrie!B18</f>
        <v>3129.5120000000002</v>
      </c>
      <c r="C8" s="477">
        <f>industrie!C18</f>
        <v>0</v>
      </c>
      <c r="D8" s="477">
        <f>industrie!D18</f>
        <v>3263.4937280000004</v>
      </c>
      <c r="E8" s="477">
        <f>industrie!E18</f>
        <v>508.50973114111582</v>
      </c>
      <c r="F8" s="477">
        <f>industrie!F18</f>
        <v>1884.5603776941373</v>
      </c>
      <c r="G8" s="477">
        <f>industrie!G18</f>
        <v>0</v>
      </c>
      <c r="H8" s="477">
        <f>industrie!H18</f>
        <v>0</v>
      </c>
      <c r="I8" s="477">
        <f>industrie!I18</f>
        <v>0</v>
      </c>
      <c r="J8" s="477">
        <f>industrie!J18</f>
        <v>1.7896441327826336</v>
      </c>
      <c r="K8" s="477">
        <f>industrie!K18</f>
        <v>0</v>
      </c>
      <c r="L8" s="477">
        <f>industrie!L18</f>
        <v>0</v>
      </c>
      <c r="M8" s="477">
        <f>industrie!M18</f>
        <v>0</v>
      </c>
      <c r="N8" s="477">
        <f>industrie!N18</f>
        <v>1009.3290073367674</v>
      </c>
      <c r="O8" s="477">
        <f>industrie!O18</f>
        <v>0</v>
      </c>
      <c r="P8" s="478">
        <f>industrie!P18</f>
        <v>0</v>
      </c>
      <c r="Q8" s="476">
        <f t="shared" si="0"/>
        <v>9797.1944883048036</v>
      </c>
    </row>
    <row r="9" spans="1:17" s="482" customFormat="1">
      <c r="A9" s="480" t="s">
        <v>564</v>
      </c>
      <c r="B9" s="481">
        <f>transport!B14</f>
        <v>37.687334486387762</v>
      </c>
      <c r="C9" s="481">
        <f>transport!C14</f>
        <v>0</v>
      </c>
      <c r="D9" s="481">
        <f>transport!D14</f>
        <v>78.805396217070651</v>
      </c>
      <c r="E9" s="481">
        <f>transport!E14</f>
        <v>343.04015653473863</v>
      </c>
      <c r="F9" s="481">
        <f>transport!F14</f>
        <v>0</v>
      </c>
      <c r="G9" s="481">
        <f>transport!G14</f>
        <v>154406.32590840998</v>
      </c>
      <c r="H9" s="481">
        <f>transport!H14</f>
        <v>21721.158744604963</v>
      </c>
      <c r="I9" s="481">
        <f>transport!I14</f>
        <v>0</v>
      </c>
      <c r="J9" s="481">
        <f>transport!J14</f>
        <v>0</v>
      </c>
      <c r="K9" s="481">
        <f>transport!K14</f>
        <v>0</v>
      </c>
      <c r="L9" s="481">
        <f>transport!L14</f>
        <v>0</v>
      </c>
      <c r="M9" s="481">
        <f>transport!M14</f>
        <v>5515.0986359799517</v>
      </c>
      <c r="N9" s="481">
        <f>transport!N14</f>
        <v>0</v>
      </c>
      <c r="O9" s="481">
        <f>transport!O14</f>
        <v>0</v>
      </c>
      <c r="P9" s="481">
        <f>transport!P14</f>
        <v>0</v>
      </c>
      <c r="Q9" s="480">
        <f>SUM(B9:P9)</f>
        <v>182102.1161762331</v>
      </c>
    </row>
    <row r="10" spans="1:17">
      <c r="A10" s="476" t="s">
        <v>554</v>
      </c>
      <c r="B10" s="477">
        <f>transport!B54</f>
        <v>1669.651620088544</v>
      </c>
      <c r="C10" s="477">
        <f>transport!C54</f>
        <v>0</v>
      </c>
      <c r="D10" s="477">
        <f>transport!D54</f>
        <v>0</v>
      </c>
      <c r="E10" s="477">
        <f>transport!E54</f>
        <v>0</v>
      </c>
      <c r="F10" s="477">
        <f>transport!F54</f>
        <v>0</v>
      </c>
      <c r="G10" s="477">
        <f>transport!G54</f>
        <v>1539.6976909130728</v>
      </c>
      <c r="H10" s="477">
        <f>transport!H54</f>
        <v>0</v>
      </c>
      <c r="I10" s="477">
        <f>transport!I54</f>
        <v>0</v>
      </c>
      <c r="J10" s="477">
        <f>transport!J54</f>
        <v>0</v>
      </c>
      <c r="K10" s="477">
        <f>transport!K54</f>
        <v>0</v>
      </c>
      <c r="L10" s="477">
        <f>transport!L54</f>
        <v>0</v>
      </c>
      <c r="M10" s="477">
        <f>transport!M54</f>
        <v>47.757977788028278</v>
      </c>
      <c r="N10" s="477">
        <f>transport!N54</f>
        <v>0</v>
      </c>
      <c r="O10" s="477">
        <f>transport!O54</f>
        <v>0</v>
      </c>
      <c r="P10" s="478">
        <f>transport!P54</f>
        <v>0</v>
      </c>
      <c r="Q10" s="476">
        <f t="shared" si="0"/>
        <v>3257.1072887896453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5377.4210000000003</v>
      </c>
      <c r="C14" s="484"/>
      <c r="D14" s="484">
        <f>'SEAP template'!E25</f>
        <v>7768.2579999999998</v>
      </c>
      <c r="E14" s="484"/>
      <c r="F14" s="484"/>
      <c r="G14" s="484"/>
      <c r="H14" s="484"/>
      <c r="I14" s="484"/>
      <c r="J14" s="484"/>
      <c r="K14" s="484"/>
      <c r="L14" s="484"/>
      <c r="M14" s="484"/>
      <c r="N14" s="484"/>
      <c r="O14" s="484"/>
      <c r="P14" s="485"/>
      <c r="Q14" s="476">
        <f t="shared" si="0"/>
        <v>13145.679</v>
      </c>
    </row>
    <row r="15" spans="1:17" s="486" customFormat="1">
      <c r="A15" s="1038" t="s">
        <v>558</v>
      </c>
      <c r="B15" s="978">
        <f ca="1">SUM(B4:B14)</f>
        <v>102317.82813287048</v>
      </c>
      <c r="C15" s="978">
        <f t="shared" ref="C15:Q15" ca="1" si="1">SUM(C4:C14)</f>
        <v>0</v>
      </c>
      <c r="D15" s="978">
        <f t="shared" ca="1" si="1"/>
        <v>119524.82983821708</v>
      </c>
      <c r="E15" s="978">
        <f t="shared" si="1"/>
        <v>3336.1593375362677</v>
      </c>
      <c r="F15" s="978">
        <f t="shared" ca="1" si="1"/>
        <v>22224.968728947748</v>
      </c>
      <c r="G15" s="978">
        <f t="shared" si="1"/>
        <v>155946.02359932306</v>
      </c>
      <c r="H15" s="978">
        <f t="shared" si="1"/>
        <v>21721.158744604963</v>
      </c>
      <c r="I15" s="978">
        <f t="shared" si="1"/>
        <v>0</v>
      </c>
      <c r="J15" s="978">
        <f t="shared" si="1"/>
        <v>404.66522607085375</v>
      </c>
      <c r="K15" s="978">
        <f t="shared" si="1"/>
        <v>0</v>
      </c>
      <c r="L15" s="978">
        <f t="shared" ca="1" si="1"/>
        <v>0</v>
      </c>
      <c r="M15" s="978">
        <f t="shared" si="1"/>
        <v>5562.85661376798</v>
      </c>
      <c r="N15" s="978">
        <f t="shared" ca="1" si="1"/>
        <v>7098.8926579509653</v>
      </c>
      <c r="O15" s="978">
        <f t="shared" si="1"/>
        <v>226.68333333333334</v>
      </c>
      <c r="P15" s="978">
        <f t="shared" si="1"/>
        <v>476.66666666666669</v>
      </c>
      <c r="Q15" s="978">
        <f t="shared" ca="1" si="1"/>
        <v>438840.73287928937</v>
      </c>
    </row>
    <row r="17" spans="1:17">
      <c r="A17" s="487" t="s">
        <v>559</v>
      </c>
      <c r="B17" s="786">
        <f ca="1">huishoudens!B10</f>
        <v>0.19963047115934685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10529.205199685399</v>
      </c>
      <c r="C22" s="477">
        <f t="shared" ref="C22:C32" ca="1" si="3">C4*$C$17</f>
        <v>0</v>
      </c>
      <c r="D22" s="477">
        <f t="shared" ref="D22:D32" si="4">D4*$D$17</f>
        <v>15048.882472359999</v>
      </c>
      <c r="E22" s="477">
        <f t="shared" ref="E22:E32" si="5">E4*$E$17</f>
        <v>364.75888099564935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25942.846553041047</v>
      </c>
    </row>
    <row r="23" spans="1:17">
      <c r="A23" s="476" t="s">
        <v>156</v>
      </c>
      <c r="B23" s="477">
        <f t="shared" ca="1" si="2"/>
        <v>6901.9201020182545</v>
      </c>
      <c r="C23" s="477">
        <f t="shared" ca="1" si="3"/>
        <v>0</v>
      </c>
      <c r="D23" s="477">
        <f t="shared" ca="1" si="4"/>
        <v>6793.9227220040011</v>
      </c>
      <c r="E23" s="477">
        <f t="shared" si="5"/>
        <v>182.86678316356679</v>
      </c>
      <c r="F23" s="477">
        <f t="shared" ca="1" si="6"/>
        <v>2699.7696456145432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16578.479252800367</v>
      </c>
    </row>
    <row r="24" spans="1:17">
      <c r="A24" s="476" t="s">
        <v>194</v>
      </c>
      <c r="B24" s="477">
        <f t="shared" ca="1" si="2"/>
        <v>396.89272603933034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396.89272603933034</v>
      </c>
    </row>
    <row r="25" spans="1:17">
      <c r="A25" s="476" t="s">
        <v>112</v>
      </c>
      <c r="B25" s="477">
        <f t="shared" ca="1" si="2"/>
        <v>558.65828758152804</v>
      </c>
      <c r="C25" s="477">
        <f t="shared" ca="1" si="3"/>
        <v>0</v>
      </c>
      <c r="D25" s="477">
        <f t="shared" si="4"/>
        <v>56.877893864000008</v>
      </c>
      <c r="E25" s="477">
        <f t="shared" si="5"/>
        <v>16.380680959097639</v>
      </c>
      <c r="F25" s="477">
        <f t="shared" si="6"/>
        <v>2731.1193841701706</v>
      </c>
      <c r="G25" s="477">
        <f t="shared" si="7"/>
        <v>0</v>
      </c>
      <c r="H25" s="477">
        <f t="shared" si="8"/>
        <v>0</v>
      </c>
      <c r="I25" s="477">
        <f t="shared" si="9"/>
        <v>0</v>
      </c>
      <c r="J25" s="477">
        <f t="shared" si="10"/>
        <v>142.61795600607715</v>
      </c>
      <c r="K25" s="477">
        <f t="shared" si="11"/>
        <v>0</v>
      </c>
      <c r="L25" s="477">
        <f t="shared" si="12"/>
        <v>0</v>
      </c>
      <c r="M25" s="477">
        <f t="shared" si="13"/>
        <v>0</v>
      </c>
      <c r="N25" s="477">
        <f t="shared" si="14"/>
        <v>0</v>
      </c>
      <c r="O25" s="477">
        <f t="shared" si="15"/>
        <v>0</v>
      </c>
      <c r="P25" s="478">
        <f t="shared" si="16"/>
        <v>0</v>
      </c>
      <c r="Q25" s="476">
        <f t="shared" ca="1" si="17"/>
        <v>3505.6542025808735</v>
      </c>
    </row>
    <row r="26" spans="1:17">
      <c r="A26" s="476" t="s">
        <v>638</v>
      </c>
      <c r="B26" s="477">
        <f t="shared" ca="1" si="2"/>
        <v>624.74595505882985</v>
      </c>
      <c r="C26" s="477">
        <f t="shared" ca="1" si="3"/>
        <v>0</v>
      </c>
      <c r="D26" s="477">
        <f t="shared" si="4"/>
        <v>659.22573305600008</v>
      </c>
      <c r="E26" s="477">
        <f t="shared" si="5"/>
        <v>115.43170896903329</v>
      </c>
      <c r="F26" s="477">
        <f t="shared" si="6"/>
        <v>503.17762084433468</v>
      </c>
      <c r="G26" s="477">
        <f t="shared" si="7"/>
        <v>0</v>
      </c>
      <c r="H26" s="477">
        <f t="shared" si="8"/>
        <v>0</v>
      </c>
      <c r="I26" s="477">
        <f t="shared" si="9"/>
        <v>0</v>
      </c>
      <c r="J26" s="477">
        <f t="shared" si="10"/>
        <v>0.63353402300505224</v>
      </c>
      <c r="K26" s="477">
        <f t="shared" si="11"/>
        <v>0</v>
      </c>
      <c r="L26" s="477">
        <f t="shared" si="12"/>
        <v>0</v>
      </c>
      <c r="M26" s="477">
        <f t="shared" si="13"/>
        <v>0</v>
      </c>
      <c r="N26" s="477">
        <f t="shared" si="14"/>
        <v>0</v>
      </c>
      <c r="O26" s="477">
        <f t="shared" si="15"/>
        <v>0</v>
      </c>
      <c r="P26" s="478">
        <f t="shared" si="16"/>
        <v>0</v>
      </c>
      <c r="Q26" s="476">
        <f t="shared" ca="1" si="17"/>
        <v>1903.214551951203</v>
      </c>
    </row>
    <row r="27" spans="1:17" s="482" customFormat="1">
      <c r="A27" s="480" t="s">
        <v>564</v>
      </c>
      <c r="B27" s="780">
        <f t="shared" ca="1" si="2"/>
        <v>7.5235403402574903</v>
      </c>
      <c r="C27" s="481">
        <f t="shared" ca="1" si="3"/>
        <v>0</v>
      </c>
      <c r="D27" s="481">
        <f t="shared" si="4"/>
        <v>15.918690035848272</v>
      </c>
      <c r="E27" s="481">
        <f t="shared" si="5"/>
        <v>77.870115533385672</v>
      </c>
      <c r="F27" s="481">
        <f t="shared" si="6"/>
        <v>0</v>
      </c>
      <c r="G27" s="481">
        <f t="shared" si="7"/>
        <v>41226.489017545471</v>
      </c>
      <c r="H27" s="481">
        <f t="shared" si="8"/>
        <v>5408.5685274066354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46736.369890861599</v>
      </c>
    </row>
    <row r="28" spans="1:17">
      <c r="A28" s="476" t="s">
        <v>554</v>
      </c>
      <c r="B28" s="477">
        <f t="shared" ca="1" si="2"/>
        <v>333.31333959024283</v>
      </c>
      <c r="C28" s="477">
        <f t="shared" ca="1" si="3"/>
        <v>0</v>
      </c>
      <c r="D28" s="477">
        <f t="shared" si="4"/>
        <v>0</v>
      </c>
      <c r="E28" s="477">
        <f t="shared" si="5"/>
        <v>0</v>
      </c>
      <c r="F28" s="477">
        <f t="shared" si="6"/>
        <v>0</v>
      </c>
      <c r="G28" s="477">
        <f t="shared" si="7"/>
        <v>411.09928347379048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744.41262306403337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1073.497087852166</v>
      </c>
      <c r="C32" s="477">
        <f t="shared" ca="1" si="3"/>
        <v>0</v>
      </c>
      <c r="D32" s="477">
        <f t="shared" si="4"/>
        <v>1569.188116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2642.6852038521661</v>
      </c>
    </row>
    <row r="33" spans="1:17" s="486" customFormat="1">
      <c r="A33" s="1038" t="s">
        <v>558</v>
      </c>
      <c r="B33" s="978">
        <f ca="1">SUM(B22:B32)</f>
        <v>20425.756238166014</v>
      </c>
      <c r="C33" s="978">
        <f t="shared" ref="C33:Q33" ca="1" si="18">SUM(C22:C32)</f>
        <v>0</v>
      </c>
      <c r="D33" s="978">
        <f t="shared" ca="1" si="18"/>
        <v>24144.015627319848</v>
      </c>
      <c r="E33" s="978">
        <f t="shared" si="18"/>
        <v>757.30816962073277</v>
      </c>
      <c r="F33" s="978">
        <f t="shared" ca="1" si="18"/>
        <v>5934.0666506290481</v>
      </c>
      <c r="G33" s="978">
        <f t="shared" si="18"/>
        <v>41637.588301019263</v>
      </c>
      <c r="H33" s="978">
        <f t="shared" si="18"/>
        <v>5408.5685274066354</v>
      </c>
      <c r="I33" s="978">
        <f t="shared" si="18"/>
        <v>0</v>
      </c>
      <c r="J33" s="978">
        <f t="shared" si="18"/>
        <v>143.25149002908219</v>
      </c>
      <c r="K33" s="978">
        <f t="shared" si="18"/>
        <v>0</v>
      </c>
      <c r="L33" s="978">
        <f t="shared" ca="1" si="18"/>
        <v>0</v>
      </c>
      <c r="M33" s="978">
        <f t="shared" si="18"/>
        <v>0</v>
      </c>
      <c r="N33" s="978">
        <f t="shared" ca="1" si="18"/>
        <v>0</v>
      </c>
      <c r="O33" s="978">
        <f t="shared" si="18"/>
        <v>0</v>
      </c>
      <c r="P33" s="978">
        <f t="shared" si="18"/>
        <v>0</v>
      </c>
      <c r="Q33" s="978">
        <f t="shared" ca="1" si="18"/>
        <v>98450.555004190624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4162.6890562526805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5730.9027048259104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9893.5917610785909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0.19963047115934685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0.19963047115934685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2019-08-12T08:24:40Z</dcterms:modified>
</cp:coreProperties>
</file>