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I102" s="1"/>
  <c r="H17" s="1"/>
  <c r="B17"/>
  <c r="B20" s="1"/>
  <c r="D10"/>
  <c r="E77" i="14"/>
  <c r="E9" i="59" s="1"/>
  <c r="B14" i="48"/>
  <c r="R25" i="14"/>
  <c r="C98" i="18"/>
  <c r="I101" s="1"/>
  <c r="H8"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Q77" i="14"/>
  <c r="P9" i="59" s="1"/>
  <c r="O9" i="18"/>
  <c r="O18"/>
  <c r="G88" i="14"/>
  <c r="C88" s="1"/>
  <c r="C18" i="59" s="1"/>
  <c r="F89" i="14"/>
  <c r="E101" i="18"/>
  <c r="E8" s="1"/>
  <c r="H101"/>
  <c r="E102"/>
  <c r="E17" s="1"/>
  <c r="H102"/>
  <c r="D102"/>
  <c r="G102"/>
  <c r="C102"/>
  <c r="F102"/>
  <c r="B102"/>
  <c r="C17" s="1"/>
  <c r="B88" i="14"/>
  <c r="B18" i="59" s="1"/>
  <c r="B77" i="14"/>
  <c r="B9" i="59" s="1"/>
  <c r="Q14" i="48"/>
  <c r="O24"/>
  <c r="O30"/>
  <c r="P24"/>
  <c r="P30"/>
  <c r="C77" i="14"/>
  <c r="C9" i="59" s="1"/>
  <c r="E78" i="14"/>
  <c r="E90"/>
  <c r="N19" i="59" l="1"/>
  <c r="N20" s="1"/>
  <c r="N90" i="14"/>
  <c r="D101" i="18"/>
  <c r="G101"/>
  <c r="I8" s="1"/>
  <c r="O8" s="1"/>
  <c r="O10" s="1"/>
  <c r="G90" i="14"/>
  <c r="G18" i="59"/>
  <c r="G20" s="1"/>
  <c r="O78" i="14"/>
  <c r="O9" i="59"/>
  <c r="O10" s="1"/>
  <c r="C89" i="14"/>
  <c r="C19" i="59" s="1"/>
  <c r="F19"/>
  <c r="C101" i="18"/>
  <c r="J8" s="1"/>
  <c r="B89" i="14"/>
  <c r="B19" i="59" s="1"/>
  <c r="F101" i="18"/>
  <c r="N78" i="14"/>
  <c r="B101" i="18"/>
  <c r="C8" s="1"/>
  <c r="C10" s="1"/>
  <c r="Q88" i="14"/>
  <c r="P18" i="59" s="1"/>
  <c r="Q89" i="14"/>
  <c r="P19" i="59" s="1"/>
  <c r="C20" i="18"/>
  <c r="D87" i="14"/>
  <c r="D17" i="59" s="1"/>
  <c r="D20" s="1"/>
  <c r="J17" i="18"/>
  <c r="F87" i="14"/>
  <c r="E20" i="18"/>
  <c r="E10"/>
  <c r="F76" i="14"/>
  <c r="F8" i="59" s="1"/>
  <c r="F10" s="1"/>
  <c r="I17" i="18"/>
  <c r="O17" s="1"/>
  <c r="O20" s="1"/>
  <c r="H20"/>
  <c r="M87" i="14"/>
  <c r="M76"/>
  <c r="H10" i="18"/>
  <c r="H14" i="15"/>
  <c r="H16" s="1"/>
  <c r="G14"/>
  <c r="G16" s="1"/>
  <c r="M78" i="14" l="1"/>
  <c r="M8" i="59"/>
  <c r="M10" s="1"/>
  <c r="F90" i="14"/>
  <c r="F17" i="59"/>
  <c r="F20" s="1"/>
  <c r="H5" i="48"/>
  <c r="I10" i="14"/>
  <c r="I16" s="1"/>
  <c r="G5" i="48"/>
  <c r="H10" i="14"/>
  <c r="H16" s="1"/>
  <c r="M90"/>
  <c r="M17" i="59"/>
  <c r="M20" s="1"/>
  <c r="D76" i="14"/>
  <c r="D8" i="59" s="1"/>
  <c r="D10" s="1"/>
  <c r="I76" i="14"/>
  <c r="I8" i="59" s="1"/>
  <c r="I10" s="1"/>
  <c r="I10" i="18"/>
  <c r="Q87" i="14"/>
  <c r="D90"/>
  <c r="F78"/>
  <c r="J87"/>
  <c r="J20" i="18"/>
  <c r="J10"/>
  <c r="J76" i="14"/>
  <c r="I87"/>
  <c r="I17" i="59" s="1"/>
  <c r="I20" s="1"/>
  <c r="I20" i="18"/>
  <c r="B24" i="44"/>
  <c r="B23"/>
  <c r="J90" i="14" l="1"/>
  <c r="J17" i="59"/>
  <c r="J20" s="1"/>
  <c r="J78" i="14"/>
  <c r="J8" i="59"/>
  <c r="J10" s="1"/>
  <c r="Q90" i="14"/>
  <c r="B17" i="6" s="1"/>
  <c r="P17" i="59"/>
  <c r="P20" s="1"/>
  <c r="Q76" i="14"/>
  <c r="D78"/>
  <c r="B87"/>
  <c r="I90"/>
  <c r="C87"/>
  <c r="C76"/>
  <c r="B76"/>
  <c r="I78"/>
  <c r="A31" i="23"/>
  <c r="A32"/>
  <c r="A33"/>
  <c r="B90" i="14" l="1"/>
  <c r="B17" i="59"/>
  <c r="B20" s="1"/>
  <c r="B78" i="14"/>
  <c r="B4" i="6" s="1"/>
  <c r="B8" i="59"/>
  <c r="B10" s="1"/>
  <c r="Q78" i="14"/>
  <c r="B9" i="6" s="1"/>
  <c r="P8" i="59"/>
  <c r="P1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30"/>
  <c r="J24"/>
  <c r="P4"/>
  <c r="Q11" i="14"/>
  <c r="O4" i="48"/>
  <c r="P11" i="14"/>
  <c r="I27" i="48"/>
  <c r="I32"/>
  <c r="I31"/>
  <c r="I25"/>
  <c r="I29"/>
  <c r="I26"/>
  <c r="I22"/>
  <c r="I24"/>
  <c r="I28"/>
  <c r="I30"/>
  <c r="D4"/>
  <c r="D22" s="1"/>
  <c r="E11" i="14"/>
  <c r="H32" i="48"/>
  <c r="H25"/>
  <c r="H29"/>
  <c r="H26"/>
  <c r="H28"/>
  <c r="H24"/>
  <c r="H22"/>
  <c r="H30"/>
  <c r="H23"/>
  <c r="C4"/>
  <c r="D11" i="14"/>
  <c r="G32" i="48"/>
  <c r="G25"/>
  <c r="G29"/>
  <c r="G26"/>
  <c r="G30"/>
  <c r="G24"/>
  <c r="G22"/>
  <c r="G23"/>
  <c r="B4"/>
  <c r="C11" i="14"/>
  <c r="F32" i="48"/>
  <c r="F28"/>
  <c r="F27"/>
  <c r="F31"/>
  <c r="F30"/>
  <c r="F29"/>
  <c r="F24"/>
  <c r="N32"/>
  <c r="N28"/>
  <c r="N27"/>
  <c r="N30"/>
  <c r="N29"/>
  <c r="N24"/>
  <c r="N31"/>
  <c r="B10"/>
  <c r="C19" i="14"/>
  <c r="E28" i="48"/>
  <c r="E32"/>
  <c r="E30"/>
  <c r="E24"/>
  <c r="E31"/>
  <c r="E29"/>
  <c r="M32"/>
  <c r="M22"/>
  <c r="M25"/>
  <c r="M24"/>
  <c r="M29"/>
  <c r="M26"/>
  <c r="M30"/>
  <c r="M23"/>
  <c r="L10" i="14"/>
  <c r="L16" s="1"/>
  <c r="L27" s="1"/>
  <c r="K5" i="48"/>
  <c r="D28"/>
  <c r="D32"/>
  <c r="D30"/>
  <c r="D29"/>
  <c r="D24"/>
  <c r="D31"/>
  <c r="L28"/>
  <c r="L27"/>
  <c r="L32"/>
  <c r="L24"/>
  <c r="L31"/>
  <c r="L29"/>
  <c r="L22"/>
  <c r="L30"/>
  <c r="P5"/>
  <c r="P23" s="1"/>
  <c r="Q10" i="14"/>
  <c r="K28" i="48"/>
  <c r="K27"/>
  <c r="K32"/>
  <c r="K31"/>
  <c r="K25"/>
  <c r="K30"/>
  <c r="K24"/>
  <c r="K26"/>
  <c r="K29"/>
  <c r="K22"/>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M27"/>
  <c r="M33" s="1"/>
  <c r="M15"/>
  <c r="E22"/>
  <c r="Q4"/>
  <c r="H27"/>
  <c r="H33" s="1"/>
  <c r="H15"/>
  <c r="J22"/>
  <c r="E5"/>
  <c r="E23" s="1"/>
  <c r="F10" i="14"/>
  <c r="J5" i="48"/>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E26" s="1"/>
  <c r="E33" s="1"/>
  <c r="F13" i="14"/>
  <c r="G27" i="48"/>
  <c r="G33" s="1"/>
  <c r="G15"/>
  <c r="Q9"/>
  <c r="H63" i="14"/>
  <c r="F16"/>
  <c r="F27" s="1"/>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<sst xmlns="http://schemas.openxmlformats.org/spreadsheetml/2006/main" count="2401" uniqueCount="896">
  <si>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</si>
  <si>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</si>
  <si>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</si>
  <si>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</si>
  <si>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</si>
  <si>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</si>
  <si>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</si>
  <si>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</si>
  <si>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</si>
  <si>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</si>
  <si>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</si>
  <si>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</si>
  <si>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</si>
  <si>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</si>
  <si>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</si>
  <si>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</si>
  <si>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</si>
  <si>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</si>
  <si>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</si>
  <si>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</si>
  <si>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</si>
  <si>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</si>
  <si>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</si>
  <si>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</si>
  <si>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</si>
  <si>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</si>
  <si>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</si>
  <si>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</si>
  <si>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</si>
  <si>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</si>
  <si>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</si>
  <si>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</si>
  <si>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</si>
  <si>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</si>
  <si>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</si>
  <si>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</si>
  <si>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</si>
  <si>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</si>
  <si>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</si>
  <si>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</si>
  <si>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</si>
  <si>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</si>
  <si>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</si>
  <si>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</si>
  <si>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</si>
  <si>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</si>
  <si>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</si>
  <si>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</si>
  <si>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</si>
  <si>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</si>
  <si>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</si>
  <si>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</si>
  <si>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</si>
  <si>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</si>
  <si>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</si>
  <si>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</si>
  <si>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</si>
  <si>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</si>
  <si>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</si>
  <si>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</si>
  <si>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</si>
  <si>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</si>
  <si>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</si>
  <si>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</si>
  <si>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</si>
  <si>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</si>
  <si>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</si>
  <si>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</si>
  <si>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</si>
  <si>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</si>
  <si>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</si>
  <si>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</si>
  <si>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</si>
  <si>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</si>
  <si>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</si>
  <si>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</si>
  <si>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</si>
  <si>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</si>
  <si>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</si>
  <si>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</si>
  <si>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</si>
  <si>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</si>
  <si>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</si>
  <si>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</si>
  <si>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</si>
  <si>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</si>
  <si>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</si>
  <si>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</si>
  <si>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</si>
  <si>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</si>
  <si>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</si>
  <si>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</si>
  <si>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</si>
  <si>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</si>
  <si>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</si>
  <si>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</si>
  <si>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</si>
  <si>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</si>
  <si>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</si>
  <si>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</si>
  <si>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</si>
  <si>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</si>
  <si>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</si>
  <si>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</si>
  <si>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</si>
  <si>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</si>
  <si>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</si>
  <si>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</si>
  <si>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</si>
  <si>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</si>
  <si>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</si>
  <si>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</si>
  <si>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</si>
  <si>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</si>
  <si>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</si>
  <si>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</si>
  <si>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</si>
  <si>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</si>
  <si>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</si>
  <si>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</si>
  <si>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</si>
  <si>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</si>
  <si>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</si>
  <si>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</si>
  <si>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</si>
  <si>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</si>
  <si>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</si>
  <si>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</si>
  <si>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</si>
  <si>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</si>
  <si>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</si>
  <si>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</si>
  <si>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</si>
  <si>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</si>
  <si>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</si>
  <si>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</si>
  <si>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</si>
  <si>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</si>
  <si>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</si>
  <si>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</si>
  <si>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</si>
  <si>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</si>
  <si>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</si>
  <si>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</si>
  <si>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</si>
  <si>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</si>
  <si>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</si>
  <si>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</si>
  <si>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</si>
  <si>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</si>
  <si>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</si>
  <si>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</si>
  <si>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</si>
  <si>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</si>
  <si>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</si>
  <si>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</si>
  <si>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</si>
  <si>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</si>
  <si>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</si>
  <si>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</si>
  <si>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</si>
  <si>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</si>
  <si>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</si>
  <si>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</si>
  <si>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</si>
  <si>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</si>
  <si>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</si>
  <si>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</si>
  <si>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</si>
  <si>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</si>
  <si>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</si>
  <si>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</si>
  <si>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</si>
  <si>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</si>
  <si>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</si>
  <si>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</si>
  <si>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</si>
  <si>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</si>
  <si>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</si>
  <si>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</si>
  <si>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</si>
  <si>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</si>
  <si>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</si>
  <si>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</si>
  <si>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</si>
  <si>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</si>
  <si>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</si>
  <si>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</si>
  <si>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</si>
  <si>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</si>
  <si>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</si>
  <si>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</si>
  <si>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</si>
  <si>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</si>
  <si>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</si>
  <si>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</si>
  <si>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</si>
  <si>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</si>
  <si>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</si>
  <si>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</si>
  <si>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</si>
  <si>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</si>
  <si>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</si>
  <si>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</si>
  <si>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</si>
  <si>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</si>
  <si>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</si>
  <si>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</si>
  <si>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</si>
  <si>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</si>
  <si>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</si>
  <si>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</si>
  <si>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</si>
  <si>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</si>
  <si>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</si>
  <si>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</si>
  <si>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</si>
  <si>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</si>
  <si>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</si>
  <si>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</si>
  <si>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</si>
  <si>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</si>
  <si>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</si>
  <si>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</si>
  <si>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</si>
  <si>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</si>
  <si>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</si>
  <si>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</si>
  <si>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</si>
  <si>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</si>
  <si>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</si>
  <si>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</si>
  <si>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</si>
  <si>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</si>
  <si>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</si>
  <si>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</si>
  <si>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</si>
  <si>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</si>
  <si>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</si>
  <si>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</si>
  <si>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</si>
  <si>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</si>
  <si>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</si>
  <si>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</si>
  <si>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</si>
  <si>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</si>
  <si>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</si>
  <si>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</si>
  <si>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</si>
  <si>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</si>
  <si>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</si>
  <si>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</si>
  <si>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</si>
  <si>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</si>
  <si>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</si>
  <si>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</si>
  <si>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</si>
  <si>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</si>
  <si>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</si>
  <si>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</si>
  <si>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</si>
  <si>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</si>
  <si>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</si>
  <si>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</si>
  <si>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</si>
  <si>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</si>
  <si>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</si>
  <si>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</si>
  <si>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</si>
  <si>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</si>
  <si>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</si>
  <si>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</si>
  <si>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</si>
  <si>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</si>
  <si>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</si>
  <si>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</si>
  <si>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</si>
  <si>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</si>
  <si>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</si>
  <si>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</si>
  <si>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</si>
  <si>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</si>
  <si>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</si>
  <si>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</si>
  <si>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</si>
  <si>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</si>
  <si>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</si>
  <si>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</si>
  <si>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</si>
  <si>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</si>
  <si>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</si>
  <si>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</si>
  <si>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</si>
  <si>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</si>
  <si>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</si>
  <si>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</si>
  <si>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</si>
  <si>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</si>
  <si>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</si>
  <si>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</si>
  <si>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</si>
  <si>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</si>
  <si>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</si>
  <si>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</si>
  <si>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</si>
  <si>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</si>
  <si>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</si>
  <si>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</si>
  <si>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</si>
  <si>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</si>
  <si>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</si>
  <si>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</si>
  <si>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</si>
  <si>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</si>
  <si>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</si>
  <si>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</si>
  <si>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</si>
  <si>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</si>
  <si>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</si>
  <si>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</si>
  <si>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</si>
  <si>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</si>
  <si>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</si>
  <si>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</si>
  <si>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</si>
  <si>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</si>
  <si>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</si>
  <si>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</si>
  <si>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</si>
  <si>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</si>
  <si>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</si>
  <si>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</si>
  <si>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</si>
  <si>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</si>
  <si>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</si>
  <si>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</si>
  <si>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</si>
  <si>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</si>
  <si>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</si>
  <si>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</si>
  <si>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</si>
  <si>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</si>
  <si>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</si>
  <si>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</si>
  <si>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</si>
  <si>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</si>
  <si>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</si>
  <si>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</si>
  <si>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</si>
  <si>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</si>
  <si>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</si>
  <si>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</si>
  <si>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</si>
  <si>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</si>
  <si>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</si>
  <si>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</si>
  <si>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</si>
  <si>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</si>
  <si>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</si>
  <si>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</si>
  <si>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</si>
  <si>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</si>
  <si>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</si>
  <si>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</si>
  <si>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</si>
  <si>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</si>
  <si>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</si>
  <si>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</si>
  <si>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</si>
  <si>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</si>
  <si>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</si>
  <si>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</si>
  <si>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</si>
  <si>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</si>
  <si>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</si>
  <si>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</si>
  <si>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</si>
  <si>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</si>
  <si>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</si>
  <si>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</si>
  <si>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</si>
  <si>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</si>
  <si>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</si>
  <si>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</si>
  <si>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</si>
  <si>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</si>
  <si>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</si>
  <si>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</si>
  <si>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</si>
  <si>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</si>
  <si>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</si>
  <si>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</si>
  <si>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</si>
  <si>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</si>
  <si>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</si>
  <si>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</si>
  <si>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</si>
  <si>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</si>
  <si>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</si>
  <si>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</si>
  <si>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</si>
  <si>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</si>
  <si>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</si>
  <si>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</si>
  <si>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</si>
  <si>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</si>
  <si>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</si>
  <si>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</si>
  <si>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</si>
  <si>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</si>
  <si>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</si>
  <si>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</si>
  <si>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</si>
  <si>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</si>
  <si>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</si>
  <si>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</si>
  <si>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</si>
  <si>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</si>
  <si>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</si>
  <si>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</si>
  <si>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</si>
  <si>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</si>
  <si>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</si>
  <si>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</si>
  <si>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</si>
  <si>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</si>
  <si>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</si>
  <si>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</si>
  <si>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</si>
  <si>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</si>
  <si>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</si>
  <si>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</si>
  <si>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</si>
  <si>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</si>
  <si>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</si>
  <si>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</si>
  <si>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</si>
  <si>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</si>
  <si>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</si>
  <si>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</si>
  <si>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</si>
  <si>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</si>
  <si>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</si>
  <si>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</si>
  <si>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</si>
  <si>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</si>
  <si>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</si>
  <si>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</si>
  <si>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</si>
  <si>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</si>
  <si>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</si>
  <si>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</si>
  <si>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</si>
  <si>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</si>
  <si>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</si>
  <si>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</si>
  <si>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</si>
  <si>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</si>
  <si>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</si>
  <si>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</si>
  <si>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</si>
  <si>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</si>
  <si>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</si>
  <si>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</si>
  <si>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</si>
  <si>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</si>
  <si>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</si>
  <si>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</si>
  <si>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</si>
  <si>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</si>
  <si>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</si>
  <si>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</si>
  <si>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</si>
  <si>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</si>
  <si>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</si>
  <si>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</si>
  <si>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</si>
  <si>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</si>
  <si>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</si>
  <si>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</si>
  <si>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</si>
  <si>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</si>
  <si>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</si>
  <si>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</si>
  <si>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</si>
  <si>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</si>
  <si>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</si>
  <si>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</si>
  <si>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</si>
  <si>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</si>
  <si>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</si>
  <si>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</si>
  <si>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</si>
  <si>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</si>
  <si>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</si>
  <si>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</si>
  <si>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</si>
  <si>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</si>
  <si>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</si>
  <si>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</si>
  <si>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</si>
  <si>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</si>
  <si>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</si>
  <si>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</si>
  <si>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</si>
  <si>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</si>
  <si>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</si>
  <si>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</si>
  <si>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</si>
  <si>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</si>
  <si>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</si>
  <si>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</si>
  <si>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</si>
  <si>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</si>
  <si>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</si>
  <si>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</si>
  <si>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</si>
  <si>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</si>
  <si>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</si>
  <si>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</si>
  <si>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</si>
  <si>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</si>
  <si>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</si>
  <si>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</si>
  <si>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</si>
  <si>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</si>
  <si>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</si>
  <si>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</si>
  <si>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</si>
  <si>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</si>
  <si>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</si>
  <si>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</si>
  <si>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</si>
  <si>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</si>
  <si>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</si>
  <si>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</si>
  <si>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</si>
  <si>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</si>
  <si>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</si>
  <si>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</si>
  <si>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</si>
  <si>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</si>
  <si>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</si>
  <si>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</si>
  <si>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</si>
  <si>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</si>
  <si>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</si>
  <si>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</si>
  <si>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</si>
  <si>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</si>
  <si>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</si>
  <si>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</si>
  <si>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</si>
  <si>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</si>
  <si>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</si>
  <si>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</si>
  <si>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</si>
  <si>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</si>
  <si>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</si>
  <si>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</si>
  <si>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</si>
  <si>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</si>
  <si>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</si>
  <si>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</si>
  <si>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</si>
  <si>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</si>
  <si>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</si>
  <si>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</si>
  <si>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</si>
  <si>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</si>
  <si>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</si>
  <si>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</si>
  <si>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</si>
  <si>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</si>
  <si>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</si>
  <si>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</si>
  <si>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</si>
  <si>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</si>
  <si>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</si>
  <si>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</si>
  <si>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</si>
  <si>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</si>
  <si>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</si>
  <si>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</si>
  <si>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</si>
  <si>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</si>
  <si>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</si>
  <si>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</si>
  <si>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</si>
  <si>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</si>
  <si>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</si>
  <si>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</si>
  <si>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</si>
  <si>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</si>
  <si>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</si>
  <si>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</si>
  <si>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</si>
  <si>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</si>
  <si>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</si>
  <si>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</si>
  <si>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</si>
  <si>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</si>
  <si>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</si>
  <si>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</si>
  <si>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</si>
  <si>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</si>
  <si>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</si>
  <si>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</si>
  <si>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</si>
  <si>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</si>
  <si>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</si>
  <si>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</si>
  <si>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</si>
  <si>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</si>
  <si>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</si>
  <si>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</si>
  <si>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</si>
  <si>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</si>
  <si>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</si>
  <si>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</si>
  <si>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</si>
  <si>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</si>
  <si>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</si>
  <si>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</si>
  <si>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</si>
  <si>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</si>
  <si>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</si>
  <si>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</si>
  <si>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</si>
  <si>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</si>
  <si>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</si>
  <si>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</si>
  <si>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</si>
  <si>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</si>
  <si>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</si>
  <si>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</si>
  <si>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</si>
  <si>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</si>
  <si>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</si>
  <si>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</si>
  <si>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</si>
  <si>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</si>
  <si>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</si>
  <si>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</si>
  <si>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</si>
  <si>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</si>
  <si>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</si>
  <si>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</si>
  <si>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</si>
  <si>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</si>
  <si>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</si>
  <si>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</si>
  <si>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</si>
  <si>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</si>
  <si>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</si>
  <si>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</si>
  <si>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</si>
  <si>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</si>
  <si>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</si>
  <si>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</si>
  <si>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</si>
  <si>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</si>
  <si>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</si>
  <si>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</si>
  <si>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</si>
  <si>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</si>
  <si>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</si>
  <si>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</si>
  <si>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</si>
  <si>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</si>
  <si>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</si>
  <si>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</si>
  <si>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</si>
  <si>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</si>
  <si>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</si>
  <si>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</si>
  <si>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</si>
  <si>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</si>
  <si>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</si>
  <si>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</si>
  <si>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</si>
  <si>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</si>
  <si>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</si>
  <si>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</si>
  <si>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</si>
  <si>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</si>
  <si>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</si>
  <si>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</si>
  <si>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</si>
  <si>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</si>
  <si>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</si>
  <si>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</si>
  <si>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</si>
  <si>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</si>
  <si>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</si>
  <si>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</si>
  <si>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</si>
  <si>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</si>
  <si>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</si>
  <si>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</si>
  <si>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</si>
  <si>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</si>
  <si>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</si>
  <si>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</si>
  <si>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</si>
  <si>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</si>
  <si>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</si>
  <si>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</si>
  <si>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</si>
  <si>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</si>
  <si>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</si>
  <si>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</si>
  <si>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</si>
  <si>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</si>
  <si>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</si>
  <si>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</si>
  <si>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</si>
  <si>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</si>
  <si>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</si>
  <si>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</si>
  <si>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</si>
  <si>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</si>
  <si>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</si>
  <si>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</si>
  <si>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</si>
  <si>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</si>
  <si>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</si>
  <si>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</si>
  <si>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</si>
  <si>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</si>
  <si>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</si>
  <si>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</si>
  <si>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</si>
  <si>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</si>
  <si>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</si>
  <si>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</si>
  <si>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</si>
  <si>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</si>
  <si>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</si>
  <si>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</si>
  <si>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</si>
  <si>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</si>
  <si>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</si>
  <si>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</si>
  <si>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</si>
  <si>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</si>
  <si>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</si>
  <si>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</si>
  <si>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</si>
  <si>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</si>
  <si>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</si>
  <si>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</si>
  <si>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</si>
  <si>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</si>
  <si>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</si>
  <si>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</si>
  <si>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</si>
  <si>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</si>
  <si>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</si>
  <si>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</si>
  <si>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</si>
  <si>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</si>
  <si>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</si>
  <si>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</si>
  <si>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</si>
  <si>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</si>
  <si>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</si>
  <si>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</si>
  <si>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</si>
  <si>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</si>
  <si>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</si>
  <si>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</si>
  <si>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</si>
  <si>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</si>
  <si>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</si>
  <si>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</si>
  <si>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</si>
  <si>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</si>
  <si>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</si>
  <si>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</si>
  <si>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</si>
  <si>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</si>
  <si>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</si>
  <si>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</si>
  <si>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</si>
  <si>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</si>
  <si>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</si>
  <si>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</si>
  <si>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</si>
  <si>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</si>
  <si>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</si>
  <si>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</si>
  <si>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</si>
  <si>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</si>
  <si>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</si>
  <si>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</si>
  <si>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</si>
  <si>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</si>
  <si>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</si>
  <si>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</si>
  <si>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</si>
  <si>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</si>
  <si>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</si>
  <si>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</si>
  <si>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</si>
  <si>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</si>
  <si>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</si>
  <si>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</si>
  <si>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</si>
  <si>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</si>
  <si>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</si>
  <si>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</si>
  <si>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</si>
  <si>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</si>
  <si>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</si>
  <si>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</si>
  <si>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</si>
  <si>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</si>
  <si>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</si>
  <si>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</si>
  <si>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</si>
  <si>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</si>
  <si>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</si>
  <si>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</si>
  <si>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</si>
  <si>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</si>
  <si>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</si>
  <si>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</si>
  <si>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</si>
  <si>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</si>
  <si>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</si>
  <si>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</si>
  <si>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</si>
  <si>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</si>
  <si>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</si>
  <si>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</si>
  <si>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</si>
  <si>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</si>
  <si>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</si>
  <si>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</si>
  <si>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</si>
  <si>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</si>
  <si>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</si>
  <si>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</si>
  <si>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</si>
  <si>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</si>
  <si>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</si>
  <si>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</si>
  <si>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</si>
  <si>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</si>
  <si>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</si>
  <si>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</si>
  <si>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</si>
  <si>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</si>
  <si>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</si>
  <si>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</si>
  <si>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</si>
  <si>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</si>
  <si>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</si>
  <si>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</si>
  <si>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</si>
  <si>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</si>
  <si>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</si>
  <si>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</si>
  <si>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</si>
  <si>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</si>
  <si>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</si>
  <si>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</si>
  <si>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</si>
  <si>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</si>
  <si>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</si>
  <si>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</si>
  <si>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</si>
  <si>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</si>
  <si>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</si>
  <si>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</si>
  <si>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</si>
  <si>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</si>
  <si>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</si>
  <si>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</si>
  <si>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</si>
  <si>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</si>
  <si>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35006</t>
  </si>
  <si>
    <t>ICHTEGEM</t>
  </si>
  <si>
    <t>Paarden&amp;pony's 200 - 600 kg</t>
  </si>
  <si>
    <t>Paarden&amp;pony's &lt; 200 kg</t>
  </si>
  <si>
    <t>referentietaak LNE (2017); Jaarverslag De Lijn (2015)</t>
  </si>
  <si>
    <t>op basis van VEA (maart 2018) en Inventaris Hernieuwbare Energiebronnen (juni 2018)</t>
  </si>
  <si>
    <t>VEA (januari 2017)</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</si>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</sst>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118599.02677673241</c:v>
                </c:pt>
                <c:pt idx="1">
                  <c:v>27039.753502277417</c:v>
                </c:pt>
                <c:pt idx="2">
                  <c:v>907.56299999999999</c:v>
                </c:pt>
                <c:pt idx="3">
                  <c:v>49447.003469661424</c:v>
                </c:pt>
                <c:pt idx="4">
                  <c:v>102632.86901982439</c:v>
                </c:pt>
                <c:pt idx="5">
                  <c:v>48501.300506430816</c:v>
                </c:pt>
                <c:pt idx="6">
                  <c:v>1162.4862520534712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118599.02677673241</c:v>
                </c:pt>
                <c:pt idx="1">
                  <c:v>27039.753502277417</c:v>
                </c:pt>
                <c:pt idx="2">
                  <c:v>907.56299999999999</c:v>
                </c:pt>
                <c:pt idx="3">
                  <c:v>49447.003469661424</c:v>
                </c:pt>
                <c:pt idx="4">
                  <c:v>102632.86901982439</c:v>
                </c:pt>
                <c:pt idx="5">
                  <c:v>48501.300506430816</c:v>
                </c:pt>
                <c:pt idx="6">
                  <c:v>1162.4862520534712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20961.478854899491</c:v>
                </c:pt>
                <c:pt idx="2">
                  <c:v>5399.2673773058395</c:v>
                </c:pt>
                <c:pt idx="3">
                  <c:v>185.59404261745792</c:v>
                </c:pt>
                <c:pt idx="4">
                  <c:v>12032.940830713742</c:v>
                </c:pt>
                <c:pt idx="5">
                  <c:v>20526.820617857316</c:v>
                </c:pt>
                <c:pt idx="6">
                  <c:v>12398.176660872645</c:v>
                </c:pt>
                <c:pt idx="7">
                  <c:v>301.04605419207866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89600"/>
        <c:axId val="184148736"/>
      </c:barChart>
      <c:catAx>
        <c:axId val="184089600"/>
        <c:scaling>
          <c:orientation val="minMax"/>
        </c:scaling>
        <c:axPos val="b"/>
        <c:numFmt formatCode="General" sourceLinked="0"/>
        <c:tickLblPos val="nextTo"/>
        <c:crossAx val="184148736"/>
        <c:crosses val="autoZero"/>
        <c:auto val="1"/>
        <c:lblAlgn val="ctr"/>
        <c:lblOffset val="100"/>
      </c:catAx>
      <c:valAx>
        <c:axId val="184148736"/>
        <c:scaling>
          <c:orientation val="minMax"/>
        </c:scaling>
        <c:axPos val="l"/>
        <c:majorGridlines/>
        <c:numFmt formatCode="#,##0" sourceLinked="1"/>
        <c:tickLblPos val="nextTo"/>
        <c:crossAx val="184089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20961.478854899491</c:v>
                </c:pt>
                <c:pt idx="2">
                  <c:v>5399.2673773058395</c:v>
                </c:pt>
                <c:pt idx="3">
                  <c:v>185.59404261745792</c:v>
                </c:pt>
                <c:pt idx="4">
                  <c:v>12032.940830713742</c:v>
                </c:pt>
                <c:pt idx="5">
                  <c:v>20526.820617857316</c:v>
                </c:pt>
                <c:pt idx="6">
                  <c:v>12398.176660872645</c:v>
                </c:pt>
                <c:pt idx="7">
                  <c:v>301.04605419207866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35006</v>
      </c>
      <c r="B6" s="415"/>
      <c r="C6" s="416"/>
    </row>
    <row r="7" spans="1:7" s="413" customFormat="1" ht="15.75" customHeight="1">
      <c r="A7" s="417" t="str">
        <f>txtMunicipality</f>
        <v>ICHTEGEM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10771.205991752</v>
      </c>
      <c r="D10" s="1012">
        <f ca="1">tertiair!C16</f>
        <v>0</v>
      </c>
      <c r="E10" s="1012">
        <f ca="1">tertiair!D16</f>
        <v>13273.794322882721</v>
      </c>
      <c r="F10" s="1012">
        <f>tertiair!E16</f>
        <v>217.9468321585685</v>
      </c>
      <c r="G10" s="1012">
        <f ca="1">tertiair!F16</f>
        <v>2439.7009729984247</v>
      </c>
      <c r="H10" s="1012">
        <f>tertiair!G16</f>
        <v>0</v>
      </c>
      <c r="I10" s="1012">
        <f>tertiair!H16</f>
        <v>0</v>
      </c>
      <c r="J10" s="1012">
        <f>tertiair!I16</f>
        <v>0</v>
      </c>
      <c r="K10" s="1012">
        <f>tertiair!J16</f>
        <v>0</v>
      </c>
      <c r="L10" s="1012">
        <f>tertiair!K16</f>
        <v>0</v>
      </c>
      <c r="M10" s="1012">
        <f ca="1">tertiair!L16</f>
        <v>0</v>
      </c>
      <c r="N10" s="1012">
        <f>tertiair!M16</f>
        <v>0</v>
      </c>
      <c r="O10" s="1012">
        <f ca="1">tertiair!N16</f>
        <v>1201.8450491523686</v>
      </c>
      <c r="P10" s="1012">
        <f>tertiair!O16</f>
        <v>4.6900000000000004</v>
      </c>
      <c r="Q10" s="1013">
        <f>tertiair!P16</f>
        <v>38.133333333333333</v>
      </c>
      <c r="R10" s="700">
        <f ca="1">SUM(C10:Q10)</f>
        <v>27947.316502277419</v>
      </c>
      <c r="S10" s="67"/>
    </row>
    <row r="11" spans="1:19" s="473" customFormat="1">
      <c r="A11" s="809" t="s">
        <v>225</v>
      </c>
      <c r="B11" s="814"/>
      <c r="C11" s="1012">
        <f>huishoudens!B8</f>
        <v>23625.167890449182</v>
      </c>
      <c r="D11" s="1012">
        <f>huishoudens!C8</f>
        <v>0</v>
      </c>
      <c r="E11" s="1012">
        <f>huishoudens!D8</f>
        <v>51478.206113826251</v>
      </c>
      <c r="F11" s="1012">
        <f>huishoudens!E8</f>
        <v>7439.1358725721375</v>
      </c>
      <c r="G11" s="1012">
        <f>huishoudens!F8</f>
        <v>12207.590300327818</v>
      </c>
      <c r="H11" s="1012">
        <f>huishoudens!G8</f>
        <v>0</v>
      </c>
      <c r="I11" s="1012">
        <f>huishoudens!H8</f>
        <v>0</v>
      </c>
      <c r="J11" s="1012">
        <f>huishoudens!I8</f>
        <v>0</v>
      </c>
      <c r="K11" s="1012">
        <f>huishoudens!J8</f>
        <v>2213.2524786459353</v>
      </c>
      <c r="L11" s="1012">
        <f>huishoudens!K8</f>
        <v>0</v>
      </c>
      <c r="M11" s="1012">
        <f>huishoudens!L8</f>
        <v>0</v>
      </c>
      <c r="N11" s="1012">
        <f>huishoudens!M8</f>
        <v>0</v>
      </c>
      <c r="O11" s="1012">
        <f>huishoudens!N8</f>
        <v>20990.444120911085</v>
      </c>
      <c r="P11" s="1012">
        <f>huishoudens!O8</f>
        <v>282.96333333333337</v>
      </c>
      <c r="Q11" s="1013">
        <f>huishoudens!P8</f>
        <v>362.26666666666665</v>
      </c>
      <c r="R11" s="700">
        <f>SUM(C11:Q11)</f>
        <v>118599.02677673241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9656.807013013</v>
      </c>
      <c r="D13" s="1012">
        <f>industrie!C18</f>
        <v>0</v>
      </c>
      <c r="E13" s="1012">
        <f>industrie!D18</f>
        <v>86580.388498436805</v>
      </c>
      <c r="F13" s="1012">
        <f>industrie!E18</f>
        <v>828.86684258445007</v>
      </c>
      <c r="G13" s="1012">
        <f>industrie!F18</f>
        <v>3202.0654197711183</v>
      </c>
      <c r="H13" s="1012">
        <f>industrie!G18</f>
        <v>0</v>
      </c>
      <c r="I13" s="1012">
        <f>industrie!H18</f>
        <v>0</v>
      </c>
      <c r="J13" s="1012">
        <f>industrie!I18</f>
        <v>0</v>
      </c>
      <c r="K13" s="1012">
        <f>industrie!J18</f>
        <v>55.61704694290583</v>
      </c>
      <c r="L13" s="1012">
        <f>industrie!K18</f>
        <v>0</v>
      </c>
      <c r="M13" s="1012">
        <f>industrie!L18</f>
        <v>0</v>
      </c>
      <c r="N13" s="1012">
        <f>industrie!M18</f>
        <v>0</v>
      </c>
      <c r="O13" s="1012">
        <f>industrie!N18</f>
        <v>2309.1241990761168</v>
      </c>
      <c r="P13" s="1012">
        <f>industrie!O18</f>
        <v>0</v>
      </c>
      <c r="Q13" s="1013">
        <f>industrie!P18</f>
        <v>0</v>
      </c>
      <c r="R13" s="700">
        <f>SUM(C13:Q13)</f>
        <v>102632.86901982439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44053.18089521418</v>
      </c>
      <c r="D16" s="732">
        <f t="shared" ref="D16:R16" ca="1" si="0">SUM(D9:D15)</f>
        <v>0</v>
      </c>
      <c r="E16" s="732">
        <f t="shared" ca="1" si="0"/>
        <v>151332.38893514578</v>
      </c>
      <c r="F16" s="732">
        <f t="shared" si="0"/>
        <v>8485.9495473151565</v>
      </c>
      <c r="G16" s="732">
        <f t="shared" ca="1" si="0"/>
        <v>17849.356693097361</v>
      </c>
      <c r="H16" s="732">
        <f t="shared" si="0"/>
        <v>0</v>
      </c>
      <c r="I16" s="732">
        <f t="shared" si="0"/>
        <v>0</v>
      </c>
      <c r="J16" s="732">
        <f t="shared" si="0"/>
        <v>0</v>
      </c>
      <c r="K16" s="732">
        <f t="shared" si="0"/>
        <v>2268.869525588841</v>
      </c>
      <c r="L16" s="732">
        <f t="shared" si="0"/>
        <v>0</v>
      </c>
      <c r="M16" s="732">
        <f t="shared" ca="1" si="0"/>
        <v>0</v>
      </c>
      <c r="N16" s="732">
        <f t="shared" si="0"/>
        <v>0</v>
      </c>
      <c r="O16" s="732">
        <f t="shared" ca="1" si="0"/>
        <v>24501.413369139569</v>
      </c>
      <c r="P16" s="732">
        <f t="shared" si="0"/>
        <v>287.65333333333336</v>
      </c>
      <c r="Q16" s="732">
        <f t="shared" si="0"/>
        <v>400.4</v>
      </c>
      <c r="R16" s="732">
        <f t="shared" ca="1" si="0"/>
        <v>249179.21229883423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1127.5133115808189</v>
      </c>
      <c r="I19" s="1012">
        <f>transport!H54</f>
        <v>0</v>
      </c>
      <c r="J19" s="1012">
        <f>transport!I54</f>
        <v>0</v>
      </c>
      <c r="K19" s="1012">
        <f>transport!J54</f>
        <v>0</v>
      </c>
      <c r="L19" s="1012">
        <f>transport!K54</f>
        <v>0</v>
      </c>
      <c r="M19" s="1012">
        <f>transport!L54</f>
        <v>0</v>
      </c>
      <c r="N19" s="1012">
        <f>transport!M54</f>
        <v>34.972940472652198</v>
      </c>
      <c r="O19" s="1012">
        <f>transport!N54</f>
        <v>0</v>
      </c>
      <c r="P19" s="1012">
        <f>transport!O54</f>
        <v>0</v>
      </c>
      <c r="Q19" s="1013">
        <f>transport!P54</f>
        <v>0</v>
      </c>
      <c r="R19" s="700">
        <f>SUM(C19:Q19)</f>
        <v>1162.4862520534712</v>
      </c>
      <c r="S19" s="67"/>
    </row>
    <row r="20" spans="1:19" s="473" customFormat="1">
      <c r="A20" s="809" t="s">
        <v>307</v>
      </c>
      <c r="B20" s="814"/>
      <c r="C20" s="1012">
        <f>transport!B14</f>
        <v>12.8145215146167</v>
      </c>
      <c r="D20" s="1012">
        <f>transport!C14</f>
        <v>0</v>
      </c>
      <c r="E20" s="1012">
        <f>transport!D14</f>
        <v>31.866799409260761</v>
      </c>
      <c r="F20" s="1012">
        <f>transport!E14</f>
        <v>121.05409421406063</v>
      </c>
      <c r="G20" s="1012">
        <f>transport!F14</f>
        <v>0</v>
      </c>
      <c r="H20" s="1012">
        <f>transport!G14</f>
        <v>38362.218364805536</v>
      </c>
      <c r="I20" s="1012">
        <f>transport!H14</f>
        <v>8509.7488013456259</v>
      </c>
      <c r="J20" s="1012">
        <f>transport!I14</f>
        <v>0</v>
      </c>
      <c r="K20" s="1012">
        <f>transport!J14</f>
        <v>0</v>
      </c>
      <c r="L20" s="1012">
        <f>transport!K14</f>
        <v>0</v>
      </c>
      <c r="M20" s="1012">
        <f>transport!L14</f>
        <v>0</v>
      </c>
      <c r="N20" s="1012">
        <f>transport!M14</f>
        <v>1463.5979251417143</v>
      </c>
      <c r="O20" s="1012">
        <f>transport!N14</f>
        <v>0</v>
      </c>
      <c r="P20" s="1012">
        <f>transport!O14</f>
        <v>0</v>
      </c>
      <c r="Q20" s="1013">
        <f>transport!P14</f>
        <v>0</v>
      </c>
      <c r="R20" s="700">
        <f>SUM(C20:Q20)</f>
        <v>48501.300506430816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12.8145215146167</v>
      </c>
      <c r="D22" s="812">
        <f t="shared" ref="D22:R22" si="1">SUM(D18:D21)</f>
        <v>0</v>
      </c>
      <c r="E22" s="812">
        <f t="shared" si="1"/>
        <v>31.866799409260761</v>
      </c>
      <c r="F22" s="812">
        <f t="shared" si="1"/>
        <v>121.05409421406063</v>
      </c>
      <c r="G22" s="812">
        <f t="shared" si="1"/>
        <v>0</v>
      </c>
      <c r="H22" s="812">
        <f t="shared" si="1"/>
        <v>39489.731676386356</v>
      </c>
      <c r="I22" s="812">
        <f t="shared" si="1"/>
        <v>8509.7488013456259</v>
      </c>
      <c r="J22" s="812">
        <f t="shared" si="1"/>
        <v>0</v>
      </c>
      <c r="K22" s="812">
        <f t="shared" si="1"/>
        <v>0</v>
      </c>
      <c r="L22" s="812">
        <f t="shared" si="1"/>
        <v>0</v>
      </c>
      <c r="M22" s="812">
        <f t="shared" si="1"/>
        <v>0</v>
      </c>
      <c r="N22" s="812">
        <f t="shared" si="1"/>
        <v>1498.5708656143665</v>
      </c>
      <c r="O22" s="812">
        <f t="shared" si="1"/>
        <v>0</v>
      </c>
      <c r="P22" s="812">
        <f t="shared" si="1"/>
        <v>0</v>
      </c>
      <c r="Q22" s="812">
        <f t="shared" si="1"/>
        <v>0</v>
      </c>
      <c r="R22" s="812">
        <f t="shared" si="1"/>
        <v>49663.78675848429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3112.0750673400003</v>
      </c>
      <c r="D24" s="1012">
        <f>+landbouw!C8</f>
        <v>34431.428571428572</v>
      </c>
      <c r="E24" s="1012">
        <f>+landbouw!D8</f>
        <v>0</v>
      </c>
      <c r="F24" s="1012">
        <f>+landbouw!E8</f>
        <v>80.248466999919216</v>
      </c>
      <c r="G24" s="1012">
        <f>+landbouw!F8</f>
        <v>11375.227037034261</v>
      </c>
      <c r="H24" s="1012">
        <f>+landbouw!G8</f>
        <v>0</v>
      </c>
      <c r="I24" s="1012">
        <f>+landbouw!H8</f>
        <v>0</v>
      </c>
      <c r="J24" s="1012">
        <f>+landbouw!I8</f>
        <v>0</v>
      </c>
      <c r="K24" s="1012">
        <f>+landbouw!J8</f>
        <v>448.02432685866893</v>
      </c>
      <c r="L24" s="1012">
        <f>+landbouw!K8</f>
        <v>0</v>
      </c>
      <c r="M24" s="1012">
        <f>+landbouw!L8</f>
        <v>0</v>
      </c>
      <c r="N24" s="1012">
        <f>+landbouw!M8</f>
        <v>0</v>
      </c>
      <c r="O24" s="1012">
        <f>+landbouw!N8</f>
        <v>0</v>
      </c>
      <c r="P24" s="1012">
        <f>+landbouw!O8</f>
        <v>0</v>
      </c>
      <c r="Q24" s="1013">
        <f>+landbouw!P8</f>
        <v>0</v>
      </c>
      <c r="R24" s="700">
        <f>SUM(C24:Q24)</f>
        <v>49447.003469661424</v>
      </c>
      <c r="S24" s="67"/>
    </row>
    <row r="25" spans="1:19" s="473" customFormat="1" ht="15" thickBot="1">
      <c r="A25" s="831" t="s">
        <v>848</v>
      </c>
      <c r="B25" s="1015"/>
      <c r="C25" s="1016">
        <f>IF(Onbekend_ele_kWh="---",0,Onbekend_ele_kWh)/1000+IF(REST_rest_ele_kWh="---",0,REST_rest_ele_kWh)/1000</f>
        <v>595.76319272000001</v>
      </c>
      <c r="D25" s="1016"/>
      <c r="E25" s="1016">
        <f>IF(onbekend_gas_kWh="---",0,onbekend_gas_kWh)/1000+IF(REST_rest_gas_kWh="---",0,REST_rest_gas_kWh)/1000</f>
        <v>1726.0148282</v>
      </c>
      <c r="F25" s="1016"/>
      <c r="G25" s="1016"/>
      <c r="H25" s="1016"/>
      <c r="I25" s="1016"/>
      <c r="J25" s="1016"/>
      <c r="K25" s="1016"/>
      <c r="L25" s="1016"/>
      <c r="M25" s="1016"/>
      <c r="N25" s="1016"/>
      <c r="O25" s="1016"/>
      <c r="P25" s="1016"/>
      <c r="Q25" s="1017"/>
      <c r="R25" s="700">
        <f>SUM(C25:Q25)</f>
        <v>2321.77802092</v>
      </c>
      <c r="S25" s="67"/>
    </row>
    <row r="26" spans="1:19" s="473" customFormat="1" ht="15.75" thickBot="1">
      <c r="A26" s="705" t="s">
        <v>849</v>
      </c>
      <c r="B26" s="817"/>
      <c r="C26" s="812">
        <f>SUM(C24:C25)</f>
        <v>3707.8382600600003</v>
      </c>
      <c r="D26" s="812">
        <f t="shared" ref="D26:R26" si="2">SUM(D24:D25)</f>
        <v>34431.428571428572</v>
      </c>
      <c r="E26" s="812">
        <f t="shared" si="2"/>
        <v>1726.0148282</v>
      </c>
      <c r="F26" s="812">
        <f t="shared" si="2"/>
        <v>80.248466999919216</v>
      </c>
      <c r="G26" s="812">
        <f t="shared" si="2"/>
        <v>11375.227037034261</v>
      </c>
      <c r="H26" s="812">
        <f t="shared" si="2"/>
        <v>0</v>
      </c>
      <c r="I26" s="812">
        <f t="shared" si="2"/>
        <v>0</v>
      </c>
      <c r="J26" s="812">
        <f t="shared" si="2"/>
        <v>0</v>
      </c>
      <c r="K26" s="812">
        <f t="shared" si="2"/>
        <v>448.02432685866893</v>
      </c>
      <c r="L26" s="812">
        <f t="shared" si="2"/>
        <v>0</v>
      </c>
      <c r="M26" s="812">
        <f t="shared" si="2"/>
        <v>0</v>
      </c>
      <c r="N26" s="812">
        <f t="shared" si="2"/>
        <v>0</v>
      </c>
      <c r="O26" s="812">
        <f t="shared" si="2"/>
        <v>0</v>
      </c>
      <c r="P26" s="812">
        <f t="shared" si="2"/>
        <v>0</v>
      </c>
      <c r="Q26" s="812">
        <f t="shared" si="2"/>
        <v>0</v>
      </c>
      <c r="R26" s="812">
        <f t="shared" si="2"/>
        <v>51768.781490581423</v>
      </c>
      <c r="S26" s="67"/>
    </row>
    <row r="27" spans="1:19" s="473" customFormat="1" ht="17.25" thickTop="1" thickBot="1">
      <c r="A27" s="706" t="s">
        <v>116</v>
      </c>
      <c r="B27" s="805"/>
      <c r="C27" s="707">
        <f ca="1">C22+C16+C26</f>
        <v>47773.833676788796</v>
      </c>
      <c r="D27" s="707">
        <f t="shared" ref="D27:R27" ca="1" si="3">D22+D16+D26</f>
        <v>34431.428571428572</v>
      </c>
      <c r="E27" s="707">
        <f t="shared" ca="1" si="3"/>
        <v>153090.27056275503</v>
      </c>
      <c r="F27" s="707">
        <f t="shared" si="3"/>
        <v>8687.2521085291373</v>
      </c>
      <c r="G27" s="707">
        <f t="shared" ca="1" si="3"/>
        <v>29224.583730131621</v>
      </c>
      <c r="H27" s="707">
        <f t="shared" si="3"/>
        <v>39489.731676386356</v>
      </c>
      <c r="I27" s="707">
        <f t="shared" si="3"/>
        <v>8509.7488013456259</v>
      </c>
      <c r="J27" s="707">
        <f t="shared" si="3"/>
        <v>0</v>
      </c>
      <c r="K27" s="707">
        <f t="shared" si="3"/>
        <v>2716.8938524475097</v>
      </c>
      <c r="L27" s="707">
        <f t="shared" si="3"/>
        <v>0</v>
      </c>
      <c r="M27" s="707">
        <f t="shared" ca="1" si="3"/>
        <v>0</v>
      </c>
      <c r="N27" s="707">
        <f t="shared" si="3"/>
        <v>1498.5708656143665</v>
      </c>
      <c r="O27" s="707">
        <f t="shared" ca="1" si="3"/>
        <v>24501.413369139569</v>
      </c>
      <c r="P27" s="707">
        <f t="shared" si="3"/>
        <v>287.65333333333336</v>
      </c>
      <c r="Q27" s="707">
        <f t="shared" si="3"/>
        <v>400.4</v>
      </c>
      <c r="R27" s="707">
        <f t="shared" ca="1" si="3"/>
        <v>350611.78054789995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2202.6808760104132</v>
      </c>
      <c r="D40" s="1012">
        <f ca="1">tertiair!C20</f>
        <v>0</v>
      </c>
      <c r="E40" s="1012">
        <f ca="1">tertiair!D20</f>
        <v>2681.3064532223098</v>
      </c>
      <c r="F40" s="1012">
        <f>tertiair!E20</f>
        <v>49.473930899995054</v>
      </c>
      <c r="G40" s="1012">
        <f ca="1">tertiair!F20</f>
        <v>651.40015979057944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5584.8614199232979</v>
      </c>
    </row>
    <row r="41" spans="1:18">
      <c r="A41" s="822" t="s">
        <v>225</v>
      </c>
      <c r="B41" s="829"/>
      <c r="C41" s="1012">
        <f ca="1">huishoudens!B12</f>
        <v>4831.279389204522</v>
      </c>
      <c r="D41" s="1012">
        <f ca="1">huishoudens!C12</f>
        <v>0</v>
      </c>
      <c r="E41" s="1012">
        <f>huishoudens!D12</f>
        <v>10398.597634992904</v>
      </c>
      <c r="F41" s="1012">
        <f>huishoudens!E12</f>
        <v>1688.6838430738753</v>
      </c>
      <c r="G41" s="1012">
        <f>huishoudens!F12</f>
        <v>3259.4266101875278</v>
      </c>
      <c r="H41" s="1012">
        <f>huishoudens!G12</f>
        <v>0</v>
      </c>
      <c r="I41" s="1012">
        <f>huishoudens!H12</f>
        <v>0</v>
      </c>
      <c r="J41" s="1012">
        <f>huishoudens!I12</f>
        <v>0</v>
      </c>
      <c r="K41" s="1012">
        <f>huishoudens!J12</f>
        <v>783.49137744066104</v>
      </c>
      <c r="L41" s="1012">
        <f>huishoudens!K12</f>
        <v>0</v>
      </c>
      <c r="M41" s="1012">
        <f>huishoudens!L12</f>
        <v>0</v>
      </c>
      <c r="N41" s="1012">
        <f>huishoudens!M12</f>
        <v>0</v>
      </c>
      <c r="O41" s="1012">
        <f>huishoudens!N12</f>
        <v>0</v>
      </c>
      <c r="P41" s="1012">
        <f>huishoudens!O12</f>
        <v>0</v>
      </c>
      <c r="Q41" s="774">
        <f>huishoudens!P12</f>
        <v>0</v>
      </c>
      <c r="R41" s="850">
        <f t="shared" ca="1" si="4"/>
        <v>20961.478854899491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1974.7894662097301</v>
      </c>
      <c r="D43" s="1012">
        <f ca="1">industrie!C22</f>
        <v>0</v>
      </c>
      <c r="E43" s="1012">
        <f>industrie!D22</f>
        <v>17489.238476684237</v>
      </c>
      <c r="F43" s="1012">
        <f>industrie!E22</f>
        <v>188.15277326667018</v>
      </c>
      <c r="G43" s="1012">
        <f>industrie!F22</f>
        <v>854.95146707888864</v>
      </c>
      <c r="H43" s="1012">
        <f>industrie!G22</f>
        <v>0</v>
      </c>
      <c r="I43" s="1012">
        <f>industrie!H22</f>
        <v>0</v>
      </c>
      <c r="J43" s="1012">
        <f>industrie!I22</f>
        <v>0</v>
      </c>
      <c r="K43" s="1012">
        <f>industrie!J22</f>
        <v>19.688434617788662</v>
      </c>
      <c r="L43" s="1012">
        <f>industrie!K22</f>
        <v>0</v>
      </c>
      <c r="M43" s="1012">
        <f>industrie!L22</f>
        <v>0</v>
      </c>
      <c r="N43" s="1012">
        <f>industrie!M22</f>
        <v>0</v>
      </c>
      <c r="O43" s="1012">
        <f>industrie!N22</f>
        <v>0</v>
      </c>
      <c r="P43" s="1012">
        <f>industrie!O22</f>
        <v>0</v>
      </c>
      <c r="Q43" s="774">
        <f>industrie!P22</f>
        <v>0</v>
      </c>
      <c r="R43" s="849">
        <f t="shared" ca="1" si="4"/>
        <v>20526.820617857316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9008.7497314246648</v>
      </c>
      <c r="D46" s="732">
        <f t="shared" ref="D46:Q46" ca="1" si="5">SUM(D39:D45)</f>
        <v>0</v>
      </c>
      <c r="E46" s="732">
        <f t="shared" ca="1" si="5"/>
        <v>30569.142564899452</v>
      </c>
      <c r="F46" s="732">
        <f t="shared" si="5"/>
        <v>1926.3105472405407</v>
      </c>
      <c r="G46" s="732">
        <f t="shared" ca="1" si="5"/>
        <v>4765.7782370569957</v>
      </c>
      <c r="H46" s="732">
        <f t="shared" si="5"/>
        <v>0</v>
      </c>
      <c r="I46" s="732">
        <f t="shared" si="5"/>
        <v>0</v>
      </c>
      <c r="J46" s="732">
        <f t="shared" si="5"/>
        <v>0</v>
      </c>
      <c r="K46" s="732">
        <f t="shared" si="5"/>
        <v>803.17981205844967</v>
      </c>
      <c r="L46" s="732">
        <f t="shared" si="5"/>
        <v>0</v>
      </c>
      <c r="M46" s="732">
        <f t="shared" ca="1" si="5"/>
        <v>0</v>
      </c>
      <c r="N46" s="732">
        <f t="shared" si="5"/>
        <v>0</v>
      </c>
      <c r="O46" s="732">
        <f t="shared" ca="1" si="5"/>
        <v>0</v>
      </c>
      <c r="P46" s="732">
        <f t="shared" si="5"/>
        <v>0</v>
      </c>
      <c r="Q46" s="732">
        <f t="shared" si="5"/>
        <v>0</v>
      </c>
      <c r="R46" s="732">
        <f ca="1">SUM(R39:R45)</f>
        <v>47073.160892680105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301.04605419207866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301.04605419207866</v>
      </c>
    </row>
    <row r="50" spans="1:18">
      <c r="A50" s="825" t="s">
        <v>307</v>
      </c>
      <c r="B50" s="835"/>
      <c r="C50" s="703">
        <f ca="1">transport!B18</f>
        <v>2.6205330672428286</v>
      </c>
      <c r="D50" s="703">
        <f>transport!C18</f>
        <v>0</v>
      </c>
      <c r="E50" s="703">
        <f>transport!D18</f>
        <v>6.4370934806706739</v>
      </c>
      <c r="F50" s="703">
        <f>transport!E18</f>
        <v>27.479279386591763</v>
      </c>
      <c r="G50" s="703">
        <f>transport!F18</f>
        <v>0</v>
      </c>
      <c r="H50" s="703">
        <f>transport!G18</f>
        <v>10242.712303403079</v>
      </c>
      <c r="I50" s="703">
        <f>transport!H18</f>
        <v>2118.9274515350608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12398.176660872645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2.6205330672428286</v>
      </c>
      <c r="D52" s="732">
        <f t="shared" ref="D52:Q52" ca="1" si="6">SUM(D48:D51)</f>
        <v>0</v>
      </c>
      <c r="E52" s="732">
        <f t="shared" si="6"/>
        <v>6.4370934806706739</v>
      </c>
      <c r="F52" s="732">
        <f t="shared" si="6"/>
        <v>27.479279386591763</v>
      </c>
      <c r="G52" s="732">
        <f t="shared" si="6"/>
        <v>0</v>
      </c>
      <c r="H52" s="732">
        <f t="shared" si="6"/>
        <v>10543.758357595158</v>
      </c>
      <c r="I52" s="732">
        <f t="shared" si="6"/>
        <v>2118.9274515350608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12699.222715064723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636.41046701620519</v>
      </c>
      <c r="D54" s="703">
        <f ca="1">+landbouw!C12</f>
        <v>8182.5277310924375</v>
      </c>
      <c r="E54" s="703">
        <f>+landbouw!D12</f>
        <v>0</v>
      </c>
      <c r="F54" s="703">
        <f>+landbouw!E12</f>
        <v>18.216402008981664</v>
      </c>
      <c r="G54" s="703">
        <f>+landbouw!F12</f>
        <v>3037.1856188881479</v>
      </c>
      <c r="H54" s="703">
        <f>+landbouw!G12</f>
        <v>0</v>
      </c>
      <c r="I54" s="703">
        <f>+landbouw!H12</f>
        <v>0</v>
      </c>
      <c r="J54" s="703">
        <f>+landbouw!I12</f>
        <v>0</v>
      </c>
      <c r="K54" s="703">
        <f>+landbouw!J12</f>
        <v>158.6006117079688</v>
      </c>
      <c r="L54" s="703">
        <f>+landbouw!K12</f>
        <v>0</v>
      </c>
      <c r="M54" s="703">
        <f>+landbouw!L12</f>
        <v>0</v>
      </c>
      <c r="N54" s="703">
        <f>+landbouw!M12</f>
        <v>0</v>
      </c>
      <c r="O54" s="703">
        <f>+landbouw!N12</f>
        <v>0</v>
      </c>
      <c r="P54" s="703">
        <f>+landbouw!O12</f>
        <v>0</v>
      </c>
      <c r="Q54" s="704">
        <f>+landbouw!P12</f>
        <v>0</v>
      </c>
      <c r="R54" s="731">
        <f ca="1">SUM(C54:Q54)</f>
        <v>12032.940830713742</v>
      </c>
    </row>
    <row r="55" spans="1:18" ht="15" thickBot="1">
      <c r="A55" s="825" t="s">
        <v>848</v>
      </c>
      <c r="B55" s="835"/>
      <c r="C55" s="703">
        <f ca="1">C25*'EF ele_warmte'!B12</f>
        <v>121.83187214506152</v>
      </c>
      <c r="D55" s="703"/>
      <c r="E55" s="703">
        <f>E25*EF_CO2_aardgas</f>
        <v>348.65499529640005</v>
      </c>
      <c r="F55" s="703"/>
      <c r="G55" s="703"/>
      <c r="H55" s="703"/>
      <c r="I55" s="703"/>
      <c r="J55" s="703"/>
      <c r="K55" s="703"/>
      <c r="L55" s="703"/>
      <c r="M55" s="703"/>
      <c r="N55" s="703"/>
      <c r="O55" s="703"/>
      <c r="P55" s="703"/>
      <c r="Q55" s="704"/>
      <c r="R55" s="731">
        <f ca="1">SUM(C55:Q55)</f>
        <v>470.48686744146158</v>
      </c>
    </row>
    <row r="56" spans="1:18" ht="15.75" thickBot="1">
      <c r="A56" s="823" t="s">
        <v>849</v>
      </c>
      <c r="B56" s="836"/>
      <c r="C56" s="732">
        <f ca="1">SUM(C54:C55)</f>
        <v>758.24233916126673</v>
      </c>
      <c r="D56" s="732">
        <f t="shared" ref="D56:Q56" ca="1" si="7">SUM(D54:D55)</f>
        <v>8182.5277310924375</v>
      </c>
      <c r="E56" s="732">
        <f t="shared" si="7"/>
        <v>348.65499529640005</v>
      </c>
      <c r="F56" s="732">
        <f t="shared" si="7"/>
        <v>18.216402008981664</v>
      </c>
      <c r="G56" s="732">
        <f t="shared" si="7"/>
        <v>3037.1856188881479</v>
      </c>
      <c r="H56" s="732">
        <f t="shared" si="7"/>
        <v>0</v>
      </c>
      <c r="I56" s="732">
        <f t="shared" si="7"/>
        <v>0</v>
      </c>
      <c r="J56" s="732">
        <f t="shared" si="7"/>
        <v>0</v>
      </c>
      <c r="K56" s="732">
        <f t="shared" si="7"/>
        <v>158.6006117079688</v>
      </c>
      <c r="L56" s="732">
        <f t="shared" si="7"/>
        <v>0</v>
      </c>
      <c r="M56" s="732">
        <f t="shared" si="7"/>
        <v>0</v>
      </c>
      <c r="N56" s="732">
        <f t="shared" si="7"/>
        <v>0</v>
      </c>
      <c r="O56" s="732">
        <f t="shared" si="7"/>
        <v>0</v>
      </c>
      <c r="P56" s="732">
        <f t="shared" si="7"/>
        <v>0</v>
      </c>
      <c r="Q56" s="733">
        <f t="shared" si="7"/>
        <v>0</v>
      </c>
      <c r="R56" s="734">
        <f ca="1">SUM(R54:R55)</f>
        <v>12503.427698155203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9769.6126036531732</v>
      </c>
      <c r="D61" s="740">
        <f t="shared" ref="D61:Q61" ca="1" si="8">D46+D52+D56</f>
        <v>8182.5277310924375</v>
      </c>
      <c r="E61" s="740">
        <f t="shared" ca="1" si="8"/>
        <v>30924.234653676525</v>
      </c>
      <c r="F61" s="740">
        <f t="shared" si="8"/>
        <v>1972.0062286361142</v>
      </c>
      <c r="G61" s="740">
        <f t="shared" ca="1" si="8"/>
        <v>7802.9638559451432</v>
      </c>
      <c r="H61" s="740">
        <f t="shared" si="8"/>
        <v>10543.758357595158</v>
      </c>
      <c r="I61" s="740">
        <f t="shared" si="8"/>
        <v>2118.9274515350608</v>
      </c>
      <c r="J61" s="740">
        <f t="shared" si="8"/>
        <v>0</v>
      </c>
      <c r="K61" s="740">
        <f t="shared" si="8"/>
        <v>961.78042376641849</v>
      </c>
      <c r="L61" s="740">
        <f t="shared" si="8"/>
        <v>0</v>
      </c>
      <c r="M61" s="740">
        <f t="shared" ca="1" si="8"/>
        <v>0</v>
      </c>
      <c r="N61" s="740">
        <f t="shared" si="8"/>
        <v>0</v>
      </c>
      <c r="O61" s="740">
        <f t="shared" ca="1" si="8"/>
        <v>0</v>
      </c>
      <c r="P61" s="740">
        <f t="shared" si="8"/>
        <v>0</v>
      </c>
      <c r="Q61" s="740">
        <f t="shared" si="8"/>
        <v>0</v>
      </c>
      <c r="R61" s="740">
        <f ca="1">R46+R52+R56</f>
        <v>72275.811305900032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0.20449714523119375</v>
      </c>
      <c r="D63" s="781">
        <f t="shared" ca="1" si="9"/>
        <v>0.23764705882352943</v>
      </c>
      <c r="E63" s="1023">
        <f t="shared" ca="1" si="9"/>
        <v>0.20200000000000007</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5382.9504555740068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24102</v>
      </c>
      <c r="D76" s="1033">
        <f>'lokale energieproductie'!C8</f>
        <v>28355.294117647059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5727.7694117647061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5382.9504555740068</v>
      </c>
      <c r="C78" s="755">
        <f>SUM(C72:C77)</f>
        <v>24102</v>
      </c>
      <c r="D78" s="756">
        <f t="shared" ref="D78:H78" si="10">SUM(D76:D77)</f>
        <v>28355.294117647059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5727.7694117647061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34431.428571428572</v>
      </c>
      <c r="D87" s="777">
        <f>'lokale energieproductie'!C17</f>
        <v>40507.563025210089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8182.5277310924384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34431.428571428572</v>
      </c>
      <c r="D90" s="755">
        <f t="shared" ref="D90:H90" si="12">SUM(D87:D89)</f>
        <v>40507.563025210089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8182.5277310924384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23625.167890449182</v>
      </c>
      <c r="C4" s="477">
        <f>huishoudens!C8</f>
        <v>0</v>
      </c>
      <c r="D4" s="477">
        <f>huishoudens!D8</f>
        <v>51478.206113826251</v>
      </c>
      <c r="E4" s="477">
        <f>huishoudens!E8</f>
        <v>7439.1358725721375</v>
      </c>
      <c r="F4" s="477">
        <f>huishoudens!F8</f>
        <v>12207.590300327818</v>
      </c>
      <c r="G4" s="477">
        <f>huishoudens!G8</f>
        <v>0</v>
      </c>
      <c r="H4" s="477">
        <f>huishoudens!H8</f>
        <v>0</v>
      </c>
      <c r="I4" s="477">
        <f>huishoudens!I8</f>
        <v>0</v>
      </c>
      <c r="J4" s="477">
        <f>huishoudens!J8</f>
        <v>2213.2524786459353</v>
      </c>
      <c r="K4" s="477">
        <f>huishoudens!K8</f>
        <v>0</v>
      </c>
      <c r="L4" s="477">
        <f>huishoudens!L8</f>
        <v>0</v>
      </c>
      <c r="M4" s="477">
        <f>huishoudens!M8</f>
        <v>0</v>
      </c>
      <c r="N4" s="477">
        <f>huishoudens!N8</f>
        <v>20990.444120911085</v>
      </c>
      <c r="O4" s="477">
        <f>huishoudens!O8</f>
        <v>282.96333333333337</v>
      </c>
      <c r="P4" s="478">
        <f>huishoudens!P8</f>
        <v>362.26666666666665</v>
      </c>
      <c r="Q4" s="479">
        <f>SUM(B4:P4)</f>
        <v>118599.02677673241</v>
      </c>
    </row>
    <row r="5" spans="1:17">
      <c r="A5" s="476" t="s">
        <v>156</v>
      </c>
      <c r="B5" s="477">
        <f ca="1">tertiair!B16</f>
        <v>9863.6429917519999</v>
      </c>
      <c r="C5" s="477">
        <f ca="1">tertiair!C16</f>
        <v>0</v>
      </c>
      <c r="D5" s="477">
        <f ca="1">tertiair!D16</f>
        <v>13273.794322882721</v>
      </c>
      <c r="E5" s="477">
        <f>tertiair!E16</f>
        <v>217.9468321585685</v>
      </c>
      <c r="F5" s="477">
        <f ca="1">tertiair!F16</f>
        <v>2439.7009729984247</v>
      </c>
      <c r="G5" s="477">
        <f>tertiair!G16</f>
        <v>0</v>
      </c>
      <c r="H5" s="477">
        <f>tertiair!H16</f>
        <v>0</v>
      </c>
      <c r="I5" s="477">
        <f>tertiair!I16</f>
        <v>0</v>
      </c>
      <c r="J5" s="477">
        <f>tertiair!J16</f>
        <v>0</v>
      </c>
      <c r="K5" s="477">
        <f>tertiair!K16</f>
        <v>0</v>
      </c>
      <c r="L5" s="477">
        <f ca="1">tertiair!L16</f>
        <v>0</v>
      </c>
      <c r="M5" s="477">
        <f>tertiair!M16</f>
        <v>0</v>
      </c>
      <c r="N5" s="477">
        <f ca="1">tertiair!N16</f>
        <v>1201.8450491523686</v>
      </c>
      <c r="O5" s="477">
        <f>tertiair!O16</f>
        <v>4.6900000000000004</v>
      </c>
      <c r="P5" s="478">
        <f>tertiair!P16</f>
        <v>38.133333333333333</v>
      </c>
      <c r="Q5" s="476">
        <f t="shared" ref="Q5:Q14" ca="1" si="0">SUM(B5:P5)</f>
        <v>27039.753502277417</v>
      </c>
    </row>
    <row r="6" spans="1:17">
      <c r="A6" s="476" t="s">
        <v>194</v>
      </c>
      <c r="B6" s="477">
        <f>'openbare verlichting'!B8</f>
        <v>907.56299999999999</v>
      </c>
      <c r="C6" s="477"/>
      <c r="D6" s="477"/>
      <c r="E6" s="477"/>
      <c r="F6" s="477"/>
      <c r="G6" s="477"/>
      <c r="H6" s="477"/>
      <c r="I6" s="477"/>
      <c r="J6" s="477"/>
      <c r="K6" s="477"/>
      <c r="L6" s="477"/>
      <c r="M6" s="477"/>
      <c r="N6" s="477"/>
      <c r="O6" s="477"/>
      <c r="P6" s="478"/>
      <c r="Q6" s="476">
        <f t="shared" si="0"/>
        <v>907.56299999999999</v>
      </c>
    </row>
    <row r="7" spans="1:17">
      <c r="A7" s="476" t="s">
        <v>112</v>
      </c>
      <c r="B7" s="477">
        <f>landbouw!B8</f>
        <v>3112.0750673400003</v>
      </c>
      <c r="C7" s="477">
        <f>landbouw!C8</f>
        <v>34431.428571428572</v>
      </c>
      <c r="D7" s="477">
        <f>landbouw!D8</f>
        <v>0</v>
      </c>
      <c r="E7" s="477">
        <f>landbouw!E8</f>
        <v>80.248466999919216</v>
      </c>
      <c r="F7" s="477">
        <f>landbouw!F8</f>
        <v>11375.227037034261</v>
      </c>
      <c r="G7" s="477">
        <f>landbouw!G8</f>
        <v>0</v>
      </c>
      <c r="H7" s="477">
        <f>landbouw!H8</f>
        <v>0</v>
      </c>
      <c r="I7" s="477">
        <f>landbouw!I8</f>
        <v>0</v>
      </c>
      <c r="J7" s="477">
        <f>landbouw!J8</f>
        <v>448.02432685866893</v>
      </c>
      <c r="K7" s="477">
        <f>landbouw!K8</f>
        <v>0</v>
      </c>
      <c r="L7" s="477">
        <f>landbouw!L8</f>
        <v>0</v>
      </c>
      <c r="M7" s="477">
        <f>landbouw!M8</f>
        <v>0</v>
      </c>
      <c r="N7" s="477">
        <f>landbouw!N8</f>
        <v>0</v>
      </c>
      <c r="O7" s="477">
        <f>landbouw!O8</f>
        <v>0</v>
      </c>
      <c r="P7" s="478">
        <f>landbouw!P8</f>
        <v>0</v>
      </c>
      <c r="Q7" s="476">
        <f t="shared" si="0"/>
        <v>49447.003469661424</v>
      </c>
    </row>
    <row r="8" spans="1:17">
      <c r="A8" s="476" t="s">
        <v>638</v>
      </c>
      <c r="B8" s="477">
        <f>industrie!B18</f>
        <v>9656.807013013</v>
      </c>
      <c r="C8" s="477">
        <f>industrie!C18</f>
        <v>0</v>
      </c>
      <c r="D8" s="477">
        <f>industrie!D18</f>
        <v>86580.388498436805</v>
      </c>
      <c r="E8" s="477">
        <f>industrie!E18</f>
        <v>828.86684258445007</v>
      </c>
      <c r="F8" s="477">
        <f>industrie!F18</f>
        <v>3202.0654197711183</v>
      </c>
      <c r="G8" s="477">
        <f>industrie!G18</f>
        <v>0</v>
      </c>
      <c r="H8" s="477">
        <f>industrie!H18</f>
        <v>0</v>
      </c>
      <c r="I8" s="477">
        <f>industrie!I18</f>
        <v>0</v>
      </c>
      <c r="J8" s="477">
        <f>industrie!J18</f>
        <v>55.61704694290583</v>
      </c>
      <c r="K8" s="477">
        <f>industrie!K18</f>
        <v>0</v>
      </c>
      <c r="L8" s="477">
        <f>industrie!L18</f>
        <v>0</v>
      </c>
      <c r="M8" s="477">
        <f>industrie!M18</f>
        <v>0</v>
      </c>
      <c r="N8" s="477">
        <f>industrie!N18</f>
        <v>2309.1241990761168</v>
      </c>
      <c r="O8" s="477">
        <f>industrie!O18</f>
        <v>0</v>
      </c>
      <c r="P8" s="478">
        <f>industrie!P18</f>
        <v>0</v>
      </c>
      <c r="Q8" s="476">
        <f t="shared" si="0"/>
        <v>102632.86901982439</v>
      </c>
    </row>
    <row r="9" spans="1:17" s="482" customFormat="1">
      <c r="A9" s="480" t="s">
        <v>564</v>
      </c>
      <c r="B9" s="481">
        <f>transport!B14</f>
        <v>12.8145215146167</v>
      </c>
      <c r="C9" s="481">
        <f>transport!C14</f>
        <v>0</v>
      </c>
      <c r="D9" s="481">
        <f>transport!D14</f>
        <v>31.866799409260761</v>
      </c>
      <c r="E9" s="481">
        <f>transport!E14</f>
        <v>121.05409421406063</v>
      </c>
      <c r="F9" s="481">
        <f>transport!F14</f>
        <v>0</v>
      </c>
      <c r="G9" s="481">
        <f>transport!G14</f>
        <v>38362.218364805536</v>
      </c>
      <c r="H9" s="481">
        <f>transport!H14</f>
        <v>8509.7488013456259</v>
      </c>
      <c r="I9" s="481">
        <f>transport!I14</f>
        <v>0</v>
      </c>
      <c r="J9" s="481">
        <f>transport!J14</f>
        <v>0</v>
      </c>
      <c r="K9" s="481">
        <f>transport!K14</f>
        <v>0</v>
      </c>
      <c r="L9" s="481">
        <f>transport!L14</f>
        <v>0</v>
      </c>
      <c r="M9" s="481">
        <f>transport!M14</f>
        <v>1463.5979251417143</v>
      </c>
      <c r="N9" s="481">
        <f>transport!N14</f>
        <v>0</v>
      </c>
      <c r="O9" s="481">
        <f>transport!O14</f>
        <v>0</v>
      </c>
      <c r="P9" s="481">
        <f>transport!P14</f>
        <v>0</v>
      </c>
      <c r="Q9" s="480">
        <f>SUM(B9:P9)</f>
        <v>48501.300506430816</v>
      </c>
    </row>
    <row r="10" spans="1:17">
      <c r="A10" s="476" t="s">
        <v>554</v>
      </c>
      <c r="B10" s="477">
        <f>transport!B54</f>
        <v>0</v>
      </c>
      <c r="C10" s="477">
        <f>transport!C54</f>
        <v>0</v>
      </c>
      <c r="D10" s="477">
        <f>transport!D54</f>
        <v>0</v>
      </c>
      <c r="E10" s="477">
        <f>transport!E54</f>
        <v>0</v>
      </c>
      <c r="F10" s="477">
        <f>transport!F54</f>
        <v>0</v>
      </c>
      <c r="G10" s="477">
        <f>transport!G54</f>
        <v>1127.5133115808189</v>
      </c>
      <c r="H10" s="477">
        <f>transport!H54</f>
        <v>0</v>
      </c>
      <c r="I10" s="477">
        <f>transport!I54</f>
        <v>0</v>
      </c>
      <c r="J10" s="477">
        <f>transport!J54</f>
        <v>0</v>
      </c>
      <c r="K10" s="477">
        <f>transport!K54</f>
        <v>0</v>
      </c>
      <c r="L10" s="477">
        <f>transport!L54</f>
        <v>0</v>
      </c>
      <c r="M10" s="477">
        <f>transport!M54</f>
        <v>34.972940472652198</v>
      </c>
      <c r="N10" s="477">
        <f>transport!N54</f>
        <v>0</v>
      </c>
      <c r="O10" s="477">
        <f>transport!O54</f>
        <v>0</v>
      </c>
      <c r="P10" s="478">
        <f>transport!P54</f>
        <v>0</v>
      </c>
      <c r="Q10" s="476">
        <f t="shared" si="0"/>
        <v>1162.4862520534712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595.76319272000001</v>
      </c>
      <c r="C14" s="484"/>
      <c r="D14" s="484">
        <f>'SEAP template'!E25</f>
        <v>1726.0148282</v>
      </c>
      <c r="E14" s="484"/>
      <c r="F14" s="484"/>
      <c r="G14" s="484"/>
      <c r="H14" s="484"/>
      <c r="I14" s="484"/>
      <c r="J14" s="484"/>
      <c r="K14" s="484"/>
      <c r="L14" s="484"/>
      <c r="M14" s="484"/>
      <c r="N14" s="484"/>
      <c r="O14" s="484"/>
      <c r="P14" s="485"/>
      <c r="Q14" s="476">
        <f t="shared" si="0"/>
        <v>2321.77802092</v>
      </c>
    </row>
    <row r="15" spans="1:17" s="486" customFormat="1">
      <c r="A15" s="1038" t="s">
        <v>558</v>
      </c>
      <c r="B15" s="978">
        <f ca="1">SUM(B4:B14)</f>
        <v>47773.833676788803</v>
      </c>
      <c r="C15" s="978">
        <f t="shared" ref="C15:Q15" ca="1" si="1">SUM(C4:C14)</f>
        <v>34431.428571428572</v>
      </c>
      <c r="D15" s="978">
        <f t="shared" ca="1" si="1"/>
        <v>153090.27056275503</v>
      </c>
      <c r="E15" s="978">
        <f t="shared" si="1"/>
        <v>8687.2521085291373</v>
      </c>
      <c r="F15" s="978">
        <f t="shared" ca="1" si="1"/>
        <v>29224.583730131621</v>
      </c>
      <c r="G15" s="978">
        <f t="shared" si="1"/>
        <v>39489.731676386356</v>
      </c>
      <c r="H15" s="978">
        <f t="shared" si="1"/>
        <v>8509.7488013456259</v>
      </c>
      <c r="I15" s="978">
        <f t="shared" si="1"/>
        <v>0</v>
      </c>
      <c r="J15" s="978">
        <f t="shared" si="1"/>
        <v>2716.8938524475102</v>
      </c>
      <c r="K15" s="978">
        <f t="shared" si="1"/>
        <v>0</v>
      </c>
      <c r="L15" s="978">
        <f t="shared" ca="1" si="1"/>
        <v>0</v>
      </c>
      <c r="M15" s="978">
        <f t="shared" si="1"/>
        <v>1498.5708656143665</v>
      </c>
      <c r="N15" s="978">
        <f t="shared" ca="1" si="1"/>
        <v>24501.413369139569</v>
      </c>
      <c r="O15" s="978">
        <f t="shared" si="1"/>
        <v>287.65333333333336</v>
      </c>
      <c r="P15" s="978">
        <f t="shared" si="1"/>
        <v>400.4</v>
      </c>
      <c r="Q15" s="978">
        <f t="shared" ca="1" si="1"/>
        <v>350611.78054789989</v>
      </c>
    </row>
    <row r="17" spans="1:17">
      <c r="A17" s="487" t="s">
        <v>559</v>
      </c>
      <c r="B17" s="786">
        <f ca="1">huishoudens!B10</f>
        <v>0.20449714523119378</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4831.279389204522</v>
      </c>
      <c r="C22" s="477">
        <f t="shared" ref="C22:C32" ca="1" si="3">C4*$C$17</f>
        <v>0</v>
      </c>
      <c r="D22" s="477">
        <f t="shared" ref="D22:D32" si="4">D4*$D$17</f>
        <v>10398.597634992904</v>
      </c>
      <c r="E22" s="477">
        <f t="shared" ref="E22:E32" si="5">E4*$E$17</f>
        <v>1688.6838430738753</v>
      </c>
      <c r="F22" s="477">
        <f t="shared" ref="F22:F32" si="6">F4*$F$17</f>
        <v>3259.4266101875278</v>
      </c>
      <c r="G22" s="477">
        <f t="shared" ref="G22:G32" si="7">G4*$G$17</f>
        <v>0</v>
      </c>
      <c r="H22" s="477">
        <f t="shared" ref="H22:H32" si="8">H4*$H$17</f>
        <v>0</v>
      </c>
      <c r="I22" s="477">
        <f t="shared" ref="I22:I32" si="9">I4*$I$17</f>
        <v>0</v>
      </c>
      <c r="J22" s="477">
        <f t="shared" ref="J22:J32" si="10">J4*$J$17</f>
        <v>783.49137744066104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20961.478854899491</v>
      </c>
    </row>
    <row r="23" spans="1:17">
      <c r="A23" s="476" t="s">
        <v>156</v>
      </c>
      <c r="B23" s="477">
        <f t="shared" ca="1" si="2"/>
        <v>2017.0868333929554</v>
      </c>
      <c r="C23" s="477">
        <f t="shared" ca="1" si="3"/>
        <v>0</v>
      </c>
      <c r="D23" s="477">
        <f t="shared" ca="1" si="4"/>
        <v>2681.3064532223098</v>
      </c>
      <c r="E23" s="477">
        <f t="shared" si="5"/>
        <v>49.473930899995054</v>
      </c>
      <c r="F23" s="477">
        <f t="shared" ca="1" si="6"/>
        <v>651.40015979057944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5399.2673773058395</v>
      </c>
    </row>
    <row r="24" spans="1:17">
      <c r="A24" s="476" t="s">
        <v>194</v>
      </c>
      <c r="B24" s="477">
        <f t="shared" ca="1" si="2"/>
        <v>185.59404261745792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185.59404261745792</v>
      </c>
    </row>
    <row r="25" spans="1:17">
      <c r="A25" s="476" t="s">
        <v>112</v>
      </c>
      <c r="B25" s="477">
        <f t="shared" ca="1" si="2"/>
        <v>636.41046701620519</v>
      </c>
      <c r="C25" s="477">
        <f t="shared" ca="1" si="3"/>
        <v>8182.5277310924375</v>
      </c>
      <c r="D25" s="477">
        <f t="shared" si="4"/>
        <v>0</v>
      </c>
      <c r="E25" s="477">
        <f t="shared" si="5"/>
        <v>18.216402008981664</v>
      </c>
      <c r="F25" s="477">
        <f t="shared" si="6"/>
        <v>3037.1856188881479</v>
      </c>
      <c r="G25" s="477">
        <f t="shared" si="7"/>
        <v>0</v>
      </c>
      <c r="H25" s="477">
        <f t="shared" si="8"/>
        <v>0</v>
      </c>
      <c r="I25" s="477">
        <f t="shared" si="9"/>
        <v>0</v>
      </c>
      <c r="J25" s="477">
        <f t="shared" si="10"/>
        <v>158.6006117079688</v>
      </c>
      <c r="K25" s="477">
        <f t="shared" si="11"/>
        <v>0</v>
      </c>
      <c r="L25" s="477">
        <f t="shared" si="12"/>
        <v>0</v>
      </c>
      <c r="M25" s="477">
        <f t="shared" si="13"/>
        <v>0</v>
      </c>
      <c r="N25" s="477">
        <f t="shared" si="14"/>
        <v>0</v>
      </c>
      <c r="O25" s="477">
        <f t="shared" si="15"/>
        <v>0</v>
      </c>
      <c r="P25" s="478">
        <f t="shared" si="16"/>
        <v>0</v>
      </c>
      <c r="Q25" s="476">
        <f t="shared" ca="1" si="17"/>
        <v>12032.940830713742</v>
      </c>
    </row>
    <row r="26" spans="1:17">
      <c r="A26" s="476" t="s">
        <v>638</v>
      </c>
      <c r="B26" s="477">
        <f t="shared" ca="1" si="2"/>
        <v>1974.7894662097301</v>
      </c>
      <c r="C26" s="477">
        <f t="shared" ca="1" si="3"/>
        <v>0</v>
      </c>
      <c r="D26" s="477">
        <f t="shared" si="4"/>
        <v>17489.238476684237</v>
      </c>
      <c r="E26" s="477">
        <f t="shared" si="5"/>
        <v>188.15277326667018</v>
      </c>
      <c r="F26" s="477">
        <f t="shared" si="6"/>
        <v>854.95146707888864</v>
      </c>
      <c r="G26" s="477">
        <f t="shared" si="7"/>
        <v>0</v>
      </c>
      <c r="H26" s="477">
        <f t="shared" si="8"/>
        <v>0</v>
      </c>
      <c r="I26" s="477">
        <f t="shared" si="9"/>
        <v>0</v>
      </c>
      <c r="J26" s="477">
        <f t="shared" si="10"/>
        <v>19.688434617788662</v>
      </c>
      <c r="K26" s="477">
        <f t="shared" si="11"/>
        <v>0</v>
      </c>
      <c r="L26" s="477">
        <f t="shared" si="12"/>
        <v>0</v>
      </c>
      <c r="M26" s="477">
        <f t="shared" si="13"/>
        <v>0</v>
      </c>
      <c r="N26" s="477">
        <f t="shared" si="14"/>
        <v>0</v>
      </c>
      <c r="O26" s="477">
        <f t="shared" si="15"/>
        <v>0</v>
      </c>
      <c r="P26" s="478">
        <f t="shared" si="16"/>
        <v>0</v>
      </c>
      <c r="Q26" s="476">
        <f t="shared" ca="1" si="17"/>
        <v>20526.820617857316</v>
      </c>
    </row>
    <row r="27" spans="1:17" s="482" customFormat="1">
      <c r="A27" s="480" t="s">
        <v>564</v>
      </c>
      <c r="B27" s="780">
        <f t="shared" ca="1" si="2"/>
        <v>2.6205330672428286</v>
      </c>
      <c r="C27" s="481">
        <f t="shared" ca="1" si="3"/>
        <v>0</v>
      </c>
      <c r="D27" s="481">
        <f t="shared" si="4"/>
        <v>6.4370934806706739</v>
      </c>
      <c r="E27" s="481">
        <f t="shared" si="5"/>
        <v>27.479279386591763</v>
      </c>
      <c r="F27" s="481">
        <f t="shared" si="6"/>
        <v>0</v>
      </c>
      <c r="G27" s="481">
        <f t="shared" si="7"/>
        <v>10242.712303403079</v>
      </c>
      <c r="H27" s="481">
        <f t="shared" si="8"/>
        <v>2118.9274515350608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12398.176660872645</v>
      </c>
    </row>
    <row r="28" spans="1:17">
      <c r="A28" s="476" t="s">
        <v>554</v>
      </c>
      <c r="B28" s="477">
        <f t="shared" ca="1" si="2"/>
        <v>0</v>
      </c>
      <c r="C28" s="477">
        <f t="shared" ca="1" si="3"/>
        <v>0</v>
      </c>
      <c r="D28" s="477">
        <f t="shared" si="4"/>
        <v>0</v>
      </c>
      <c r="E28" s="477">
        <f t="shared" si="5"/>
        <v>0</v>
      </c>
      <c r="F28" s="477">
        <f t="shared" si="6"/>
        <v>0</v>
      </c>
      <c r="G28" s="477">
        <f t="shared" si="7"/>
        <v>301.04605419207866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301.04605419207866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121.83187214506152</v>
      </c>
      <c r="C32" s="477">
        <f t="shared" ca="1" si="3"/>
        <v>0</v>
      </c>
      <c r="D32" s="477">
        <f t="shared" si="4"/>
        <v>348.65499529640005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470.48686744146158</v>
      </c>
    </row>
    <row r="33" spans="1:17" s="486" customFormat="1">
      <c r="A33" s="1038" t="s">
        <v>558</v>
      </c>
      <c r="B33" s="978">
        <f ca="1">SUM(B22:B32)</f>
        <v>9769.6126036531732</v>
      </c>
      <c r="C33" s="978">
        <f t="shared" ref="C33:Q33" ca="1" si="18">SUM(C22:C32)</f>
        <v>8182.5277310924375</v>
      </c>
      <c r="D33" s="978">
        <f t="shared" ca="1" si="18"/>
        <v>30924.234653676525</v>
      </c>
      <c r="E33" s="978">
        <f t="shared" si="18"/>
        <v>1972.0062286361142</v>
      </c>
      <c r="F33" s="978">
        <f t="shared" ca="1" si="18"/>
        <v>7802.9638559451432</v>
      </c>
      <c r="G33" s="978">
        <f t="shared" si="18"/>
        <v>10543.758357595158</v>
      </c>
      <c r="H33" s="978">
        <f t="shared" si="18"/>
        <v>2118.9274515350608</v>
      </c>
      <c r="I33" s="978">
        <f t="shared" si="18"/>
        <v>0</v>
      </c>
      <c r="J33" s="978">
        <f t="shared" si="18"/>
        <v>961.78042376641849</v>
      </c>
      <c r="K33" s="978">
        <f t="shared" si="18"/>
        <v>0</v>
      </c>
      <c r="L33" s="978">
        <f t="shared" ca="1" si="18"/>
        <v>0</v>
      </c>
      <c r="M33" s="978">
        <f t="shared" si="18"/>
        <v>0</v>
      </c>
      <c r="N33" s="978">
        <f t="shared" ca="1" si="18"/>
        <v>0</v>
      </c>
      <c r="O33" s="978">
        <f t="shared" si="18"/>
        <v>0</v>
      </c>
      <c r="P33" s="978">
        <f t="shared" si="18"/>
        <v>0</v>
      </c>
      <c r="Q33" s="978">
        <f t="shared" ca="1" si="18"/>
        <v>72275.811305900032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5382.9504555740068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24102</v>
      </c>
      <c r="D8" s="1055">
        <f>'SEAP template'!D76</f>
        <v>28355.294117647059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5727.7694117647061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5382.9504555740068</v>
      </c>
      <c r="C10" s="1059">
        <f>SUM(C4:C9)</f>
        <v>24102</v>
      </c>
      <c r="D10" s="1059">
        <f t="shared" ref="D10:H10" si="0">SUM(D8:D9)</f>
        <v>28355.294117647059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5727.7694117647061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0.20449714523119378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34431.428571428572</v>
      </c>
      <c r="D17" s="1056">
        <f>'SEAP template'!D87</f>
        <v>40507.563025210089</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8182.5277310924384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34431.428571428572</v>
      </c>
      <c r="D20" s="1059">
        <f t="shared" ref="D20:H20" si="2">SUM(D17:D19)</f>
        <v>40507.563025210089</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8182.5277310924384</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0.20449714523119378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0.20449714523119378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0.20449714523119378</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5780</v>
      </c>
      <c r="C9" s="342">
        <v>5928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3039.37</v>
      </c>
    </row>
    <row r="15" spans="1:6">
      <c r="A15" s="348" t="s">
        <v>184</v>
      </c>
      <c r="B15" s="334">
        <v>911</v>
      </c>
    </row>
    <row r="16" spans="1:6">
      <c r="A16" s="348" t="s">
        <v>6</v>
      </c>
      <c r="B16" s="334">
        <v>1641</v>
      </c>
    </row>
    <row r="17" spans="1:6">
      <c r="A17" s="348" t="s">
        <v>7</v>
      </c>
      <c r="B17" s="334">
        <v>894</v>
      </c>
    </row>
    <row r="18" spans="1:6">
      <c r="A18" s="348" t="s">
        <v>8</v>
      </c>
      <c r="B18" s="334">
        <v>1571</v>
      </c>
    </row>
    <row r="19" spans="1:6">
      <c r="A19" s="348" t="s">
        <v>9</v>
      </c>
      <c r="B19" s="334">
        <v>1461</v>
      </c>
    </row>
    <row r="20" spans="1:6">
      <c r="A20" s="348" t="s">
        <v>10</v>
      </c>
      <c r="B20" s="334">
        <v>985</v>
      </c>
    </row>
    <row r="21" spans="1:6">
      <c r="A21" s="348" t="s">
        <v>11</v>
      </c>
      <c r="B21" s="334">
        <v>11448</v>
      </c>
    </row>
    <row r="22" spans="1:6">
      <c r="A22" s="348" t="s">
        <v>12</v>
      </c>
      <c r="B22" s="334">
        <v>49031</v>
      </c>
    </row>
    <row r="23" spans="1:6">
      <c r="A23" s="348" t="s">
        <v>13</v>
      </c>
      <c r="B23" s="334">
        <v>708</v>
      </c>
    </row>
    <row r="24" spans="1:6">
      <c r="A24" s="348" t="s">
        <v>14</v>
      </c>
      <c r="B24" s="334">
        <v>33</v>
      </c>
    </row>
    <row r="25" spans="1:6">
      <c r="A25" s="348" t="s">
        <v>15</v>
      </c>
      <c r="B25" s="334">
        <v>3264</v>
      </c>
    </row>
    <row r="26" spans="1:6">
      <c r="A26" s="348" t="s">
        <v>16</v>
      </c>
      <c r="B26" s="334">
        <v>401</v>
      </c>
    </row>
    <row r="27" spans="1:6">
      <c r="A27" s="348" t="s">
        <v>17</v>
      </c>
      <c r="B27" s="334">
        <v>23</v>
      </c>
    </row>
    <row r="28" spans="1:6" s="356" customFormat="1">
      <c r="A28" s="355" t="s">
        <v>18</v>
      </c>
      <c r="B28" s="355">
        <v>184082</v>
      </c>
    </row>
    <row r="29" spans="1:6">
      <c r="A29" s="355" t="s">
        <v>884</v>
      </c>
      <c r="B29" s="355">
        <v>143</v>
      </c>
      <c r="C29" s="356"/>
      <c r="D29" s="356"/>
      <c r="E29" s="356"/>
      <c r="F29" s="356"/>
    </row>
    <row r="30" spans="1:6">
      <c r="A30" s="355" t="s">
        <v>885</v>
      </c>
      <c r="B30" s="341">
        <v>18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14</v>
      </c>
      <c r="F36" s="334">
        <v>47604.052919000002</v>
      </c>
    </row>
    <row r="37" spans="1:6">
      <c r="A37" s="348" t="s">
        <v>25</v>
      </c>
      <c r="B37" s="348" t="s">
        <v>28</v>
      </c>
      <c r="C37" s="334">
        <v>0</v>
      </c>
      <c r="D37" s="334">
        <v>0</v>
      </c>
      <c r="E37" s="334">
        <v>0</v>
      </c>
      <c r="F37" s="334">
        <v>0</v>
      </c>
    </row>
    <row r="38" spans="1:6">
      <c r="A38" s="348" t="s">
        <v>25</v>
      </c>
      <c r="B38" s="348" t="s">
        <v>29</v>
      </c>
      <c r="C38" s="334">
        <v>1</v>
      </c>
      <c r="D38" s="334">
        <v>74105303.964000002</v>
      </c>
      <c r="E38" s="334">
        <v>2</v>
      </c>
      <c r="F38" s="334">
        <v>162536.25765000001</v>
      </c>
    </row>
    <row r="39" spans="1:6">
      <c r="A39" s="348" t="s">
        <v>30</v>
      </c>
      <c r="B39" s="348" t="s">
        <v>31</v>
      </c>
      <c r="C39" s="334">
        <v>3771</v>
      </c>
      <c r="D39" s="334">
        <v>57042197.824000001</v>
      </c>
      <c r="E39" s="334">
        <v>5320</v>
      </c>
      <c r="F39" s="334">
        <v>19887113.377999999</v>
      </c>
    </row>
    <row r="40" spans="1:6">
      <c r="A40" s="348" t="s">
        <v>30</v>
      </c>
      <c r="B40" s="348" t="s">
        <v>29</v>
      </c>
      <c r="C40" s="334">
        <v>1</v>
      </c>
      <c r="D40" s="334">
        <v>28984.120374999999</v>
      </c>
      <c r="E40" s="334">
        <v>1</v>
      </c>
      <c r="F40" s="334">
        <v>1087</v>
      </c>
    </row>
    <row r="41" spans="1:6">
      <c r="A41" s="348" t="s">
        <v>32</v>
      </c>
      <c r="B41" s="348" t="s">
        <v>33</v>
      </c>
      <c r="C41" s="334">
        <v>78</v>
      </c>
      <c r="D41" s="334">
        <v>1697201.0784</v>
      </c>
      <c r="E41" s="334">
        <v>172</v>
      </c>
      <c r="F41" s="334">
        <v>1675274.2786000001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51495.003013000001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13974432.119000001</v>
      </c>
      <c r="E48" s="334">
        <v>36</v>
      </c>
      <c r="F48" s="334">
        <v>6860275.5927999998</v>
      </c>
    </row>
    <row r="49" spans="1:6">
      <c r="A49" s="348" t="s">
        <v>32</v>
      </c>
      <c r="B49" s="348" t="s">
        <v>40</v>
      </c>
      <c r="C49" s="334">
        <v>0</v>
      </c>
      <c r="D49" s="334">
        <v>0</v>
      </c>
      <c r="E49" s="334">
        <v>0</v>
      </c>
      <c r="F49" s="334">
        <v>0</v>
      </c>
    </row>
    <row r="50" spans="1:6">
      <c r="A50" s="348" t="s">
        <v>32</v>
      </c>
      <c r="B50" s="348" t="s">
        <v>41</v>
      </c>
      <c r="C50" s="334">
        <v>15</v>
      </c>
      <c r="D50" s="334">
        <v>80315493.740999997</v>
      </c>
      <c r="E50" s="334">
        <v>17</v>
      </c>
      <c r="F50" s="334">
        <v>1069762.1385999999</v>
      </c>
    </row>
    <row r="51" spans="1:6">
      <c r="A51" s="348" t="s">
        <v>42</v>
      </c>
      <c r="B51" s="348" t="s">
        <v>43</v>
      </c>
      <c r="C51" s="334">
        <v>14</v>
      </c>
      <c r="D51" s="334">
        <v>243217.33373000001</v>
      </c>
      <c r="E51" s="334">
        <v>152</v>
      </c>
      <c r="F51" s="334">
        <v>2914058.5247</v>
      </c>
    </row>
    <row r="52" spans="1:6">
      <c r="A52" s="348" t="s">
        <v>42</v>
      </c>
      <c r="B52" s="348" t="s">
        <v>29</v>
      </c>
      <c r="C52" s="334">
        <v>1</v>
      </c>
      <c r="D52" s="334">
        <v>23546.097217999999</v>
      </c>
      <c r="E52" s="334">
        <v>9</v>
      </c>
      <c r="F52" s="334">
        <v>198016.54264</v>
      </c>
    </row>
    <row r="53" spans="1:6">
      <c r="A53" s="348" t="s">
        <v>44</v>
      </c>
      <c r="B53" s="348" t="s">
        <v>45</v>
      </c>
      <c r="C53" s="334">
        <v>102</v>
      </c>
      <c r="D53" s="334">
        <v>1726014.8282000001</v>
      </c>
      <c r="E53" s="334">
        <v>181</v>
      </c>
      <c r="F53" s="334">
        <v>595763.19272000005</v>
      </c>
    </row>
    <row r="54" spans="1:6">
      <c r="A54" s="348" t="s">
        <v>46</v>
      </c>
      <c r="B54" s="348" t="s">
        <v>47</v>
      </c>
      <c r="C54" s="334">
        <v>0</v>
      </c>
      <c r="D54" s="334">
        <v>0</v>
      </c>
      <c r="E54" s="334">
        <v>1</v>
      </c>
      <c r="F54" s="334">
        <v>907563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2899675.3161999998</v>
      </c>
      <c r="E57" s="334">
        <v>83</v>
      </c>
      <c r="F57" s="334">
        <v>1282365.8583</v>
      </c>
    </row>
    <row r="58" spans="1:6">
      <c r="A58" s="348" t="s">
        <v>49</v>
      </c>
      <c r="B58" s="348" t="s">
        <v>51</v>
      </c>
      <c r="C58" s="334">
        <v>8</v>
      </c>
      <c r="D58" s="334">
        <v>101697.69876</v>
      </c>
      <c r="E58" s="334">
        <v>19</v>
      </c>
      <c r="F58" s="334">
        <v>126641.09831</v>
      </c>
    </row>
    <row r="59" spans="1:6">
      <c r="A59" s="348" t="s">
        <v>49</v>
      </c>
      <c r="B59" s="348" t="s">
        <v>52</v>
      </c>
      <c r="C59" s="334">
        <v>94</v>
      </c>
      <c r="D59" s="334">
        <v>3236203.2313999999</v>
      </c>
      <c r="E59" s="334">
        <v>199</v>
      </c>
      <c r="F59" s="334">
        <v>4055548.4071</v>
      </c>
    </row>
    <row r="60" spans="1:6">
      <c r="A60" s="348" t="s">
        <v>49</v>
      </c>
      <c r="B60" s="348" t="s">
        <v>53</v>
      </c>
      <c r="C60" s="334">
        <v>49</v>
      </c>
      <c r="D60" s="334">
        <v>1988536.3281</v>
      </c>
      <c r="E60" s="334">
        <v>54</v>
      </c>
      <c r="F60" s="334">
        <v>1095116.0061999999</v>
      </c>
    </row>
    <row r="61" spans="1:6">
      <c r="A61" s="348" t="s">
        <v>49</v>
      </c>
      <c r="B61" s="348" t="s">
        <v>54</v>
      </c>
      <c r="C61" s="334">
        <v>49</v>
      </c>
      <c r="D61" s="334">
        <v>1295544.9696</v>
      </c>
      <c r="E61" s="334">
        <v>138</v>
      </c>
      <c r="F61" s="334">
        <v>1148352.6403000001</v>
      </c>
    </row>
    <row r="62" spans="1:6">
      <c r="A62" s="348" t="s">
        <v>49</v>
      </c>
      <c r="B62" s="348" t="s">
        <v>55</v>
      </c>
      <c r="C62" s="334">
        <v>6</v>
      </c>
      <c r="D62" s="334">
        <v>602530.14099999995</v>
      </c>
      <c r="E62" s="334">
        <v>7</v>
      </c>
      <c r="F62" s="334">
        <v>77310.780841999993</v>
      </c>
    </row>
    <row r="63" spans="1:6">
      <c r="A63" s="348" t="s">
        <v>49</v>
      </c>
      <c r="B63" s="348" t="s">
        <v>29</v>
      </c>
      <c r="C63" s="334">
        <v>79</v>
      </c>
      <c r="D63" s="334">
        <v>4591770.5443000002</v>
      </c>
      <c r="E63" s="334">
        <v>72</v>
      </c>
      <c r="F63" s="334">
        <v>2078308.2006999999</v>
      </c>
    </row>
    <row r="64" spans="1:6">
      <c r="A64" s="348" t="s">
        <v>56</v>
      </c>
      <c r="B64" s="348" t="s">
        <v>57</v>
      </c>
      <c r="C64" s="334">
        <v>0</v>
      </c>
      <c r="D64" s="334">
        <v>0</v>
      </c>
      <c r="E64" s="334">
        <v>0</v>
      </c>
      <c r="F64" s="334">
        <v>0</v>
      </c>
    </row>
    <row r="65" spans="1:6">
      <c r="A65" s="348" t="s">
        <v>56</v>
      </c>
      <c r="B65" s="348" t="s">
        <v>29</v>
      </c>
      <c r="C65" s="334">
        <v>0</v>
      </c>
      <c r="D65" s="334">
        <v>0</v>
      </c>
      <c r="E65" s="334">
        <v>2</v>
      </c>
      <c r="F65" s="334">
        <v>16319.634093000001</v>
      </c>
    </row>
    <row r="66" spans="1:6">
      <c r="A66" s="348" t="s">
        <v>56</v>
      </c>
      <c r="B66" s="348" t="s">
        <v>58</v>
      </c>
      <c r="C66" s="334">
        <v>0</v>
      </c>
      <c r="D66" s="334">
        <v>0</v>
      </c>
      <c r="E66" s="334">
        <v>13</v>
      </c>
      <c r="F66" s="334">
        <v>41816.249516999997</v>
      </c>
    </row>
    <row r="67" spans="1:6">
      <c r="A67" s="355" t="s">
        <v>56</v>
      </c>
      <c r="B67" s="355" t="s">
        <v>59</v>
      </c>
      <c r="C67" s="334">
        <v>0</v>
      </c>
      <c r="D67" s="334">
        <v>0</v>
      </c>
      <c r="E67" s="334">
        <v>0</v>
      </c>
      <c r="F67" s="334">
        <v>0</v>
      </c>
    </row>
    <row r="68" spans="1:6">
      <c r="A68" s="341" t="s">
        <v>56</v>
      </c>
      <c r="B68" s="341" t="s">
        <v>60</v>
      </c>
      <c r="C68" s="334">
        <v>6</v>
      </c>
      <c r="D68" s="334">
        <v>153378.89522000001</v>
      </c>
      <c r="E68" s="334">
        <v>19</v>
      </c>
      <c r="F68" s="334">
        <v>494753.64218999998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36837316</v>
      </c>
      <c r="E73" s="475">
        <v>32618200.99309095</v>
      </c>
    </row>
    <row r="74" spans="1:6">
      <c r="A74" s="348" t="s">
        <v>64</v>
      </c>
      <c r="B74" s="348" t="s">
        <v>667</v>
      </c>
      <c r="C74" s="1294" t="s">
        <v>669</v>
      </c>
      <c r="D74" s="475">
        <v>3167962.0204878612</v>
      </c>
      <c r="E74" s="475">
        <v>2943019.63247508</v>
      </c>
    </row>
    <row r="75" spans="1:6">
      <c r="A75" s="348" t="s">
        <v>65</v>
      </c>
      <c r="B75" s="348" t="s">
        <v>666</v>
      </c>
      <c r="C75" s="1294" t="s">
        <v>670</v>
      </c>
      <c r="D75" s="475">
        <v>17847252</v>
      </c>
      <c r="E75" s="475">
        <v>15897087.238884747</v>
      </c>
    </row>
    <row r="76" spans="1:6">
      <c r="A76" s="348" t="s">
        <v>65</v>
      </c>
      <c r="B76" s="348" t="s">
        <v>667</v>
      </c>
      <c r="C76" s="1294" t="s">
        <v>671</v>
      </c>
      <c r="D76" s="475">
        <v>585816.02048786113</v>
      </c>
      <c r="E76" s="475">
        <v>515308.32619052439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312227.95902427775</v>
      </c>
      <c r="C83" s="475">
        <v>312227.95902427775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3736.9675124491828</v>
      </c>
    </row>
    <row r="92" spans="1:6">
      <c r="A92" s="341" t="s">
        <v>69</v>
      </c>
      <c r="B92" s="342">
        <v>1645.9829431248238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167</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47773.833676788796</v>
      </c>
      <c r="C3" s="43" t="s">
        <v>170</v>
      </c>
      <c r="D3" s="43"/>
      <c r="E3" s="154"/>
      <c r="F3" s="43"/>
      <c r="G3" s="43"/>
      <c r="H3" s="43"/>
      <c r="I3" s="43"/>
      <c r="J3" s="43"/>
      <c r="K3" s="96"/>
    </row>
    <row r="4" spans="1:11">
      <c r="A4" s="383" t="s">
        <v>171</v>
      </c>
      <c r="B4" s="49">
        <f>IF(ISERROR('SEAP template'!B78+'SEAP template'!C78),0,'SEAP template'!B78+'SEAP template'!C78)</f>
        <v>29484.950455574006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5727.7694117647061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0.20449714523119378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8182.5277310924384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34431.428571428572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907.56299999999999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907.56299999999999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0.20449714523119378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185.59404261745792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19888.200377999998</v>
      </c>
      <c r="C5" s="17">
        <f>IF(ISERROR('Eigen informatie GS &amp; warmtenet'!B57),0,'Eigen informatie GS &amp; warmtenet'!B57)</f>
        <v>0</v>
      </c>
      <c r="D5" s="30">
        <f>(SUM(HH_hh_gas_kWh,HH_rest_gas_kWh)/1000)*0.902</f>
        <v>51478.206113826251</v>
      </c>
      <c r="E5" s="17">
        <f>B46*B57</f>
        <v>7439.1358725721375</v>
      </c>
      <c r="F5" s="17">
        <f>B51*B62</f>
        <v>12207.590300327818</v>
      </c>
      <c r="G5" s="18"/>
      <c r="H5" s="17"/>
      <c r="I5" s="17"/>
      <c r="J5" s="17">
        <f>B50*B61+C50*C61</f>
        <v>2213.2524786459353</v>
      </c>
      <c r="K5" s="17"/>
      <c r="L5" s="17"/>
      <c r="M5" s="17"/>
      <c r="N5" s="17">
        <f>B48*B59+C48*C59</f>
        <v>20990.444120911085</v>
      </c>
      <c r="O5" s="17">
        <f>B69*B70*B71</f>
        <v>282.96333333333337</v>
      </c>
      <c r="P5" s="17">
        <f>B77*B78*B79/1000-B77*B78*B79/1000/B80</f>
        <v>362.26666666666665</v>
      </c>
    </row>
    <row r="6" spans="1:16">
      <c r="A6" s="16" t="s">
        <v>624</v>
      </c>
      <c r="B6" s="788">
        <f>kWh_PV_kleiner_dan_10kW</f>
        <v>3736.9675124491828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23625.167890449182</v>
      </c>
      <c r="C8" s="21">
        <f>C5</f>
        <v>0</v>
      </c>
      <c r="D8" s="21">
        <f>D5</f>
        <v>51478.206113826251</v>
      </c>
      <c r="E8" s="21">
        <f>E5</f>
        <v>7439.1358725721375</v>
      </c>
      <c r="F8" s="21">
        <f>F5</f>
        <v>12207.590300327818</v>
      </c>
      <c r="G8" s="21"/>
      <c r="H8" s="21"/>
      <c r="I8" s="21"/>
      <c r="J8" s="21">
        <f>J5</f>
        <v>2213.2524786459353</v>
      </c>
      <c r="K8" s="21"/>
      <c r="L8" s="21">
        <f>L5</f>
        <v>0</v>
      </c>
      <c r="M8" s="21">
        <f>M5</f>
        <v>0</v>
      </c>
      <c r="N8" s="21">
        <f>N5</f>
        <v>20990.444120911085</v>
      </c>
      <c r="O8" s="21">
        <f>O5</f>
        <v>282.96333333333337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0.20449714523119378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4831.279389204522</v>
      </c>
      <c r="C12" s="23">
        <f ca="1">C10*C8</f>
        <v>0</v>
      </c>
      <c r="D12" s="23">
        <f>D8*D10</f>
        <v>10398.597634992904</v>
      </c>
      <c r="E12" s="23">
        <f>E10*E8</f>
        <v>1688.6838430738753</v>
      </c>
      <c r="F12" s="23">
        <f>F10*F8</f>
        <v>3259.4266101875278</v>
      </c>
      <c r="G12" s="23"/>
      <c r="H12" s="23"/>
      <c r="I12" s="23"/>
      <c r="J12" s="23">
        <f>J10*J8</f>
        <v>783.49137744066104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5780</v>
      </c>
      <c r="C28" s="36"/>
      <c r="D28" s="228"/>
    </row>
    <row r="29" spans="1:7" s="15" customFormat="1">
      <c r="A29" s="230" t="s">
        <v>699</v>
      </c>
      <c r="B29" s="37">
        <f>SUM(HH_hh_gas_aantal,HH_rest_gas_aantal)</f>
        <v>3772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3772</v>
      </c>
      <c r="C32" s="167">
        <f>IF(ISERROR(B32/SUM($B$32,$B$34,$B$35,$B$36,$B$38,$B$39)*100),0,B32/SUM($B$32,$B$34,$B$35,$B$36,$B$38,$B$39)*100)</f>
        <v>65.474743968061105</v>
      </c>
      <c r="D32" s="233"/>
      <c r="G32" s="15"/>
    </row>
    <row r="33" spans="1:7">
      <c r="A33" s="171" t="s">
        <v>72</v>
      </c>
      <c r="B33" s="34" t="s">
        <v>111</v>
      </c>
      <c r="C33" s="167"/>
      <c r="D33" s="233"/>
      <c r="G33" s="15"/>
    </row>
    <row r="34" spans="1:7">
      <c r="A34" s="171" t="s">
        <v>73</v>
      </c>
      <c r="B34" s="33">
        <f>IF((($B$28-$B$32-$B$39-$B$77-$B$38)*C20/100)&lt;0,0,($B$28-$B$32-$B$39-$B$77-$B$38)*C20/100)</f>
        <v>328.90497737556558</v>
      </c>
      <c r="C34" s="167">
        <f>IF(ISERROR(B34/SUM($B$32,$B$34,$B$35,$B$36,$B$38,$B$39)*100),0,B34/SUM($B$32,$B$34,$B$35,$B$36,$B$38,$B$39)*100)</f>
        <v>5.7091646827905844</v>
      </c>
      <c r="D34" s="233"/>
      <c r="G34" s="15"/>
    </row>
    <row r="35" spans="1:7">
      <c r="A35" s="171" t="s">
        <v>74</v>
      </c>
      <c r="B35" s="33">
        <f>IF((($B$28-$B$32-$B$39-$B$77-$B$38)*C21/100)&lt;0,0,($B$28-$B$32-$B$39-$B$77-$B$38)*C21/100)</f>
        <v>760.32579185520353</v>
      </c>
      <c r="C35" s="167">
        <f>IF(ISERROR(B35/SUM($B$32,$B$34,$B$35,$B$36,$B$38,$B$39)*100),0,B35/SUM($B$32,$B$34,$B$35,$B$36,$B$38,$B$39)*100)</f>
        <v>13.197809266710703</v>
      </c>
      <c r="D35" s="233"/>
      <c r="G35" s="15"/>
    </row>
    <row r="36" spans="1:7">
      <c r="A36" s="171" t="s">
        <v>75</v>
      </c>
      <c r="B36" s="33">
        <f>IF((($B$28-$B$32-$B$39-$B$77-$B$38)*C22/100)&lt;0,0,($B$28-$B$32-$B$39-$B$77-$B$38)*C22/100)</f>
        <v>326.76923076923077</v>
      </c>
      <c r="C36" s="167">
        <f>IF(ISERROR(B36/SUM($B$32,$B$34,$B$35,$B$36,$B$38,$B$39)*100),0,B36/SUM($B$32,$B$34,$B$35,$B$36,$B$38,$B$39)*100)</f>
        <v>5.6720921848503867</v>
      </c>
      <c r="D36" s="233"/>
      <c r="G36" s="15"/>
    </row>
    <row r="37" spans="1:7">
      <c r="A37" s="171" t="s">
        <v>76</v>
      </c>
      <c r="B37" s="34" t="s">
        <v>111</v>
      </c>
      <c r="C37" s="167"/>
      <c r="D37" s="173"/>
      <c r="G37" s="15"/>
    </row>
    <row r="38" spans="1:7">
      <c r="A38" s="171" t="s">
        <v>77</v>
      </c>
      <c r="B38" s="33">
        <f>IF((B24-(B29-B18)*0.1)&lt;0,0,B24-(B29-B18)*0.1)</f>
        <v>71.5</v>
      </c>
      <c r="C38" s="167">
        <f>IF(ISERROR(B38/SUM($B$32,$B$34,$B$35,$B$36,$B$38,$B$39)*100),0,B38/SUM($B$32,$B$34,$B$35,$B$36,$B$38,$B$39)*100)</f>
        <v>1.2411039750043396</v>
      </c>
      <c r="D38" s="234"/>
      <c r="G38" s="15"/>
    </row>
    <row r="39" spans="1:7">
      <c r="A39" s="171" t="s">
        <v>78</v>
      </c>
      <c r="B39" s="33">
        <f>IF((B25-(B29-B18))&lt;0,0,B25-(B29-B18)*0.9)</f>
        <v>501.5</v>
      </c>
      <c r="C39" s="167">
        <f>IF(ISERROR(B39/SUM($B$32,$B$34,$B$35,$B$36,$B$38,$B$39)*100),0,B39/SUM($B$32,$B$34,$B$35,$B$36,$B$38,$B$39)*100)</f>
        <v>8.7050859225828852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3772</v>
      </c>
      <c r="C44" s="34" t="s">
        <v>111</v>
      </c>
      <c r="D44" s="174"/>
    </row>
    <row r="45" spans="1:7">
      <c r="A45" s="171" t="s">
        <v>72</v>
      </c>
      <c r="B45" s="33" t="str">
        <f t="shared" si="0"/>
        <v>-</v>
      </c>
      <c r="C45" s="34" t="s">
        <v>111</v>
      </c>
      <c r="D45" s="174"/>
    </row>
    <row r="46" spans="1:7">
      <c r="A46" s="171" t="s">
        <v>73</v>
      </c>
      <c r="B46" s="33">
        <f t="shared" si="0"/>
        <v>328.90497737556558</v>
      </c>
      <c r="C46" s="34" t="s">
        <v>111</v>
      </c>
      <c r="D46" s="174"/>
    </row>
    <row r="47" spans="1:7">
      <c r="A47" s="171" t="s">
        <v>74</v>
      </c>
      <c r="B47" s="33">
        <f t="shared" si="0"/>
        <v>760.32579185520353</v>
      </c>
      <c r="C47" s="34" t="s">
        <v>111</v>
      </c>
      <c r="D47" s="174"/>
    </row>
    <row r="48" spans="1:7">
      <c r="A48" s="171" t="s">
        <v>75</v>
      </c>
      <c r="B48" s="33">
        <f t="shared" si="0"/>
        <v>326.76923076923077</v>
      </c>
      <c r="C48" s="33">
        <f>B48*10</f>
        <v>3267.6923076923076</v>
      </c>
      <c r="D48" s="234"/>
    </row>
    <row r="49" spans="1:6">
      <c r="A49" s="171" t="s">
        <v>76</v>
      </c>
      <c r="B49" s="33" t="str">
        <f t="shared" si="0"/>
        <v>-</v>
      </c>
      <c r="C49" s="34" t="s">
        <v>111</v>
      </c>
      <c r="D49" s="234"/>
    </row>
    <row r="50" spans="1:6">
      <c r="A50" s="171" t="s">
        <v>77</v>
      </c>
      <c r="B50" s="33">
        <f t="shared" si="0"/>
        <v>71.5</v>
      </c>
      <c r="C50" s="33">
        <f>B50*2</f>
        <v>143</v>
      </c>
      <c r="D50" s="234"/>
    </row>
    <row r="51" spans="1:6">
      <c r="A51" s="171" t="s">
        <v>78</v>
      </c>
      <c r="B51" s="33">
        <f t="shared" si="0"/>
        <v>501.5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9863.6429917519999</v>
      </c>
      <c r="C5" s="17">
        <f>IF(ISERROR('Eigen informatie GS &amp; warmtenet'!B58),0,'Eigen informatie GS &amp; warmtenet'!B58)</f>
        <v>0</v>
      </c>
      <c r="D5" s="30">
        <f>SUM(D6:D12)</f>
        <v>13273.794322882721</v>
      </c>
      <c r="E5" s="17">
        <f>SUM(E6:E12)</f>
        <v>217.9468321585685</v>
      </c>
      <c r="F5" s="17">
        <f>SUM(F6:F12)</f>
        <v>2439.7009729984247</v>
      </c>
      <c r="G5" s="18"/>
      <c r="H5" s="17"/>
      <c r="I5" s="17"/>
      <c r="J5" s="17">
        <f>SUM(J6:J12)</f>
        <v>0</v>
      </c>
      <c r="K5" s="17"/>
      <c r="L5" s="17"/>
      <c r="M5" s="17"/>
      <c r="N5" s="17">
        <f>SUM(N6:N12)</f>
        <v>1201.8450491523686</v>
      </c>
      <c r="O5" s="17">
        <f>B38*B39*B40</f>
        <v>4.6900000000000004</v>
      </c>
      <c r="P5" s="17">
        <f>B46*B47*B48/1000-B46*B47*B48/1000/B49</f>
        <v>38.133333333333333</v>
      </c>
      <c r="R5" s="32"/>
    </row>
    <row r="6" spans="1:18">
      <c r="A6" s="32" t="s">
        <v>54</v>
      </c>
      <c r="B6" s="37">
        <f>B26</f>
        <v>1148.3526403000001</v>
      </c>
      <c r="C6" s="33"/>
      <c r="D6" s="37">
        <f>IF(ISERROR(TER_kantoor_gas_kWh/1000),0,TER_kantoor_gas_kWh/1000)*0.902</f>
        <v>1168.5815625792002</v>
      </c>
      <c r="E6" s="33">
        <f>$C$26*'E Balans VL '!I12/100/3.6*1000000</f>
        <v>15.033350626862184</v>
      </c>
      <c r="F6" s="33">
        <f>$C$26*('E Balans VL '!L12+'E Balans VL '!N12)/100/3.6*1000000</f>
        <v>292.818056643592</v>
      </c>
      <c r="G6" s="34"/>
      <c r="H6" s="33"/>
      <c r="I6" s="33"/>
      <c r="J6" s="33">
        <f>$C$26*('E Balans VL '!D12+'E Balans VL '!E12)/100/3.6*1000000</f>
        <v>0</v>
      </c>
      <c r="K6" s="33"/>
      <c r="L6" s="33"/>
      <c r="M6" s="33"/>
      <c r="N6" s="33">
        <f>$C$26*'E Balans VL '!Y12/100/3.6*1000000</f>
        <v>1.1522196563072167</v>
      </c>
      <c r="O6" s="33"/>
      <c r="P6" s="33"/>
      <c r="R6" s="32"/>
    </row>
    <row r="7" spans="1:18">
      <c r="A7" s="32" t="s">
        <v>53</v>
      </c>
      <c r="B7" s="37">
        <f t="shared" ref="B7:B12" si="0">B27</f>
        <v>1095.1160061999999</v>
      </c>
      <c r="C7" s="33"/>
      <c r="D7" s="37">
        <f>IF(ISERROR(TER_horeca_gas_kWh/1000),0,TER_horeca_gas_kWh/1000)*0.902</f>
        <v>1793.6597679462</v>
      </c>
      <c r="E7" s="33">
        <f>$C$27*'E Balans VL '!I9/100/3.6*1000000</f>
        <v>36.241678438016109</v>
      </c>
      <c r="F7" s="33">
        <f>$C$27*('E Balans VL '!L9+'E Balans VL '!N9)/100/3.6*1000000</f>
        <v>470.89568567308976</v>
      </c>
      <c r="G7" s="34"/>
      <c r="H7" s="33"/>
      <c r="I7" s="33"/>
      <c r="J7" s="33">
        <f>$C$27*('E Balans VL '!D9+'E Balans VL '!E9)/100/3.6*1000000</f>
        <v>0</v>
      </c>
      <c r="K7" s="33"/>
      <c r="L7" s="33"/>
      <c r="M7" s="33"/>
      <c r="N7" s="33">
        <f>$C$27*'E Balans VL '!Y9/100/3.6*1000000</f>
        <v>0.26361032552194047</v>
      </c>
      <c r="O7" s="33"/>
      <c r="P7" s="33"/>
      <c r="R7" s="32"/>
    </row>
    <row r="8" spans="1:18">
      <c r="A8" s="6" t="s">
        <v>52</v>
      </c>
      <c r="B8" s="37">
        <f t="shared" si="0"/>
        <v>4055.5484071000001</v>
      </c>
      <c r="C8" s="33"/>
      <c r="D8" s="37">
        <f>IF(ISERROR(TER_handel_gas_kWh/1000),0,TER_handel_gas_kWh/1000)*0.902</f>
        <v>2919.0553147227997</v>
      </c>
      <c r="E8" s="33">
        <f>$C$28*'E Balans VL '!I13/100/3.6*1000000</f>
        <v>127.99930442158764</v>
      </c>
      <c r="F8" s="33">
        <f>$C$28*('E Balans VL '!L13+'E Balans VL '!N13)/100/3.6*1000000</f>
        <v>795.36445640599891</v>
      </c>
      <c r="G8" s="34"/>
      <c r="H8" s="33"/>
      <c r="I8" s="33"/>
      <c r="J8" s="33">
        <f>$C$28*('E Balans VL '!D13+'E Balans VL '!E13)/100/3.6*1000000</f>
        <v>0</v>
      </c>
      <c r="K8" s="33"/>
      <c r="L8" s="33"/>
      <c r="M8" s="33"/>
      <c r="N8" s="33">
        <f>$C$28*'E Balans VL '!Y13/100/3.6*1000000</f>
        <v>4.8131485841706443</v>
      </c>
      <c r="O8" s="33"/>
      <c r="P8" s="33"/>
      <c r="R8" s="32"/>
    </row>
    <row r="9" spans="1:18">
      <c r="A9" s="32" t="s">
        <v>51</v>
      </c>
      <c r="B9" s="37">
        <f t="shared" si="0"/>
        <v>126.64109831</v>
      </c>
      <c r="C9" s="33"/>
      <c r="D9" s="37">
        <f>IF(ISERROR(TER_gezond_gas_kWh/1000),0,TER_gezond_gas_kWh/1000)*0.902</f>
        <v>91.731324281520003</v>
      </c>
      <c r="E9" s="33">
        <f>$C$29*'E Balans VL '!I10/100/3.6*1000000</f>
        <v>1.621376538680842E-2</v>
      </c>
      <c r="F9" s="33">
        <f>$C$29*('E Balans VL '!L10+'E Balans VL '!N10)/100/3.6*1000000</f>
        <v>26.38464879284761</v>
      </c>
      <c r="G9" s="34"/>
      <c r="H9" s="33"/>
      <c r="I9" s="33"/>
      <c r="J9" s="33">
        <f>$C$29*('E Balans VL '!D10+'E Balans VL '!E10)/100/3.6*1000000</f>
        <v>0</v>
      </c>
      <c r="K9" s="33"/>
      <c r="L9" s="33"/>
      <c r="M9" s="33"/>
      <c r="N9" s="33">
        <f>$C$29*'E Balans VL '!Y10/100/3.6*1000000</f>
        <v>1.4874595581033521</v>
      </c>
      <c r="O9" s="33"/>
      <c r="P9" s="33"/>
      <c r="R9" s="32"/>
    </row>
    <row r="10" spans="1:18">
      <c r="A10" s="32" t="s">
        <v>50</v>
      </c>
      <c r="B10" s="37">
        <f t="shared" si="0"/>
        <v>1282.3658582999999</v>
      </c>
      <c r="C10" s="33"/>
      <c r="D10" s="37">
        <f>IF(ISERROR(TER_ander_gas_kWh/1000),0,TER_ander_gas_kWh/1000)*0.902</f>
        <v>2615.5071352123996</v>
      </c>
      <c r="E10" s="33">
        <f>$C$30*'E Balans VL '!I14/100/3.6*1000000</f>
        <v>1.9283766825622033</v>
      </c>
      <c r="F10" s="33">
        <f>$C$30*('E Balans VL '!L14+'E Balans VL '!N14)/100/3.6*1000000</f>
        <v>283.10504496600714</v>
      </c>
      <c r="G10" s="34"/>
      <c r="H10" s="33"/>
      <c r="I10" s="33"/>
      <c r="J10" s="33">
        <f>$C$30*('E Balans VL '!D14+'E Balans VL '!E14)/100/3.6*1000000</f>
        <v>0</v>
      </c>
      <c r="K10" s="33"/>
      <c r="L10" s="33"/>
      <c r="M10" s="33"/>
      <c r="N10" s="33">
        <f>$C$30*'E Balans VL '!Y14/100/3.6*1000000</f>
        <v>1010.5905963088309</v>
      </c>
      <c r="O10" s="33"/>
      <c r="P10" s="33"/>
      <c r="R10" s="32"/>
    </row>
    <row r="11" spans="1:18">
      <c r="A11" s="32" t="s">
        <v>55</v>
      </c>
      <c r="B11" s="37">
        <f t="shared" si="0"/>
        <v>77.310780842</v>
      </c>
      <c r="C11" s="33"/>
      <c r="D11" s="37">
        <f>IF(ISERROR(TER_onderwijs_gas_kWh/1000),0,TER_onderwijs_gas_kWh/1000)*0.902</f>
        <v>543.48218718199996</v>
      </c>
      <c r="E11" s="33">
        <f>$C$31*'E Balans VL '!I11/100/3.6*1000000</f>
        <v>0.13615076368380233</v>
      </c>
      <c r="F11" s="33">
        <f>$C$31*('E Balans VL '!L11+'E Balans VL '!N11)/100/3.6*1000000</f>
        <v>35.695786451017007</v>
      </c>
      <c r="G11" s="34"/>
      <c r="H11" s="33"/>
      <c r="I11" s="33"/>
      <c r="J11" s="33">
        <f>$C$31*('E Balans VL '!D11+'E Balans VL '!E11)/100/3.6*1000000</f>
        <v>0</v>
      </c>
      <c r="K11" s="33"/>
      <c r="L11" s="33"/>
      <c r="M11" s="33"/>
      <c r="N11" s="33">
        <f>$C$31*'E Balans VL '!Y11/100/3.6*1000000</f>
        <v>0.14403105382232625</v>
      </c>
      <c r="O11" s="33"/>
      <c r="P11" s="33"/>
      <c r="R11" s="32"/>
    </row>
    <row r="12" spans="1:18">
      <c r="A12" s="32" t="s">
        <v>260</v>
      </c>
      <c r="B12" s="37">
        <f t="shared" si="0"/>
        <v>2078.3082006999998</v>
      </c>
      <c r="C12" s="33"/>
      <c r="D12" s="37">
        <f>IF(ISERROR(TER_rest_gas_kWh/1000),0,TER_rest_gas_kWh/1000)*0.902</f>
        <v>4141.7770309586003</v>
      </c>
      <c r="E12" s="33">
        <f>$C$32*'E Balans VL '!I8/100/3.6*1000000</f>
        <v>36.591757460469744</v>
      </c>
      <c r="F12" s="33">
        <f>$C$32*('E Balans VL '!L8+'E Balans VL '!N8)/100/3.6*1000000</f>
        <v>535.43729406587249</v>
      </c>
      <c r="G12" s="34"/>
      <c r="H12" s="33"/>
      <c r="I12" s="33"/>
      <c r="J12" s="33">
        <f>$C$32*('E Balans VL '!D8+'E Balans VL '!E8)/100/3.6*1000000</f>
        <v>0</v>
      </c>
      <c r="K12" s="33"/>
      <c r="L12" s="33"/>
      <c r="M12" s="33"/>
      <c r="N12" s="33">
        <f>$C$32*'E Balans VL '!Y8/100/3.6*1000000</f>
        <v>183.39398366561207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9863.6429917519999</v>
      </c>
      <c r="C16" s="21">
        <f t="shared" ca="1" si="1"/>
        <v>0</v>
      </c>
      <c r="D16" s="21">
        <f t="shared" ca="1" si="1"/>
        <v>13273.794322882721</v>
      </c>
      <c r="E16" s="21">
        <f t="shared" si="1"/>
        <v>217.9468321585685</v>
      </c>
      <c r="F16" s="21">
        <f t="shared" ca="1" si="1"/>
        <v>2439.7009729984247</v>
      </c>
      <c r="G16" s="21">
        <f t="shared" si="1"/>
        <v>0</v>
      </c>
      <c r="H16" s="21">
        <f t="shared" si="1"/>
        <v>0</v>
      </c>
      <c r="I16" s="21">
        <f t="shared" si="1"/>
        <v>0</v>
      </c>
      <c r="J16" s="21">
        <f t="shared" si="1"/>
        <v>0</v>
      </c>
      <c r="K16" s="21">
        <f t="shared" si="1"/>
        <v>0</v>
      </c>
      <c r="L16" s="21">
        <f t="shared" ca="1" si="1"/>
        <v>0</v>
      </c>
      <c r="M16" s="21">
        <f t="shared" si="1"/>
        <v>0</v>
      </c>
      <c r="N16" s="21">
        <f t="shared" ca="1" si="1"/>
        <v>1201.8450491523686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0.20449714523119378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2017.0868333929554</v>
      </c>
      <c r="C20" s="23">
        <f t="shared" ref="C20:P20" ca="1" si="2">C16*C18</f>
        <v>0</v>
      </c>
      <c r="D20" s="23">
        <f t="shared" ca="1" si="2"/>
        <v>2681.3064532223098</v>
      </c>
      <c r="E20" s="23">
        <f t="shared" si="2"/>
        <v>49.473930899995054</v>
      </c>
      <c r="F20" s="23">
        <f t="shared" ca="1" si="2"/>
        <v>651.40015979057944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1148.3526403000001</v>
      </c>
      <c r="C26" s="39">
        <f>IF(ISERROR(B26*3.6/1000000/'E Balans VL '!Z12*100),0,B26*3.6/1000000/'E Balans VL '!Z12*100)</f>
        <v>2.4598605675653498E-2</v>
      </c>
      <c r="D26" s="237" t="s">
        <v>660</v>
      </c>
      <c r="F26" s="6"/>
    </row>
    <row r="27" spans="1:18">
      <c r="A27" s="231" t="s">
        <v>53</v>
      </c>
      <c r="B27" s="33">
        <f>IF(ISERROR(TER_horeca_ele_kWh/1000),0,TER_horeca_ele_kWh/1000)</f>
        <v>1095.1160061999999</v>
      </c>
      <c r="C27" s="39">
        <f>IF(ISERROR(B27*3.6/1000000/'E Balans VL '!Z9*100),0,B27*3.6/1000000/'E Balans VL '!Z9*100)</f>
        <v>8.7879252913166866E-2</v>
      </c>
      <c r="D27" s="237" t="s">
        <v>660</v>
      </c>
      <c r="F27" s="6"/>
    </row>
    <row r="28" spans="1:18">
      <c r="A28" s="171" t="s">
        <v>52</v>
      </c>
      <c r="B28" s="33">
        <f>IF(ISERROR(TER_handel_ele_kWh/1000),0,TER_handel_ele_kWh/1000)</f>
        <v>4055.5484071000001</v>
      </c>
      <c r="C28" s="39">
        <f>IF(ISERROR(B28*3.6/1000000/'E Balans VL '!Z13*100),0,B28*3.6/1000000/'E Balans VL '!Z13*100)</f>
        <v>0.11961541631162063</v>
      </c>
      <c r="D28" s="237" t="s">
        <v>660</v>
      </c>
      <c r="F28" s="6"/>
    </row>
    <row r="29" spans="1:18">
      <c r="A29" s="231" t="s">
        <v>51</v>
      </c>
      <c r="B29" s="33">
        <f>IF(ISERROR(TER_gezond_ele_kWh/1000),0,TER_gezond_ele_kWh/1000)</f>
        <v>126.64109831</v>
      </c>
      <c r="C29" s="39">
        <f>IF(ISERROR(B29*3.6/1000000/'E Balans VL '!Z10*100),0,B29*3.6/1000000/'E Balans VL '!Z10*100)</f>
        <v>1.3521873924336788E-2</v>
      </c>
      <c r="D29" s="237" t="s">
        <v>660</v>
      </c>
      <c r="F29" s="6"/>
    </row>
    <row r="30" spans="1:18">
      <c r="A30" s="231" t="s">
        <v>50</v>
      </c>
      <c r="B30" s="33">
        <f>IF(ISERROR(TER_ander_ele_kWh/1000),0,TER_ander_ele_kWh/1000)</f>
        <v>1282.3658582999999</v>
      </c>
      <c r="C30" s="39">
        <f>IF(ISERROR(B30*3.6/1000000/'E Balans VL '!Z14*100),0,B30*3.6/1000000/'E Balans VL '!Z14*100)</f>
        <v>9.686212892500326E-2</v>
      </c>
      <c r="D30" s="237" t="s">
        <v>660</v>
      </c>
      <c r="F30" s="6"/>
    </row>
    <row r="31" spans="1:18">
      <c r="A31" s="231" t="s">
        <v>55</v>
      </c>
      <c r="B31" s="33">
        <f>IF(ISERROR(TER_onderwijs_ele_kWh/1000),0,TER_onderwijs_ele_kWh/1000)</f>
        <v>77.310780842</v>
      </c>
      <c r="C31" s="39">
        <f>IF(ISERROR(B31*3.6/1000000/'E Balans VL '!Z11*100),0,B31*3.6/1000000/'E Balans VL '!Z11*100)</f>
        <v>1.5611627485244547E-2</v>
      </c>
      <c r="D31" s="237" t="s">
        <v>660</v>
      </c>
    </row>
    <row r="32" spans="1:18">
      <c r="A32" s="231" t="s">
        <v>260</v>
      </c>
      <c r="B32" s="33">
        <f>IF(ISERROR(TER_rest_ele_kWh/1000),0,TER_rest_ele_kWh/1000)</f>
        <v>2078.3082006999998</v>
      </c>
      <c r="C32" s="39">
        <f>IF(ISERROR(B32*3.6/1000000/'E Balans VL '!Z8*100),0,B32*3.6/1000000/'E Balans VL '!Z8*100)</f>
        <v>1.7232069007094643E-2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9656.807013013</v>
      </c>
      <c r="C5" s="17">
        <f>IF(ISERROR('Eigen informatie GS &amp; warmtenet'!B59),0,'Eigen informatie GS &amp; warmtenet'!B59)</f>
        <v>0</v>
      </c>
      <c r="D5" s="30">
        <f>SUM(D6:D15)</f>
        <v>86580.388498436805</v>
      </c>
      <c r="E5" s="17">
        <f>SUM(E6:E15)</f>
        <v>828.86684258445007</v>
      </c>
      <c r="F5" s="17">
        <f>SUM(F6:F15)</f>
        <v>3202.0654197711183</v>
      </c>
      <c r="G5" s="18"/>
      <c r="H5" s="17"/>
      <c r="I5" s="17"/>
      <c r="J5" s="17">
        <f>SUM(J6:J15)</f>
        <v>55.61704694290583</v>
      </c>
      <c r="K5" s="17"/>
      <c r="L5" s="17"/>
      <c r="M5" s="17"/>
      <c r="N5" s="17">
        <f>SUM(N6:N15)</f>
        <v>2309.1241990761168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51.495003013000002</v>
      </c>
      <c r="C8" s="33"/>
      <c r="D8" s="37">
        <f>IF( ISERROR(IND_metaal_Gas_kWH/1000),0,IND_metaal_Gas_kWH/1000)*0.902</f>
        <v>0</v>
      </c>
      <c r="E8" s="33">
        <f>C30*'E Balans VL '!I18/100/3.6*1000000</f>
        <v>1.8529459913520692</v>
      </c>
      <c r="F8" s="33">
        <f>C30*'E Balans VL '!L18/100/3.6*1000000+C30*'E Balans VL '!N18/100/3.6*1000000</f>
        <v>22.486198527377937</v>
      </c>
      <c r="G8" s="34"/>
      <c r="H8" s="33"/>
      <c r="I8" s="33"/>
      <c r="J8" s="40">
        <f>C30*'E Balans VL '!D18/100/3.6*1000000+C30*'E Balans VL '!E18/100/3.6*1000000</f>
        <v>0</v>
      </c>
      <c r="K8" s="33"/>
      <c r="L8" s="33"/>
      <c r="M8" s="33"/>
      <c r="N8" s="33">
        <f>C30*'E Balans VL '!Y18/100/3.6*1000000</f>
        <v>2.5808945564490022</v>
      </c>
      <c r="O8" s="33"/>
      <c r="P8" s="33"/>
      <c r="R8" s="32"/>
    </row>
    <row r="9" spans="1:18">
      <c r="A9" s="6" t="s">
        <v>33</v>
      </c>
      <c r="B9" s="37">
        <f t="shared" si="0"/>
        <v>1675.2742786000001</v>
      </c>
      <c r="C9" s="33"/>
      <c r="D9" s="37">
        <f>IF( ISERROR(IND_andere_gas_kWh/1000),0,IND_andere_gas_kWh/1000)*0.902</f>
        <v>1530.8753727168</v>
      </c>
      <c r="E9" s="33">
        <f>C31*'E Balans VL '!I19/100/3.6*1000000</f>
        <v>427.49209175651112</v>
      </c>
      <c r="F9" s="33">
        <f>C31*'E Balans VL '!L19/100/3.6*1000000+C31*'E Balans VL '!N19/100/3.6*1000000</f>
        <v>1442.2852353645294</v>
      </c>
      <c r="G9" s="34"/>
      <c r="H9" s="33"/>
      <c r="I9" s="33"/>
      <c r="J9" s="40">
        <f>C31*'E Balans VL '!D19/100/3.6*1000000+C31*'E Balans VL '!E19/100/3.6*1000000</f>
        <v>0</v>
      </c>
      <c r="K9" s="33"/>
      <c r="L9" s="33"/>
      <c r="M9" s="33"/>
      <c r="N9" s="33">
        <f>C31*'E Balans VL '!Y19/100/3.6*1000000</f>
        <v>523.9156390703846</v>
      </c>
      <c r="O9" s="33"/>
      <c r="P9" s="33"/>
      <c r="R9" s="32"/>
    </row>
    <row r="10" spans="1:18">
      <c r="A10" s="6" t="s">
        <v>41</v>
      </c>
      <c r="B10" s="37">
        <f t="shared" si="0"/>
        <v>1069.7621385999998</v>
      </c>
      <c r="C10" s="33"/>
      <c r="D10" s="37">
        <f>IF( ISERROR(IND_voed_gas_kWh/1000),0,IND_voed_gas_kWh/1000)*0.902</f>
        <v>72444.575354382003</v>
      </c>
      <c r="E10" s="33">
        <f>C32*'E Balans VL '!I20/100/3.6*1000000</f>
        <v>27.194822467002478</v>
      </c>
      <c r="F10" s="33">
        <f>C32*'E Balans VL '!L20/100/3.6*1000000+C32*'E Balans VL '!N20/100/3.6*1000000</f>
        <v>242.07111345059241</v>
      </c>
      <c r="G10" s="34"/>
      <c r="H10" s="33"/>
      <c r="I10" s="33"/>
      <c r="J10" s="40">
        <f>C32*'E Balans VL '!D20/100/3.6*1000000+C32*'E Balans VL '!E20/100/3.6*1000000</f>
        <v>0</v>
      </c>
      <c r="K10" s="33"/>
      <c r="L10" s="33"/>
      <c r="M10" s="33"/>
      <c r="N10" s="33">
        <f>C32*'E Balans VL '!Y20/100/3.6*1000000</f>
        <v>401.18979901832654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6860.2755927999997</v>
      </c>
      <c r="C15" s="33"/>
      <c r="D15" s="37">
        <f>IF( ISERROR(IND_rest_gas_kWh/1000),0,IND_rest_gas_kWh/1000)*0.902</f>
        <v>12604.937771338002</v>
      </c>
      <c r="E15" s="33">
        <f>C37*'E Balans VL '!I15/100/3.6*1000000</f>
        <v>372.32698236958441</v>
      </c>
      <c r="F15" s="33">
        <f>C37*'E Balans VL '!L15/100/3.6*1000000+C37*'E Balans VL '!N15/100/3.6*1000000</f>
        <v>1495.222872428619</v>
      </c>
      <c r="G15" s="34"/>
      <c r="H15" s="33"/>
      <c r="I15" s="33"/>
      <c r="J15" s="40">
        <f>C37*'E Balans VL '!D15/100/3.6*1000000+C37*'E Balans VL '!E15/100/3.6*1000000</f>
        <v>55.61704694290583</v>
      </c>
      <c r="K15" s="33"/>
      <c r="L15" s="33"/>
      <c r="M15" s="33"/>
      <c r="N15" s="33">
        <f>C37*'E Balans VL '!Y15/100/3.6*1000000</f>
        <v>1381.4378664309565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9656.807013013</v>
      </c>
      <c r="C18" s="21">
        <f>C5+C16</f>
        <v>0</v>
      </c>
      <c r="D18" s="21">
        <f>MAX((D5+D16),0)</f>
        <v>86580.388498436805</v>
      </c>
      <c r="E18" s="21">
        <f>MAX((E5+E16),0)</f>
        <v>828.86684258445007</v>
      </c>
      <c r="F18" s="21">
        <f>MAX((F5+F16),0)</f>
        <v>3202.0654197711183</v>
      </c>
      <c r="G18" s="21"/>
      <c r="H18" s="21"/>
      <c r="I18" s="21"/>
      <c r="J18" s="21">
        <f>MAX((J5+J16),0)</f>
        <v>55.61704694290583</v>
      </c>
      <c r="K18" s="21"/>
      <c r="L18" s="21">
        <f>MAX((L5+L16),0)</f>
        <v>0</v>
      </c>
      <c r="M18" s="21"/>
      <c r="N18" s="21">
        <f>MAX((N5+N16),0)</f>
        <v>2309.1241990761168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0.20449714523119378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1974.7894662097301</v>
      </c>
      <c r="C22" s="23">
        <f ca="1">C18*C20</f>
        <v>0</v>
      </c>
      <c r="D22" s="23">
        <f>D18*D20</f>
        <v>17489.238476684237</v>
      </c>
      <c r="E22" s="23">
        <f>E18*E20</f>
        <v>188.15277326667018</v>
      </c>
      <c r="F22" s="23">
        <f>F18*F20</f>
        <v>854.95146707888864</v>
      </c>
      <c r="G22" s="23"/>
      <c r="H22" s="23"/>
      <c r="I22" s="23"/>
      <c r="J22" s="23">
        <f>J18*J20</f>
        <v>19.688434617788662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51.495003013000002</v>
      </c>
      <c r="C30" s="39">
        <f>IF(ISERROR(B30*3.6/1000000/'E Balans VL '!Z18*100),0,B30*3.6/1000000/'E Balans VL '!Z18*100)</f>
        <v>1.0910687114687245E-2</v>
      </c>
      <c r="D30" s="237" t="s">
        <v>660</v>
      </c>
    </row>
    <row r="31" spans="1:18">
      <c r="A31" s="6" t="s">
        <v>33</v>
      </c>
      <c r="B31" s="37">
        <f>IF( ISERROR(IND_ander_ele_kWh/1000),0,IND_ander_ele_kWh/1000)</f>
        <v>1675.2742786000001</v>
      </c>
      <c r="C31" s="39">
        <f>IF(ISERROR(B31*3.6/1000000/'E Balans VL '!Z19*100),0,B31*3.6/1000000/'E Balans VL '!Z19*100)</f>
        <v>7.0516098373171993E-2</v>
      </c>
      <c r="D31" s="237" t="s">
        <v>660</v>
      </c>
    </row>
    <row r="32" spans="1:18">
      <c r="A32" s="171" t="s">
        <v>41</v>
      </c>
      <c r="B32" s="37">
        <f>IF( ISERROR(IND_voed_ele_kWh/1000),0,IND_voed_ele_kWh/1000)</f>
        <v>1069.7621385999998</v>
      </c>
      <c r="C32" s="39">
        <f>IF(ISERROR(B32*3.6/1000000/'E Balans VL '!Z20*100),0,B32*3.6/1000000/'E Balans VL '!Z20*100)</f>
        <v>0.17871586877928797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6860.2755927999997</v>
      </c>
      <c r="C37" s="39">
        <f>IF(ISERROR(B37*3.6/1000000/'E Balans VL '!Z15*100),0,B37*3.6/1000000/'E Balans VL '!Z15*100)</f>
        <v>5.5385661281137623E-2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3112.0750673400003</v>
      </c>
      <c r="C5" s="17">
        <f>'Eigen informatie GS &amp; warmtenet'!B60</f>
        <v>0</v>
      </c>
      <c r="D5" s="30">
        <f>IF(ISERROR(SUM(LB_lb_gas_kWh,LB_rest_gas_kWh)/1000),0,SUM(LB_lb_gas_kWh,LB_rest_gas_kWh)/1000)*0.902</f>
        <v>240.62061471509602</v>
      </c>
      <c r="E5" s="17">
        <f>B17*'E Balans VL '!I25/3.6*1000000/100</f>
        <v>80.248466999919216</v>
      </c>
      <c r="F5" s="17">
        <f>B17*('E Balans VL '!L25/3.6*1000000+'E Balans VL '!N25/3.6*1000000)/100</f>
        <v>11375.227037034261</v>
      </c>
      <c r="G5" s="18"/>
      <c r="H5" s="17"/>
      <c r="I5" s="17"/>
      <c r="J5" s="17">
        <f>('E Balans VL '!D25+'E Balans VL '!E25)/3.6*1000000*landbouw!B17/100</f>
        <v>448.02432685866893</v>
      </c>
      <c r="K5" s="17"/>
      <c r="L5" s="17">
        <f>L6*(-1)</f>
        <v>0</v>
      </c>
      <c r="M5" s="17"/>
      <c r="N5" s="17">
        <f>N6*(-1)</f>
        <v>0</v>
      </c>
      <c r="O5" s="17"/>
      <c r="P5" s="17"/>
      <c r="R5" s="32"/>
    </row>
    <row r="6" spans="1:18">
      <c r="A6" s="16" t="s">
        <v>491</v>
      </c>
      <c r="B6" s="17" t="s">
        <v>211</v>
      </c>
      <c r="C6" s="17">
        <f>'lokale energieproductie'!O92+'lokale energieproductie'!O61</f>
        <v>34431.428571428572</v>
      </c>
      <c r="D6" s="310">
        <f>('lokale energieproductie'!P61+'lokale energieproductie'!P92)*(-1)</f>
        <v>-68862.857142857145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3112.0750673400003</v>
      </c>
      <c r="C8" s="21">
        <f>C5+C6</f>
        <v>34431.428571428572</v>
      </c>
      <c r="D8" s="21">
        <f>MAX((D5+D6),0)</f>
        <v>0</v>
      </c>
      <c r="E8" s="21">
        <f>MAX((E5+E6),0)</f>
        <v>80.248466999919216</v>
      </c>
      <c r="F8" s="21">
        <f>MAX((F5+F6),0)</f>
        <v>11375.227037034261</v>
      </c>
      <c r="G8" s="21"/>
      <c r="H8" s="21"/>
      <c r="I8" s="21"/>
      <c r="J8" s="21">
        <f>MAX((J5+J6),0)</f>
        <v>448.02432685866893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0.20449714523119378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636.41046701620519</v>
      </c>
      <c r="C12" s="23">
        <f ca="1">C8*C10</f>
        <v>8182.5277310924375</v>
      </c>
      <c r="D12" s="23">
        <f>D8*D10</f>
        <v>0</v>
      </c>
      <c r="E12" s="23">
        <f>E8*E10</f>
        <v>18.216402008981664</v>
      </c>
      <c r="F12" s="23">
        <f>F8*F10</f>
        <v>3037.1856188881479</v>
      </c>
      <c r="G12" s="23"/>
      <c r="H12" s="23"/>
      <c r="I12" s="23"/>
      <c r="J12" s="23">
        <f>J8*J10</f>
        <v>158.6006117079688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0.43882319841796269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602.53812424880243</v>
      </c>
      <c r="C26" s="247">
        <f>B26*'GWP N2O_CH4'!B5</f>
        <v>12653.300609224851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384.51774402308962</v>
      </c>
      <c r="C27" s="247">
        <f>B27*'GWP N2O_CH4'!B5</f>
        <v>8074.8726244848822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8.9171531889460027</v>
      </c>
      <c r="C28" s="247">
        <f>B28*'GWP N2O_CH4'!B4</f>
        <v>2764.317488573261</v>
      </c>
      <c r="D28" s="50"/>
    </row>
    <row r="29" spans="1:4">
      <c r="A29" s="41" t="s">
        <v>277</v>
      </c>
      <c r="B29" s="247">
        <f>B34*'ha_N2O bodem landbouw'!B4</f>
        <v>20.05096891145298</v>
      </c>
      <c r="C29" s="247">
        <f>B29*'GWP N2O_CH4'!B4</f>
        <v>6215.8003625504234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4.5125576064234127E-3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4.6132277452620122E-5</v>
      </c>
      <c r="C5" s="463" t="s">
        <v>211</v>
      </c>
      <c r="D5" s="448">
        <f>SUM(D6:D11)</f>
        <v>1.1472047787333873E-4</v>
      </c>
      <c r="E5" s="448">
        <f>SUM(E6:E11)</f>
        <v>4.3579473917061825E-4</v>
      </c>
      <c r="F5" s="461" t="s">
        <v>211</v>
      </c>
      <c r="G5" s="448">
        <f>SUM(G6:G11)</f>
        <v>0.13810398611329994</v>
      </c>
      <c r="H5" s="448">
        <f>SUM(H6:H11)</f>
        <v>3.0635095684844252E-2</v>
      </c>
      <c r="I5" s="463" t="s">
        <v>211</v>
      </c>
      <c r="J5" s="463" t="s">
        <v>211</v>
      </c>
      <c r="K5" s="463" t="s">
        <v>211</v>
      </c>
      <c r="L5" s="463" t="s">
        <v>211</v>
      </c>
      <c r="M5" s="448">
        <f>SUM(M6:M11)</f>
        <v>5.2689525305101709E-3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3.1076212987946479E-5</v>
      </c>
      <c r="C6" s="449"/>
      <c r="D6" s="892">
        <f>vkm_2011_GW_PW*SUMIFS(TableVerdeelsleutelVkm[CNG],TableVerdeelsleutelVkm[Voertuigtype],"Lichte voertuigen")*SUMIFS(TableECFTransport[EnergieConsumptieFactor (PJ per km)],TableECFTransport[Index],CONCATENATE($A6,"_CNG_CNG"))</f>
        <v>6.174897955460539E-5</v>
      </c>
      <c r="E6" s="892">
        <f>vkm_2011_GW_PW*SUMIFS(TableVerdeelsleutelVkm[LPG],TableVerdeelsleutelVkm[Voertuigtype],"Lichte voertuigen")*SUMIFS(TableECFTransport[EnergieConsumptieFactor (PJ per km)],TableECFTransport[Index],CONCATENATE($A6,"_LPG_LPG"))</f>
        <v>2.4300436989717784E-4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5.7778101195416764E-2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1.6717306442412254E-2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2.3213456920599526E-3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3.035603833766545E-2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9.8062969959457223E-6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9.5647232097212387E-4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1.5056064464673641E-5</v>
      </c>
      <c r="C8" s="449"/>
      <c r="D8" s="451">
        <f>vkm_2011_NGW_PW*SUMIFS(TableVerdeelsleutelVkm[CNG],TableVerdeelsleutelVkm[Voertuigtype],"Lichte voertuigen")*SUMIFS(TableECFTransport[EnergieConsumptieFactor (PJ per km)],TableECFTransport[Index],CONCATENATE($A8,"_CNG_CNG"))</f>
        <v>5.2971498318733342E-5</v>
      </c>
      <c r="E8" s="451">
        <f>vkm_2011_NGW_PW*SUMIFS(TableVerdeelsleutelVkm[LPG],TableVerdeelsleutelVkm[Voertuigtype],"Lichte voertuigen")*SUMIFS(TableECFTransport[EnergieConsumptieFactor (PJ per km)],TableECFTransport[Index],CONCATENATE($A8,"_LPG_LPG"))</f>
        <v>1.9279036927344044E-4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4.2804881513297102E-2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1.3905793987855613E-2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1.7653811992752301E-3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7.164965066920612E-3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2.1889575804378932E-6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2.2575331820286448E-4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12.8145215146167</v>
      </c>
      <c r="C14" s="21"/>
      <c r="D14" s="21">
        <f t="shared" ref="D14:M14" si="0">((D5)*10^9/3600)+D12</f>
        <v>31.866799409260761</v>
      </c>
      <c r="E14" s="21">
        <f t="shared" si="0"/>
        <v>121.05409421406063</v>
      </c>
      <c r="F14" s="21"/>
      <c r="G14" s="21">
        <f t="shared" si="0"/>
        <v>38362.218364805536</v>
      </c>
      <c r="H14" s="21">
        <f t="shared" si="0"/>
        <v>8509.7488013456259</v>
      </c>
      <c r="I14" s="21"/>
      <c r="J14" s="21"/>
      <c r="K14" s="21"/>
      <c r="L14" s="21"/>
      <c r="M14" s="21">
        <f t="shared" si="0"/>
        <v>1463.5979251417143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0.20449714523119378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2.6205330672428286</v>
      </c>
      <c r="C18" s="23"/>
      <c r="D18" s="23">
        <f t="shared" ref="D18:M18" si="1">D14*D16</f>
        <v>6.4370934806706739</v>
      </c>
      <c r="E18" s="23">
        <f t="shared" si="1"/>
        <v>27.479279386591763</v>
      </c>
      <c r="F18" s="23"/>
      <c r="G18" s="23">
        <f t="shared" si="1"/>
        <v>10242.712303403079</v>
      </c>
      <c r="H18" s="23">
        <f t="shared" si="1"/>
        <v>2118.9274515350608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4.059047921690948E-3</v>
      </c>
      <c r="H50" s="321">
        <f t="shared" si="2"/>
        <v>0</v>
      </c>
      <c r="I50" s="321">
        <f t="shared" si="2"/>
        <v>0</v>
      </c>
      <c r="J50" s="321">
        <f t="shared" si="2"/>
        <v>0</v>
      </c>
      <c r="K50" s="321">
        <f t="shared" si="2"/>
        <v>0</v>
      </c>
      <c r="L50" s="321">
        <f t="shared" si="2"/>
        <v>0</v>
      </c>
      <c r="M50" s="321">
        <f t="shared" si="2"/>
        <v>1.2590258570154792E-4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4.059047921690948E-3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1.2590258570154792E-4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1127.5133115808189</v>
      </c>
      <c r="H54" s="21">
        <f t="shared" si="3"/>
        <v>0</v>
      </c>
      <c r="I54" s="21">
        <f t="shared" si="3"/>
        <v>0</v>
      </c>
      <c r="J54" s="21">
        <f t="shared" si="3"/>
        <v>0</v>
      </c>
      <c r="K54" s="21">
        <f t="shared" si="3"/>
        <v>0</v>
      </c>
      <c r="L54" s="21">
        <f t="shared" si="3"/>
        <v>0</v>
      </c>
      <c r="M54" s="21">
        <f t="shared" si="3"/>
        <v>34.972940472652198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0.20449714523119378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301.04605419207866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5382.9504555740068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24102</v>
      </c>
      <c r="C8" s="570">
        <f>B101</f>
        <v>28355.294117647059</v>
      </c>
      <c r="D8" s="1043"/>
      <c r="E8" s="1043">
        <f>E101</f>
        <v>0</v>
      </c>
      <c r="F8" s="1044"/>
      <c r="G8" s="571"/>
      <c r="H8" s="1043">
        <f>I101</f>
        <v>0</v>
      </c>
      <c r="I8" s="1043">
        <f>G101+F101</f>
        <v>0</v>
      </c>
      <c r="J8" s="1043">
        <f>H101+D101+C101</f>
        <v>0</v>
      </c>
      <c r="K8" s="1043"/>
      <c r="L8" s="1043"/>
      <c r="M8" s="1043"/>
      <c r="N8" s="572"/>
      <c r="O8" s="573">
        <f>C8*$C$12+D8*$D$12+E8*$E$12+F8*$F$12+G8*$G$12+H8*$H$12+I8*$I$12+J8*$J$12</f>
        <v>5727.7694117647061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29484.950455574006</v>
      </c>
      <c r="C10" s="583">
        <f t="shared" ref="C10:L10" si="0">SUM(C8:C9)</f>
        <v>28355.294117647059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5727.7694117647061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34431.428571428572</v>
      </c>
      <c r="C17" s="595">
        <f>B102</f>
        <v>40507.563025210089</v>
      </c>
      <c r="D17" s="596"/>
      <c r="E17" s="596">
        <f>E102</f>
        <v>0</v>
      </c>
      <c r="F17" s="1049"/>
      <c r="G17" s="597"/>
      <c r="H17" s="595">
        <f>I102</f>
        <v>0</v>
      </c>
      <c r="I17" s="596">
        <f>G102+F102</f>
        <v>0</v>
      </c>
      <c r="J17" s="596">
        <f>H102+D102+C102</f>
        <v>0</v>
      </c>
      <c r="K17" s="596"/>
      <c r="L17" s="596"/>
      <c r="M17" s="596"/>
      <c r="N17" s="1050"/>
      <c r="O17" s="598">
        <f>C17*$C$22+E17*$E$22+H17*$H$22+I17*$I$22+J17*$J$22+D17*$D$22+F17*$F$22+G17*$G$22+K17*$K$22+L17*$L$22</f>
        <v>8182.5277310924384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34431.428571428572</v>
      </c>
      <c r="C20" s="582">
        <f>SUM(C17:C19)</f>
        <v>40507.563025210089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8182.5277310924384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35006</v>
      </c>
      <c r="C28" s="796">
        <v>8480</v>
      </c>
      <c r="D28" s="653" t="s">
        <v>890</v>
      </c>
      <c r="E28" s="652" t="s">
        <v>891</v>
      </c>
      <c r="F28" s="652" t="s">
        <v>892</v>
      </c>
      <c r="G28" s="652" t="s">
        <v>893</v>
      </c>
      <c r="H28" s="652" t="s">
        <v>894</v>
      </c>
      <c r="I28" s="652" t="s">
        <v>891</v>
      </c>
      <c r="J28" s="795">
        <v>41992</v>
      </c>
      <c r="K28" s="795">
        <v>39995</v>
      </c>
      <c r="L28" s="652" t="s">
        <v>895</v>
      </c>
      <c r="M28" s="652">
        <v>5356</v>
      </c>
      <c r="N28" s="652">
        <v>24102</v>
      </c>
      <c r="O28" s="652">
        <v>34431.428571428572</v>
      </c>
      <c r="P28" s="652">
        <v>68862.857142857145</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5356</v>
      </c>
      <c r="N58" s="610">
        <f>SUM(N28:N57)</f>
        <v>24102</v>
      </c>
      <c r="O58" s="610">
        <f t="shared" ref="O58:W58" si="2">SUM(O28:O57)</f>
        <v>34431.428571428572</v>
      </c>
      <c r="P58" s="610">
        <f t="shared" si="2"/>
        <v>68862.857142857145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5356</v>
      </c>
      <c r="N61" s="615">
        <f t="shared" si="4"/>
        <v>24102</v>
      </c>
      <c r="O61" s="615">
        <f t="shared" si="4"/>
        <v>34431.428571428572</v>
      </c>
      <c r="P61" s="615">
        <f t="shared" si="4"/>
        <v>68862.857142857145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28355.294117647059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40507.563025210089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2019-08-12T08:24:39Z</dcterms:modified>
</cp:coreProperties>
</file>