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J8" s="1"/>
  <c r="H90" i="14"/>
  <c r="F101" i="18"/>
  <c r="B101"/>
  <c r="C8" s="1"/>
  <c r="Q88" i="14"/>
  <c r="P18"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K32" i="48"/>
  <c r="K25"/>
  <c r="K26"/>
  <c r="K28"/>
  <c r="K27"/>
  <c r="K30"/>
  <c r="K29"/>
  <c r="K31"/>
  <c r="K24"/>
  <c r="K22"/>
  <c r="B7"/>
  <c r="C24" i="14"/>
  <c r="C26" s="1"/>
  <c r="J28" i="48"/>
  <c r="J27"/>
  <c r="J32"/>
  <c r="J29"/>
  <c r="J30"/>
  <c r="J24"/>
  <c r="J31"/>
  <c r="P4"/>
  <c r="Q11" i="14"/>
  <c r="O4" i="48"/>
  <c r="P11" i="14"/>
  <c r="I28" i="48"/>
  <c r="I27"/>
  <c r="I32"/>
  <c r="I29"/>
  <c r="I25"/>
  <c r="I31"/>
  <c r="I24"/>
  <c r="I26"/>
  <c r="I22"/>
  <c r="I30"/>
  <c r="D4"/>
  <c r="D22" s="1"/>
  <c r="E11" i="14"/>
  <c r="H28" i="48"/>
  <c r="H32"/>
  <c r="H25"/>
  <c r="H29"/>
  <c r="H24"/>
  <c r="H22"/>
  <c r="H30"/>
  <c r="H26"/>
  <c r="H23"/>
  <c r="J15" i="16"/>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Q16" s="1"/>
  <c r="Q27" s="1"/>
  <c r="Q63" s="1"/>
  <c r="E9" i="48"/>
  <c r="E27" s="1"/>
  <c r="F20" i="14"/>
  <c r="F22" s="1"/>
  <c r="E20"/>
  <c r="E22" s="1"/>
  <c r="D9" i="48"/>
  <c r="D27" s="1"/>
  <c r="O5"/>
  <c r="O23" s="1"/>
  <c r="P10" i="14"/>
  <c r="K24"/>
  <c r="K26" s="1"/>
  <c r="J7" i="48"/>
  <c r="J25" s="1"/>
  <c r="C20" i="14"/>
  <c r="B9" i="48"/>
  <c r="P15"/>
  <c r="P22"/>
  <c r="P33" s="1"/>
  <c r="F4"/>
  <c r="F22" s="1"/>
  <c r="G11" i="14"/>
  <c r="I5" i="48"/>
  <c r="J10" i="14"/>
  <c r="J16" s="1"/>
  <c r="J27" s="1"/>
  <c r="M12" i="22"/>
  <c r="M13" i="48"/>
  <c r="M31" s="1"/>
  <c r="N18" i="14"/>
  <c r="O22" i="48"/>
  <c r="G13"/>
  <c r="H18" i="14"/>
  <c r="H13" i="48"/>
  <c r="H31" s="1"/>
  <c r="I18" i="14"/>
  <c r="K23" i="48"/>
  <c r="K15"/>
  <c r="K33"/>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K11"/>
  <c r="J4" i="48"/>
  <c r="E7"/>
  <c r="E25" s="1"/>
  <c r="F24" i="14"/>
  <c r="F26" s="1"/>
  <c r="M9" i="48"/>
  <c r="N20" i="14"/>
  <c r="O22" i="16"/>
  <c r="P43" i="14" s="1"/>
  <c r="P46" s="1"/>
  <c r="P61" s="1"/>
  <c r="P63" s="1"/>
  <c r="O8" i="48"/>
  <c r="P13" i="14"/>
  <c r="I20"/>
  <c r="H9" i="48"/>
  <c r="M10"/>
  <c r="M28" s="1"/>
  <c r="N19" i="14"/>
  <c r="G10" i="48"/>
  <c r="H19" i="14"/>
  <c r="R19" s="1"/>
  <c r="G31" i="48"/>
  <c r="Q13"/>
  <c r="R18" i="14"/>
  <c r="I23" i="48"/>
  <c r="I33" s="1"/>
  <c r="I15"/>
  <c r="J63" i="14"/>
  <c r="I22"/>
  <c r="I27" s="1"/>
  <c r="G14" i="22"/>
  <c r="N22" i="14"/>
  <c r="N27" s="1"/>
  <c r="P16"/>
  <c r="P27" s="1"/>
  <c r="C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E22" i="48" l="1"/>
  <c r="Q4"/>
  <c r="O26"/>
  <c r="O33" s="1"/>
  <c r="O15"/>
  <c r="H20" i="14"/>
  <c r="R20" s="1"/>
  <c r="R22" s="1"/>
  <c r="G9" i="48"/>
  <c r="J22"/>
  <c r="E5"/>
  <c r="E23" s="1"/>
  <c r="F10" i="14"/>
  <c r="H27" i="48"/>
  <c r="H33" s="1"/>
  <c r="H15"/>
  <c r="J5"/>
  <c r="J23" s="1"/>
  <c r="K10" i="14"/>
  <c r="M27" i="48"/>
  <c r="M33" s="1"/>
  <c r="M15"/>
  <c r="G28"/>
  <c r="Q10"/>
  <c r="I63" i="14"/>
  <c r="H22"/>
  <c r="H27" s="1"/>
  <c r="Q7" i="48"/>
  <c r="E20" i="15"/>
  <c r="F40" i="14" s="1"/>
  <c r="J18" i="16"/>
  <c r="E18"/>
  <c r="F18"/>
  <c r="F22" s="1"/>
  <c r="G43" i="14" s="1"/>
  <c r="N18" i="16"/>
  <c r="G18" i="22"/>
  <c r="H50" i="14" s="1"/>
  <c r="H52" s="1"/>
  <c r="H61" s="1"/>
  <c r="H63" s="1"/>
  <c r="H18" i="22"/>
  <c r="I50" i="14" s="1"/>
  <c r="I52" s="1"/>
  <c r="I61" s="1"/>
  <c r="E8" i="48" l="1"/>
  <c r="E26" s="1"/>
  <c r="F13" i="14"/>
  <c r="G27" i="48"/>
  <c r="G33" s="1"/>
  <c r="G15"/>
  <c r="Q9"/>
  <c r="J22" i="16"/>
  <c r="K43" i="14" s="1"/>
  <c r="K46" s="1"/>
  <c r="K61" s="1"/>
  <c r="J8" i="48"/>
  <c r="J26" s="1"/>
  <c r="K13" i="14"/>
  <c r="K16" s="1"/>
  <c r="K27" s="1"/>
  <c r="F16"/>
  <c r="F27" s="1"/>
  <c r="E22" i="16"/>
  <c r="F43" i="14" s="1"/>
  <c r="J15" i="48"/>
  <c r="F46" i="14"/>
  <c r="F61" s="1"/>
  <c r="F63" s="1"/>
  <c r="J33" i="48"/>
  <c r="E33"/>
  <c r="E15"/>
  <c r="N8"/>
  <c r="N26" s="1"/>
  <c r="O13" i="14"/>
  <c r="N22" i="16"/>
  <c r="O43" i="14" s="1"/>
  <c r="G13"/>
  <c r="R13" s="1"/>
  <c r="F8" i="48"/>
  <c r="K63" i="14" l="1"/>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<sst xmlns="http://schemas.openxmlformats.org/spreadsheetml/2006/main" count="2419" uniqueCount="905">
  <si>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</si>
  <si>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</si>
  <si>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</si>
  <si>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</si>
  <si>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</si>
  <si>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</si>
  <si>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</si>
  <si>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</si>
  <si>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</si>
  <si>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</si>
  <si>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</si>
  <si>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</si>
  <si>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</si>
  <si>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</si>
  <si>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</si>
  <si>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</si>
  <si>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</si>
  <si>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</si>
  <si>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</si>
  <si>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</si>
  <si>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</si>
  <si>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</si>
  <si>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</si>
  <si>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</si>
  <si>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</si>
  <si>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</si>
  <si>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</si>
  <si>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</si>
  <si>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</si>
  <si>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</si>
  <si>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</si>
  <si>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</si>
  <si>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</si>
  <si>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</si>
  <si>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</si>
  <si>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</si>
  <si>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</si>
  <si>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</si>
  <si>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</si>
  <si>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</si>
  <si>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</si>
  <si>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</si>
  <si>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</si>
  <si>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</si>
  <si>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</si>
  <si>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</si>
  <si>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</si>
  <si>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</si>
  <si>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</si>
  <si>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</si>
  <si>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</si>
  <si>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</si>
  <si>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</si>
  <si>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</si>
  <si>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</si>
  <si>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</si>
  <si>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</si>
  <si>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</si>
  <si>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</si>
  <si>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</si>
  <si>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</si>
  <si>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</si>
  <si>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</si>
  <si>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</si>
  <si>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</si>
  <si>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</si>
  <si>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</si>
  <si>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</si>
  <si>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</si>
  <si>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</si>
  <si>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</si>
  <si>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</si>
  <si>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</si>
  <si>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</si>
  <si>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</si>
  <si>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</si>
  <si>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</si>
  <si>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</si>
  <si>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</si>
  <si>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</si>
  <si>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</si>
  <si>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</si>
  <si>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</si>
  <si>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</si>
  <si>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</si>
  <si>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</si>
  <si>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</si>
  <si>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</si>
  <si>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</si>
  <si>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</si>
  <si>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</si>
  <si>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</si>
  <si>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</si>
  <si>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</si>
  <si>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</si>
  <si>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</si>
  <si>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</si>
  <si>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</si>
  <si>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</si>
  <si>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</si>
  <si>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</si>
  <si>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</si>
  <si>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</si>
  <si>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</si>
  <si>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</si>
  <si>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</si>
  <si>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</si>
  <si>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</si>
  <si>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</si>
  <si>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</si>
  <si>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</si>
  <si>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</si>
  <si>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</si>
  <si>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</si>
  <si>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</si>
  <si>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</si>
  <si>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</si>
  <si>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</si>
  <si>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</si>
  <si>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</si>
  <si>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</si>
  <si>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</si>
  <si>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</si>
  <si>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</si>
  <si>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</si>
  <si>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</si>
  <si>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</si>
  <si>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</si>
  <si>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</si>
  <si>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</si>
  <si>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</si>
  <si>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</si>
  <si>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</si>
  <si>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</si>
  <si>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</si>
  <si>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</si>
  <si>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</si>
  <si>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</si>
  <si>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</si>
  <si>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</si>
  <si>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</si>
  <si>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</si>
  <si>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</si>
  <si>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</si>
  <si>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</si>
  <si>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</si>
  <si>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</si>
  <si>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</si>
  <si>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</si>
  <si>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</si>
  <si>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</si>
  <si>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</si>
  <si>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</si>
  <si>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</si>
  <si>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</si>
  <si>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</si>
  <si>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</si>
  <si>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</si>
  <si>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</si>
  <si>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</si>
  <si>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</si>
  <si>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</si>
  <si>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</si>
  <si>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</si>
  <si>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</si>
  <si>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</si>
  <si>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</si>
  <si>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</si>
  <si>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</si>
  <si>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</si>
  <si>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</si>
  <si>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</si>
  <si>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</si>
  <si>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</si>
  <si>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</si>
  <si>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</si>
  <si>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</si>
  <si>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</si>
  <si>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</si>
  <si>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</si>
  <si>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</si>
  <si>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</si>
  <si>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</si>
  <si>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</si>
  <si>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</si>
  <si>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</si>
  <si>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</si>
  <si>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</si>
  <si>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</si>
  <si>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</si>
  <si>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</si>
  <si>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</si>
  <si>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</si>
  <si>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</si>
  <si>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</si>
  <si>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</si>
  <si>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</si>
  <si>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</si>
  <si>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</si>
  <si>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</si>
  <si>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</si>
  <si>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</si>
  <si>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</si>
  <si>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</si>
  <si>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</si>
  <si>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</si>
  <si>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</si>
  <si>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</si>
  <si>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</si>
  <si>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</si>
  <si>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</si>
  <si>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</si>
  <si>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</si>
  <si>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</si>
  <si>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</si>
  <si>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</si>
  <si>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</si>
  <si>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</si>
  <si>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</si>
  <si>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</si>
  <si>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</si>
  <si>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</si>
  <si>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</si>
  <si>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</si>
  <si>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</si>
  <si>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</si>
  <si>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</si>
  <si>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</si>
  <si>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</si>
  <si>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</si>
  <si>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</si>
  <si>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</si>
  <si>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</si>
  <si>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</si>
  <si>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</si>
  <si>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</si>
  <si>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</si>
  <si>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</si>
  <si>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</si>
  <si>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</si>
  <si>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</si>
  <si>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</si>
  <si>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</si>
  <si>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</si>
  <si>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</si>
  <si>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</si>
  <si>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</si>
  <si>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</si>
  <si>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</si>
  <si>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</si>
  <si>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</si>
  <si>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</si>
  <si>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</si>
  <si>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</si>
  <si>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</si>
  <si>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</si>
  <si>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</si>
  <si>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</si>
  <si>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</si>
  <si>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</si>
  <si>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</si>
  <si>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</si>
  <si>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</si>
  <si>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</si>
  <si>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</si>
  <si>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</si>
  <si>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</si>
  <si>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</si>
  <si>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</si>
  <si>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</si>
  <si>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</si>
  <si>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</si>
  <si>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</si>
  <si>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</si>
  <si>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</si>
  <si>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</si>
  <si>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</si>
  <si>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</si>
  <si>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</si>
  <si>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</si>
  <si>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</si>
  <si>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</si>
  <si>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</si>
  <si>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</si>
  <si>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</si>
  <si>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</si>
  <si>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</si>
  <si>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</si>
  <si>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</si>
  <si>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</si>
  <si>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</si>
  <si>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</si>
  <si>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</si>
  <si>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</si>
  <si>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</si>
  <si>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</si>
  <si>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</si>
  <si>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</si>
  <si>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</si>
  <si>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</si>
  <si>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</si>
  <si>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</si>
  <si>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</si>
  <si>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</si>
  <si>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</si>
  <si>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</si>
  <si>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</si>
  <si>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</si>
  <si>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</si>
  <si>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</si>
  <si>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</si>
  <si>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</si>
  <si>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</si>
  <si>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</si>
  <si>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</si>
  <si>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</si>
  <si>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</si>
  <si>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</si>
  <si>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</si>
  <si>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</si>
  <si>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</si>
  <si>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</si>
  <si>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</si>
  <si>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</si>
  <si>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</si>
  <si>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</si>
  <si>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</si>
  <si>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</si>
  <si>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</si>
  <si>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</si>
  <si>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</si>
  <si>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</si>
  <si>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</si>
  <si>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</si>
  <si>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</si>
  <si>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</si>
  <si>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</si>
  <si>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</si>
  <si>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</si>
  <si>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</si>
  <si>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</si>
  <si>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</si>
  <si>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</si>
  <si>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</si>
  <si>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</si>
  <si>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</si>
  <si>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</si>
  <si>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</si>
  <si>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</si>
  <si>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</si>
  <si>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</si>
  <si>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</si>
  <si>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</si>
  <si>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</si>
  <si>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</si>
  <si>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</si>
  <si>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</si>
  <si>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</si>
  <si>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</si>
  <si>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</si>
  <si>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</si>
  <si>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</si>
  <si>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</si>
  <si>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</si>
  <si>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</si>
  <si>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</si>
  <si>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</si>
  <si>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</si>
  <si>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</si>
  <si>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</si>
  <si>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</si>
  <si>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</si>
  <si>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</si>
  <si>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</si>
  <si>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</si>
  <si>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</si>
  <si>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</si>
  <si>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</si>
  <si>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</si>
  <si>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</si>
  <si>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</si>
  <si>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</si>
  <si>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</si>
  <si>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</si>
  <si>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</si>
  <si>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</si>
  <si>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</si>
  <si>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</si>
  <si>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</si>
  <si>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</si>
  <si>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</si>
  <si>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</si>
  <si>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</si>
  <si>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</si>
  <si>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</si>
  <si>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</si>
  <si>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</si>
  <si>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</si>
  <si>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</si>
  <si>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</si>
  <si>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</si>
  <si>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</si>
  <si>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</si>
  <si>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</si>
  <si>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</si>
  <si>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</si>
  <si>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</si>
  <si>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</si>
  <si>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</si>
  <si>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</si>
  <si>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</si>
  <si>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</si>
  <si>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</si>
  <si>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</si>
  <si>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</si>
  <si>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</si>
  <si>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</si>
  <si>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</si>
  <si>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</si>
  <si>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</si>
  <si>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</si>
  <si>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</si>
  <si>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</si>
  <si>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</si>
  <si>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</si>
  <si>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</si>
  <si>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</si>
  <si>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</si>
  <si>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</si>
  <si>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</si>
  <si>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</si>
  <si>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</si>
  <si>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</si>
  <si>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</si>
  <si>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</si>
  <si>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</si>
  <si>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</si>
  <si>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</si>
  <si>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</si>
  <si>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</si>
  <si>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</si>
  <si>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</si>
  <si>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</si>
  <si>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</si>
  <si>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</si>
  <si>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</si>
  <si>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</si>
  <si>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</si>
  <si>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</si>
  <si>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</si>
  <si>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</si>
  <si>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</si>
  <si>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</si>
  <si>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</si>
  <si>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</si>
  <si>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</si>
  <si>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</si>
  <si>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</si>
  <si>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</si>
  <si>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</si>
  <si>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</si>
  <si>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</si>
  <si>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</si>
  <si>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</si>
  <si>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</si>
  <si>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</si>
  <si>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</si>
  <si>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</si>
  <si>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</si>
  <si>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</si>
  <si>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</si>
  <si>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</si>
  <si>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</si>
  <si>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</si>
  <si>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</si>
  <si>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</si>
  <si>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</si>
  <si>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</si>
  <si>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</si>
  <si>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</si>
  <si>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</si>
  <si>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</si>
  <si>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</si>
  <si>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</si>
  <si>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</si>
  <si>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</si>
  <si>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</si>
  <si>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</si>
  <si>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</si>
  <si>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</si>
  <si>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</si>
  <si>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</si>
  <si>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</si>
  <si>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</si>
  <si>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</si>
  <si>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</si>
  <si>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</si>
  <si>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</si>
  <si>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</si>
  <si>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</si>
  <si>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</si>
  <si>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</si>
  <si>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</si>
  <si>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</si>
  <si>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</si>
  <si>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</si>
  <si>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</si>
  <si>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</si>
  <si>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</si>
  <si>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</si>
  <si>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</si>
  <si>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</si>
  <si>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</si>
  <si>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</si>
  <si>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</si>
  <si>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</si>
  <si>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</si>
  <si>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</si>
  <si>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</si>
  <si>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</si>
  <si>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</si>
  <si>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</si>
  <si>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</si>
  <si>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</si>
  <si>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</si>
  <si>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</si>
  <si>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</si>
  <si>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</si>
  <si>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</si>
  <si>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</si>
  <si>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</si>
  <si>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</si>
  <si>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</si>
  <si>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</si>
  <si>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</si>
  <si>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</si>
  <si>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</si>
  <si>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</si>
  <si>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</si>
  <si>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</si>
  <si>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</si>
  <si>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</si>
  <si>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</si>
  <si>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</si>
  <si>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</si>
  <si>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</si>
  <si>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</si>
  <si>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</si>
  <si>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</si>
  <si>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</si>
  <si>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</si>
  <si>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</si>
  <si>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</si>
  <si>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</si>
  <si>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</si>
  <si>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</si>
  <si>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</si>
  <si>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</si>
  <si>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</si>
  <si>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</si>
  <si>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</si>
  <si>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</si>
  <si>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</si>
  <si>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</si>
  <si>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</si>
  <si>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</si>
  <si>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</si>
  <si>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</si>
  <si>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</si>
  <si>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</si>
  <si>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</si>
  <si>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</si>
  <si>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</si>
  <si>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</si>
  <si>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</si>
  <si>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</si>
  <si>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</si>
  <si>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</si>
  <si>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</si>
  <si>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</si>
  <si>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</si>
  <si>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</si>
  <si>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</si>
  <si>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</si>
  <si>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</si>
  <si>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</si>
  <si>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</si>
  <si>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</si>
  <si>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</si>
  <si>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</si>
  <si>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</si>
  <si>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</si>
  <si>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</si>
  <si>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</si>
  <si>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</si>
  <si>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</si>
  <si>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</si>
  <si>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</si>
  <si>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</si>
  <si>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</si>
  <si>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</si>
  <si>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</si>
  <si>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</si>
  <si>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</si>
  <si>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</si>
  <si>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</si>
  <si>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</si>
  <si>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</si>
  <si>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</si>
  <si>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</si>
  <si>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</si>
  <si>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</si>
  <si>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</si>
  <si>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</si>
  <si>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</si>
  <si>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</si>
  <si>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</si>
  <si>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</si>
  <si>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</si>
  <si>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</si>
  <si>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</si>
  <si>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</si>
  <si>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</si>
  <si>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</si>
  <si>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</si>
  <si>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</si>
  <si>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</si>
  <si>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</si>
  <si>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</si>
  <si>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</si>
  <si>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</si>
  <si>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</si>
  <si>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</si>
  <si>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</si>
  <si>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</si>
  <si>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</si>
  <si>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</si>
  <si>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</si>
  <si>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</si>
  <si>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</si>
  <si>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</si>
  <si>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</si>
  <si>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</si>
  <si>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</si>
  <si>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</si>
  <si>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</si>
  <si>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</si>
  <si>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</si>
  <si>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</si>
  <si>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</si>
  <si>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</si>
  <si>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</si>
  <si>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</si>
  <si>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</si>
  <si>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</si>
  <si>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</si>
  <si>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</si>
  <si>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</si>
  <si>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</si>
  <si>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</si>
  <si>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</si>
  <si>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</si>
  <si>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</si>
  <si>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</si>
  <si>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</si>
  <si>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</si>
  <si>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</si>
  <si>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</si>
  <si>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</si>
  <si>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</si>
  <si>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</si>
  <si>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</si>
  <si>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</si>
  <si>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</si>
  <si>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</si>
  <si>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</si>
  <si>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</si>
  <si>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</si>
  <si>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</si>
  <si>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</si>
  <si>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</si>
  <si>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</si>
  <si>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</si>
  <si>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</si>
  <si>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</si>
  <si>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</si>
  <si>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</si>
  <si>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</si>
  <si>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</si>
  <si>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</si>
  <si>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</si>
  <si>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</si>
  <si>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</si>
  <si>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</si>
  <si>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</si>
  <si>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</si>
  <si>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</si>
  <si>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</si>
  <si>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</si>
  <si>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</si>
  <si>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</si>
  <si>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</si>
  <si>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</si>
  <si>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</si>
  <si>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</si>
  <si>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</si>
  <si>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</si>
  <si>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</si>
  <si>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</si>
  <si>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</si>
  <si>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</si>
  <si>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</si>
  <si>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</si>
  <si>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</si>
  <si>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</si>
  <si>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</si>
  <si>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</si>
  <si>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</si>
  <si>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</si>
  <si>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</si>
  <si>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</si>
  <si>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</si>
  <si>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</si>
  <si>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</si>
  <si>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</si>
  <si>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</si>
  <si>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</si>
  <si>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</si>
  <si>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</si>
  <si>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</si>
  <si>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</si>
  <si>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</si>
  <si>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</si>
  <si>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</si>
  <si>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</si>
  <si>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</si>
  <si>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</si>
  <si>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</si>
  <si>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</si>
  <si>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</si>
  <si>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</si>
  <si>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</si>
  <si>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</si>
  <si>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</si>
  <si>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</si>
  <si>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</si>
  <si>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</si>
  <si>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</si>
  <si>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</si>
  <si>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</si>
  <si>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</si>
  <si>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</si>
  <si>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</si>
  <si>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</si>
  <si>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</si>
  <si>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</si>
  <si>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</si>
  <si>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</si>
  <si>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</si>
  <si>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</si>
  <si>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</si>
  <si>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</si>
  <si>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</si>
  <si>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</si>
  <si>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</si>
  <si>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</si>
  <si>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</si>
  <si>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</si>
  <si>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</si>
  <si>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</si>
  <si>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</si>
  <si>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</si>
  <si>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</si>
  <si>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</si>
  <si>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</si>
  <si>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</si>
  <si>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</si>
  <si>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</si>
  <si>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</si>
  <si>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</si>
  <si>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</si>
  <si>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</si>
  <si>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</si>
  <si>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</si>
  <si>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</si>
  <si>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</si>
  <si>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</si>
  <si>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</si>
  <si>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</si>
  <si>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</si>
  <si>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</si>
  <si>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</si>
  <si>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</si>
  <si>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</si>
  <si>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</si>
  <si>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</si>
  <si>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</si>
  <si>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</si>
  <si>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</si>
  <si>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</si>
  <si>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</si>
  <si>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</si>
  <si>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</si>
  <si>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</si>
  <si>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</si>
  <si>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</si>
  <si>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</si>
  <si>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</si>
  <si>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</si>
  <si>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</si>
  <si>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</si>
  <si>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</si>
  <si>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</si>
  <si>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</si>
  <si>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</si>
  <si>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</si>
  <si>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</si>
  <si>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</si>
  <si>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</si>
  <si>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</si>
  <si>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</si>
  <si>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</si>
  <si>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</si>
  <si>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</si>
  <si>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</si>
  <si>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</si>
  <si>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</si>
  <si>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</si>
  <si>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</si>
  <si>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</si>
  <si>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</si>
  <si>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</si>
  <si>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</si>
  <si>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</si>
  <si>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</si>
  <si>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</si>
  <si>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</si>
  <si>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</si>
  <si>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</si>
  <si>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</si>
  <si>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</si>
  <si>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</si>
  <si>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</si>
  <si>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</si>
  <si>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</si>
  <si>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</si>
  <si>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</si>
  <si>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</si>
  <si>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</si>
  <si>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</si>
  <si>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</si>
  <si>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</si>
  <si>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</si>
  <si>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</si>
  <si>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</si>
  <si>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</si>
  <si>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</si>
  <si>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</si>
  <si>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</si>
  <si>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</si>
  <si>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</si>
  <si>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</si>
  <si>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</si>
  <si>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</si>
  <si>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</si>
  <si>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</si>
  <si>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</si>
  <si>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</si>
  <si>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</si>
  <si>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</si>
  <si>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</si>
  <si>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</si>
  <si>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</si>
  <si>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</si>
  <si>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</si>
  <si>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</si>
  <si>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</si>
  <si>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</si>
  <si>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</si>
  <si>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</si>
  <si>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</si>
  <si>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</si>
  <si>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35005</t>
  </si>
  <si>
    <t>GISTEL</t>
  </si>
  <si>
    <t>Paarden&amp;pony's 200 - 600 kg</t>
  </si>
  <si>
    <t>Paarden&amp;pony's &lt; 200 kg</t>
  </si>
  <si>
    <t>referentietaak LNE (2017); Jaarverslag De Lijn (2015)</t>
  </si>
  <si>
    <t>op basis van VEA (maart 2018) en Inventaris Hernieuwbare Energiebronnen (juni 2018)</t>
  </si>
  <si>
    <t>VEA (januari 2017)</t>
  </si>
  <si>
    <t>VEA (juni 2018)</t>
  </si>
  <si>
    <t>De Bazelaar GCV</t>
  </si>
  <si>
    <t>Zevekotestraat 107 , 8470 Zevekote</t>
  </si>
  <si>
    <t>WKK-0461 De Bazelaar</t>
  </si>
  <si>
    <t>interne verbrandingsmotor</t>
  </si>
  <si>
    <t>WKK interne verbrandinsgmotor (gas)</t>
  </si>
  <si>
    <t>Infrax West</t>
  </si>
  <si>
    <t>Ivaco cvba</t>
  </si>
  <si>
    <t>Muizeveld 7, 8470 Gistel</t>
  </si>
  <si>
    <t>WKK-0529 Ivaco</t>
  </si>
  <si>
    <t>Bazelaar 1 , 8470 Gistel</t>
  </si>
  <si>
    <t>A.K. Gistel bvba</t>
  </si>
  <si>
    <t>Nieuwpoortse Steenweg 195 B, 8470 Gistel</t>
  </si>
  <si>
    <t>BMS-0031 A.K. Gistel Plantenolie</t>
  </si>
  <si>
    <t>biomassa uit land- of bosbouw</t>
  </si>
  <si>
    <t>niet WKK interne verbrandingsmotor (vloeibaar)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</si>
</sst>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84815.808381960116</c:v>
                </c:pt>
                <c:pt idx="1">
                  <c:v>28292.963883348817</c:v>
                </c:pt>
                <c:pt idx="2">
                  <c:v>1073.998</c:v>
                </c:pt>
                <c:pt idx="3">
                  <c:v>12449.383318439975</c:v>
                </c:pt>
                <c:pt idx="4">
                  <c:v>14204.177999871377</c:v>
                </c:pt>
                <c:pt idx="5">
                  <c:v>186949.75597800134</c:v>
                </c:pt>
                <c:pt idx="6">
                  <c:v>1421.4858541211074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84815.808381960116</c:v>
                </c:pt>
                <c:pt idx="1">
                  <c:v>28292.963883348817</c:v>
                </c:pt>
                <c:pt idx="2">
                  <c:v>1073.998</c:v>
                </c:pt>
                <c:pt idx="3">
                  <c:v>12449.383318439975</c:v>
                </c:pt>
                <c:pt idx="4">
                  <c:v>14204.177999871377</c:v>
                </c:pt>
                <c:pt idx="5">
                  <c:v>186949.75597800134</c:v>
                </c:pt>
                <c:pt idx="6">
                  <c:v>1421.4858541211074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11341.818258001364</c:v>
                </c:pt>
                <c:pt idx="2">
                  <c:v>3966.0123494194659</c:v>
                </c:pt>
                <c:pt idx="3">
                  <c:v>52.899205143031189</c:v>
                </c:pt>
                <c:pt idx="4">
                  <c:v>2749.9784730240608</c:v>
                </c:pt>
                <c:pt idx="5">
                  <c:v>2156.1382228766497</c:v>
                </c:pt>
                <c:pt idx="6">
                  <c:v>47981.692824725324</c:v>
                </c:pt>
                <c:pt idx="7">
                  <c:v>368.11851040568899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36352"/>
        <c:axId val="184087296"/>
      </c:barChart>
      <c:catAx>
        <c:axId val="184036352"/>
        <c:scaling>
          <c:orientation val="minMax"/>
        </c:scaling>
        <c:axPos val="b"/>
        <c:numFmt formatCode="General" sourceLinked="0"/>
        <c:tickLblPos val="nextTo"/>
        <c:crossAx val="184087296"/>
        <c:crosses val="autoZero"/>
        <c:auto val="1"/>
        <c:lblAlgn val="ctr"/>
        <c:lblOffset val="100"/>
      </c:catAx>
      <c:valAx>
        <c:axId val="184087296"/>
        <c:scaling>
          <c:orientation val="minMax"/>
        </c:scaling>
        <c:axPos val="l"/>
        <c:majorGridlines/>
        <c:numFmt formatCode="#,##0" sourceLinked="1"/>
        <c:tickLblPos val="nextTo"/>
        <c:crossAx val="18403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11341.818258001364</c:v>
                </c:pt>
                <c:pt idx="2">
                  <c:v>3966.0123494194659</c:v>
                </c:pt>
                <c:pt idx="3">
                  <c:v>52.899205143031189</c:v>
                </c:pt>
                <c:pt idx="4">
                  <c:v>2749.9784730240608</c:v>
                </c:pt>
                <c:pt idx="5">
                  <c:v>2156.1382228766497</c:v>
                </c:pt>
                <c:pt idx="6">
                  <c:v>47981.692824725324</c:v>
                </c:pt>
                <c:pt idx="7">
                  <c:v>368.11851040568899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35005</v>
      </c>
      <c r="B6" s="415"/>
      <c r="C6" s="416"/>
    </row>
    <row r="7" spans="1:7" s="413" customFormat="1" ht="15.75" customHeight="1">
      <c r="A7" s="417" t="str">
        <f>txtMunicipality</f>
        <v>GISTEL</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4.9254472674093608E-2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4.9254472674093608E-2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4910</v>
      </c>
      <c r="C9" s="342">
        <v>5156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3142.65</v>
      </c>
    </row>
    <row r="15" spans="1:6">
      <c r="A15" s="348" t="s">
        <v>184</v>
      </c>
      <c r="B15" s="334">
        <v>41</v>
      </c>
    </row>
    <row r="16" spans="1:6">
      <c r="A16" s="348" t="s">
        <v>6</v>
      </c>
      <c r="B16" s="334">
        <v>1585</v>
      </c>
    </row>
    <row r="17" spans="1:6">
      <c r="A17" s="348" t="s">
        <v>7</v>
      </c>
      <c r="B17" s="334">
        <v>786</v>
      </c>
    </row>
    <row r="18" spans="1:6">
      <c r="A18" s="348" t="s">
        <v>8</v>
      </c>
      <c r="B18" s="334">
        <v>1501</v>
      </c>
    </row>
    <row r="19" spans="1:6">
      <c r="A19" s="348" t="s">
        <v>9</v>
      </c>
      <c r="B19" s="334">
        <v>1406</v>
      </c>
    </row>
    <row r="20" spans="1:6">
      <c r="A20" s="348" t="s">
        <v>10</v>
      </c>
      <c r="B20" s="334">
        <v>961</v>
      </c>
    </row>
    <row r="21" spans="1:6">
      <c r="A21" s="348" t="s">
        <v>11</v>
      </c>
      <c r="B21" s="334">
        <v>8232</v>
      </c>
    </row>
    <row r="22" spans="1:6">
      <c r="A22" s="348" t="s">
        <v>12</v>
      </c>
      <c r="B22" s="334">
        <v>16417</v>
      </c>
    </row>
    <row r="23" spans="1:6">
      <c r="A23" s="348" t="s">
        <v>13</v>
      </c>
      <c r="B23" s="334">
        <v>139</v>
      </c>
    </row>
    <row r="24" spans="1:6">
      <c r="A24" s="348" t="s">
        <v>14</v>
      </c>
      <c r="B24" s="334">
        <v>7</v>
      </c>
    </row>
    <row r="25" spans="1:6">
      <c r="A25" s="348" t="s">
        <v>15</v>
      </c>
      <c r="B25" s="334">
        <v>798</v>
      </c>
    </row>
    <row r="26" spans="1:6">
      <c r="A26" s="348" t="s">
        <v>16</v>
      </c>
      <c r="B26" s="334">
        <v>262</v>
      </c>
    </row>
    <row r="27" spans="1:6">
      <c r="A27" s="348" t="s">
        <v>17</v>
      </c>
      <c r="B27" s="334">
        <v>0</v>
      </c>
    </row>
    <row r="28" spans="1:6" s="356" customFormat="1">
      <c r="A28" s="355" t="s">
        <v>18</v>
      </c>
      <c r="B28" s="355">
        <v>73028</v>
      </c>
    </row>
    <row r="29" spans="1:6">
      <c r="A29" s="355" t="s">
        <v>884</v>
      </c>
      <c r="B29" s="355">
        <v>38</v>
      </c>
      <c r="C29" s="356"/>
      <c r="D29" s="356"/>
      <c r="E29" s="356"/>
      <c r="F29" s="356"/>
    </row>
    <row r="30" spans="1:6">
      <c r="A30" s="355" t="s">
        <v>885</v>
      </c>
      <c r="B30" s="341">
        <v>14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11</v>
      </c>
      <c r="F36" s="334">
        <v>119102</v>
      </c>
    </row>
    <row r="37" spans="1:6">
      <c r="A37" s="348" t="s">
        <v>25</v>
      </c>
      <c r="B37" s="348" t="s">
        <v>28</v>
      </c>
      <c r="C37" s="334">
        <v>0</v>
      </c>
      <c r="D37" s="334">
        <v>0</v>
      </c>
      <c r="E37" s="334">
        <v>0</v>
      </c>
      <c r="F37" s="334">
        <v>0</v>
      </c>
    </row>
    <row r="38" spans="1:6">
      <c r="A38" s="348" t="s">
        <v>25</v>
      </c>
      <c r="B38" s="348" t="s">
        <v>29</v>
      </c>
      <c r="C38" s="334">
        <v>0</v>
      </c>
      <c r="D38" s="334">
        <v>671831</v>
      </c>
      <c r="E38" s="334">
        <v>0</v>
      </c>
      <c r="F38" s="334">
        <v>64689</v>
      </c>
    </row>
    <row r="39" spans="1:6">
      <c r="A39" s="348" t="s">
        <v>30</v>
      </c>
      <c r="B39" s="348" t="s">
        <v>31</v>
      </c>
      <c r="C39" s="334">
        <v>3566</v>
      </c>
      <c r="D39" s="334">
        <v>51772824</v>
      </c>
      <c r="E39" s="334">
        <v>4839</v>
      </c>
      <c r="F39" s="334">
        <v>18061572</v>
      </c>
    </row>
    <row r="40" spans="1:6">
      <c r="A40" s="348" t="s">
        <v>30</v>
      </c>
      <c r="B40" s="348" t="s">
        <v>29</v>
      </c>
      <c r="C40" s="334">
        <v>0</v>
      </c>
      <c r="D40" s="334">
        <v>0</v>
      </c>
      <c r="E40" s="334">
        <v>0</v>
      </c>
      <c r="F40" s="334">
        <v>0</v>
      </c>
    </row>
    <row r="41" spans="1:6">
      <c r="A41" s="348" t="s">
        <v>32</v>
      </c>
      <c r="B41" s="348" t="s">
        <v>33</v>
      </c>
      <c r="C41" s="334">
        <v>50</v>
      </c>
      <c r="D41" s="334">
        <v>4668224</v>
      </c>
      <c r="E41" s="334">
        <v>130</v>
      </c>
      <c r="F41" s="334">
        <v>2144306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576911</v>
      </c>
      <c r="E44" s="334">
        <v>13</v>
      </c>
      <c r="F44" s="334">
        <v>428486</v>
      </c>
    </row>
    <row r="45" spans="1:6">
      <c r="A45" s="348" t="s">
        <v>32</v>
      </c>
      <c r="B45" s="348" t="s">
        <v>37</v>
      </c>
      <c r="C45" s="334">
        <v>5</v>
      </c>
      <c r="D45" s="334">
        <v>605182</v>
      </c>
      <c r="E45" s="334">
        <v>6</v>
      </c>
      <c r="F45" s="334">
        <v>791683</v>
      </c>
    </row>
    <row r="46" spans="1:6">
      <c r="A46" s="348" t="s">
        <v>32</v>
      </c>
      <c r="B46" s="348" t="s">
        <v>38</v>
      </c>
      <c r="C46" s="334">
        <v>0</v>
      </c>
      <c r="D46" s="334">
        <v>0</v>
      </c>
      <c r="E46" s="334">
        <v>0</v>
      </c>
      <c r="F46" s="334">
        <v>0</v>
      </c>
    </row>
    <row r="47" spans="1:6">
      <c r="A47" s="348" t="s">
        <v>32</v>
      </c>
      <c r="B47" s="348" t="s">
        <v>39</v>
      </c>
      <c r="C47" s="334">
        <v>7</v>
      </c>
      <c r="D47" s="334">
        <v>356735</v>
      </c>
      <c r="E47" s="334">
        <v>7</v>
      </c>
      <c r="F47" s="334">
        <v>239479</v>
      </c>
    </row>
    <row r="48" spans="1:6">
      <c r="A48" s="348" t="s">
        <v>32</v>
      </c>
      <c r="B48" s="348" t="s">
        <v>29</v>
      </c>
      <c r="C48" s="334">
        <v>0</v>
      </c>
      <c r="D48" s="334">
        <v>78310</v>
      </c>
      <c r="E48" s="334">
        <v>3</v>
      </c>
      <c r="F48" s="334">
        <v>177310</v>
      </c>
    </row>
    <row r="49" spans="1:6">
      <c r="A49" s="348" t="s">
        <v>32</v>
      </c>
      <c r="B49" s="348" t="s">
        <v>40</v>
      </c>
      <c r="C49" s="334">
        <v>0</v>
      </c>
      <c r="D49" s="334">
        <v>0</v>
      </c>
      <c r="E49" s="334">
        <v>0</v>
      </c>
      <c r="F49" s="334">
        <v>0</v>
      </c>
    </row>
    <row r="50" spans="1:6">
      <c r="A50" s="348" t="s">
        <v>32</v>
      </c>
      <c r="B50" s="348" t="s">
        <v>41</v>
      </c>
      <c r="C50" s="334">
        <v>9</v>
      </c>
      <c r="D50" s="334">
        <v>338359</v>
      </c>
      <c r="E50" s="334">
        <v>12</v>
      </c>
      <c r="F50" s="334">
        <v>288397</v>
      </c>
    </row>
    <row r="51" spans="1:6">
      <c r="A51" s="348" t="s">
        <v>42</v>
      </c>
      <c r="B51" s="348" t="s">
        <v>43</v>
      </c>
      <c r="C51" s="334">
        <v>13</v>
      </c>
      <c r="D51" s="334">
        <v>1387402</v>
      </c>
      <c r="E51" s="334">
        <v>78</v>
      </c>
      <c r="F51" s="334">
        <v>2307923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54</v>
      </c>
      <c r="F54" s="334">
        <v>1073998</v>
      </c>
    </row>
    <row r="55" spans="1:6">
      <c r="A55" s="348" t="s">
        <v>46</v>
      </c>
      <c r="B55" s="348" t="s">
        <v>29</v>
      </c>
      <c r="C55" s="334">
        <v>0</v>
      </c>
      <c r="D55" s="334">
        <v>0</v>
      </c>
      <c r="E55" s="334">
        <v>0</v>
      </c>
      <c r="F55" s="334">
        <v>0</v>
      </c>
    </row>
    <row r="56" spans="1:6">
      <c r="A56" s="348" t="s">
        <v>48</v>
      </c>
      <c r="B56" s="348" t="s">
        <v>29</v>
      </c>
      <c r="C56" s="334">
        <v>71</v>
      </c>
      <c r="D56" s="334">
        <v>969221</v>
      </c>
      <c r="E56" s="334">
        <v>133</v>
      </c>
      <c r="F56" s="334">
        <v>704883</v>
      </c>
    </row>
    <row r="57" spans="1:6">
      <c r="A57" s="348" t="s">
        <v>49</v>
      </c>
      <c r="B57" s="348" t="s">
        <v>50</v>
      </c>
      <c r="C57" s="334">
        <v>38</v>
      </c>
      <c r="D57" s="334">
        <v>2822112</v>
      </c>
      <c r="E57" s="334">
        <v>71</v>
      </c>
      <c r="F57" s="334">
        <v>2069470</v>
      </c>
    </row>
    <row r="58" spans="1:6">
      <c r="A58" s="348" t="s">
        <v>49</v>
      </c>
      <c r="B58" s="348" t="s">
        <v>51</v>
      </c>
      <c r="C58" s="334">
        <v>14</v>
      </c>
      <c r="D58" s="334">
        <v>1995768</v>
      </c>
      <c r="E58" s="334">
        <v>19</v>
      </c>
      <c r="F58" s="334">
        <v>573028</v>
      </c>
    </row>
    <row r="59" spans="1:6">
      <c r="A59" s="348" t="s">
        <v>49</v>
      </c>
      <c r="B59" s="348" t="s">
        <v>52</v>
      </c>
      <c r="C59" s="334">
        <v>86</v>
      </c>
      <c r="D59" s="334">
        <v>3277201</v>
      </c>
      <c r="E59" s="334">
        <v>187</v>
      </c>
      <c r="F59" s="334">
        <v>4084442</v>
      </c>
    </row>
    <row r="60" spans="1:6">
      <c r="A60" s="348" t="s">
        <v>49</v>
      </c>
      <c r="B60" s="348" t="s">
        <v>53</v>
      </c>
      <c r="C60" s="334">
        <v>34</v>
      </c>
      <c r="D60" s="334">
        <v>1322268</v>
      </c>
      <c r="E60" s="334">
        <v>50</v>
      </c>
      <c r="F60" s="334">
        <v>738064</v>
      </c>
    </row>
    <row r="61" spans="1:6">
      <c r="A61" s="348" t="s">
        <v>49</v>
      </c>
      <c r="B61" s="348" t="s">
        <v>54</v>
      </c>
      <c r="C61" s="334">
        <v>106</v>
      </c>
      <c r="D61" s="334">
        <v>3814133</v>
      </c>
      <c r="E61" s="334">
        <v>225</v>
      </c>
      <c r="F61" s="334">
        <v>2116186</v>
      </c>
    </row>
    <row r="62" spans="1:6">
      <c r="A62" s="348" t="s">
        <v>49</v>
      </c>
      <c r="B62" s="348" t="s">
        <v>55</v>
      </c>
      <c r="C62" s="334">
        <v>8</v>
      </c>
      <c r="D62" s="334">
        <v>1795179</v>
      </c>
      <c r="E62" s="334">
        <v>11</v>
      </c>
      <c r="F62" s="334">
        <v>437737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72673</v>
      </c>
      <c r="E68" s="334">
        <v>13</v>
      </c>
      <c r="F68" s="334">
        <v>111809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46763378</v>
      </c>
      <c r="E73" s="475">
        <v>41407394.141307347</v>
      </c>
    </row>
    <row r="74" spans="1:6">
      <c r="A74" s="348" t="s">
        <v>64</v>
      </c>
      <c r="B74" s="348" t="s">
        <v>667</v>
      </c>
      <c r="C74" s="1294" t="s">
        <v>669</v>
      </c>
      <c r="D74" s="475">
        <v>5163182.139412351</v>
      </c>
      <c r="E74" s="475">
        <v>4800868.1938447123</v>
      </c>
    </row>
    <row r="75" spans="1:6">
      <c r="A75" s="348" t="s">
        <v>65</v>
      </c>
      <c r="B75" s="348" t="s">
        <v>666</v>
      </c>
      <c r="C75" s="1294" t="s">
        <v>670</v>
      </c>
      <c r="D75" s="475">
        <v>8806129</v>
      </c>
      <c r="E75" s="475">
        <v>7855341.371868005</v>
      </c>
    </row>
    <row r="76" spans="1:6">
      <c r="A76" s="348" t="s">
        <v>65</v>
      </c>
      <c r="B76" s="348" t="s">
        <v>667</v>
      </c>
      <c r="C76" s="1294" t="s">
        <v>671</v>
      </c>
      <c r="D76" s="475">
        <v>688707.13941235119</v>
      </c>
      <c r="E76" s="475">
        <v>615629.16735088651</v>
      </c>
    </row>
    <row r="77" spans="1:6">
      <c r="A77" s="348" t="s">
        <v>66</v>
      </c>
      <c r="B77" s="348" t="s">
        <v>666</v>
      </c>
      <c r="C77" s="1294" t="s">
        <v>672</v>
      </c>
      <c r="D77" s="475">
        <v>102484190</v>
      </c>
      <c r="E77" s="475">
        <v>113966807.54507591</v>
      </c>
    </row>
    <row r="78" spans="1:6">
      <c r="A78" s="341" t="s">
        <v>66</v>
      </c>
      <c r="B78" s="341" t="s">
        <v>667</v>
      </c>
      <c r="C78" s="341" t="s">
        <v>673</v>
      </c>
      <c r="D78" s="1295">
        <v>25328040</v>
      </c>
      <c r="E78" s="1295">
        <v>27296883.599749487</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381791.72117529763</v>
      </c>
      <c r="C83" s="475">
        <v>381791.72117529763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24341.147871308051</v>
      </c>
    </row>
    <row r="91" spans="1:6">
      <c r="A91" s="348" t="s">
        <v>68</v>
      </c>
      <c r="B91" s="334">
        <v>2550.1062420260091</v>
      </c>
    </row>
    <row r="92" spans="1:6">
      <c r="A92" s="341" t="s">
        <v>69</v>
      </c>
      <c r="B92" s="342">
        <v>2640.8845373969284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2525</v>
      </c>
    </row>
    <row r="98" spans="1:6">
      <c r="A98" s="348" t="s">
        <v>72</v>
      </c>
      <c r="B98" s="334">
        <v>2</v>
      </c>
    </row>
    <row r="99" spans="1:6">
      <c r="A99" s="348" t="s">
        <v>73</v>
      </c>
      <c r="B99" s="334">
        <v>56</v>
      </c>
    </row>
    <row r="100" spans="1:6">
      <c r="A100" s="348" t="s">
        <v>74</v>
      </c>
      <c r="B100" s="334">
        <v>449</v>
      </c>
    </row>
    <row r="101" spans="1:6">
      <c r="A101" s="348" t="s">
        <v>75</v>
      </c>
      <c r="B101" s="334">
        <v>96</v>
      </c>
    </row>
    <row r="102" spans="1:6">
      <c r="A102" s="348" t="s">
        <v>76</v>
      </c>
      <c r="B102" s="334">
        <v>58</v>
      </c>
    </row>
    <row r="103" spans="1:6">
      <c r="A103" s="348" t="s">
        <v>77</v>
      </c>
      <c r="B103" s="334">
        <v>129</v>
      </c>
    </row>
    <row r="104" spans="1:6">
      <c r="A104" s="348" t="s">
        <v>78</v>
      </c>
      <c r="B104" s="334">
        <v>902</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1</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8</v>
      </c>
      <c r="C123" s="334">
        <v>12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161</v>
      </c>
    </row>
    <row r="130" spans="1:6">
      <c r="A130" s="348" t="s">
        <v>295</v>
      </c>
      <c r="B130" s="334">
        <v>2</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39679.107793473268</v>
      </c>
      <c r="C3" s="43" t="s">
        <v>170</v>
      </c>
      <c r="D3" s="43"/>
      <c r="E3" s="154"/>
      <c r="F3" s="43"/>
      <c r="G3" s="43"/>
      <c r="H3" s="43"/>
      <c r="I3" s="43"/>
      <c r="J3" s="43"/>
      <c r="K3" s="96"/>
    </row>
    <row r="4" spans="1:11">
      <c r="A4" s="383" t="s">
        <v>171</v>
      </c>
      <c r="B4" s="49">
        <f>IF(ISERROR('SEAP template'!B78+'SEAP template'!C78),0,'SEAP template'!B78+'SEAP template'!C78)</f>
        <v>30835.788650730989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4.9254472674093608E-2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1283.7857142857144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1073.998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1073.998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4.9254472674093608E-2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52.899205143031189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18061.572</v>
      </c>
      <c r="C5" s="17">
        <f>IF(ISERROR('Eigen informatie GS &amp; warmtenet'!B57),0,'Eigen informatie GS &amp; warmtenet'!B57)</f>
        <v>0</v>
      </c>
      <c r="D5" s="30">
        <f>(SUM(HH_hh_gas_kWh,HH_rest_gas_kWh)/1000)*0.902</f>
        <v>46699.087248000003</v>
      </c>
      <c r="E5" s="17">
        <f>B46*B57</f>
        <v>2733.6257675436214</v>
      </c>
      <c r="F5" s="17">
        <f>B51*B62</f>
        <v>0</v>
      </c>
      <c r="G5" s="18"/>
      <c r="H5" s="17"/>
      <c r="I5" s="17"/>
      <c r="J5" s="17">
        <f>B50*B61+C50*C61</f>
        <v>770.76904501096169</v>
      </c>
      <c r="K5" s="17"/>
      <c r="L5" s="17"/>
      <c r="M5" s="17"/>
      <c r="N5" s="17">
        <f>B48*B59+C48*C59</f>
        <v>13309.161412712858</v>
      </c>
      <c r="O5" s="17">
        <f>B69*B70*B71</f>
        <v>272.02000000000004</v>
      </c>
      <c r="P5" s="17">
        <f>B77*B78*B79/1000-B77*B78*B79/1000/B80</f>
        <v>419.4666666666667</v>
      </c>
    </row>
    <row r="6" spans="1:16">
      <c r="A6" s="16" t="s">
        <v>624</v>
      </c>
      <c r="B6" s="788">
        <f>kWh_PV_kleiner_dan_10kW</f>
        <v>2550.1062420260091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20611.67824202601</v>
      </c>
      <c r="C8" s="21">
        <f>C5</f>
        <v>0</v>
      </c>
      <c r="D8" s="21">
        <f>D5</f>
        <v>46699.087248000003</v>
      </c>
      <c r="E8" s="21">
        <f>E5</f>
        <v>2733.6257675436214</v>
      </c>
      <c r="F8" s="21">
        <f>F5</f>
        <v>0</v>
      </c>
      <c r="G8" s="21"/>
      <c r="H8" s="21"/>
      <c r="I8" s="21"/>
      <c r="J8" s="21">
        <f>J5</f>
        <v>770.76904501096169</v>
      </c>
      <c r="K8" s="21"/>
      <c r="L8" s="21">
        <f>L5</f>
        <v>0</v>
      </c>
      <c r="M8" s="21">
        <f>M5</f>
        <v>0</v>
      </c>
      <c r="N8" s="21">
        <f>N5</f>
        <v>13309.161412712858</v>
      </c>
      <c r="O8" s="21">
        <f>O5</f>
        <v>272.02000000000004</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4.9254472674093608E-2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1015.2173427390799</v>
      </c>
      <c r="C12" s="23">
        <f ca="1">C10*C8</f>
        <v>0</v>
      </c>
      <c r="D12" s="23">
        <f>D8*D10</f>
        <v>9433.2156240960012</v>
      </c>
      <c r="E12" s="23">
        <f>E10*E8</f>
        <v>620.53304923240205</v>
      </c>
      <c r="F12" s="23">
        <f>F10*F8</f>
        <v>0</v>
      </c>
      <c r="G12" s="23"/>
      <c r="H12" s="23"/>
      <c r="I12" s="23"/>
      <c r="J12" s="23">
        <f>J10*J8</f>
        <v>272.85224193388041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2525</v>
      </c>
      <c r="C18" s="166" t="s">
        <v>111</v>
      </c>
      <c r="D18" s="228"/>
      <c r="E18" s="15"/>
    </row>
    <row r="19" spans="1:7">
      <c r="A19" s="171" t="s">
        <v>72</v>
      </c>
      <c r="B19" s="37">
        <f>aantalw2001_ander</f>
        <v>2</v>
      </c>
      <c r="C19" s="166" t="s">
        <v>111</v>
      </c>
      <c r="D19" s="229"/>
      <c r="E19" s="15"/>
    </row>
    <row r="20" spans="1:7">
      <c r="A20" s="171" t="s">
        <v>73</v>
      </c>
      <c r="B20" s="37">
        <f>aantalw2001_propaan</f>
        <v>56</v>
      </c>
      <c r="C20" s="167">
        <f>IF(ISERROR(B20/SUM($B$20,$B$21,$B$22)*100),0,B20/SUM($B$20,$B$21,$B$22)*100)</f>
        <v>9.3178036605657244</v>
      </c>
      <c r="D20" s="229"/>
      <c r="E20" s="15"/>
    </row>
    <row r="21" spans="1:7">
      <c r="A21" s="171" t="s">
        <v>74</v>
      </c>
      <c r="B21" s="37">
        <f>aantalw2001_elektriciteit</f>
        <v>449</v>
      </c>
      <c r="C21" s="167">
        <f>IF(ISERROR(B21/SUM($B$20,$B$21,$B$22)*100),0,B21/SUM($B$20,$B$21,$B$22)*100)</f>
        <v>74.708818635607315</v>
      </c>
      <c r="D21" s="229"/>
      <c r="E21" s="15"/>
    </row>
    <row r="22" spans="1:7">
      <c r="A22" s="171" t="s">
        <v>75</v>
      </c>
      <c r="B22" s="37">
        <f>aantalw2001_hout</f>
        <v>96</v>
      </c>
      <c r="C22" s="167">
        <f>IF(ISERROR(B22/SUM($B$20,$B$21,$B$22)*100),0,B22/SUM($B$20,$B$21,$B$22)*100)</f>
        <v>15.973377703826955</v>
      </c>
      <c r="D22" s="229"/>
      <c r="E22" s="15"/>
    </row>
    <row r="23" spans="1:7">
      <c r="A23" s="171" t="s">
        <v>76</v>
      </c>
      <c r="B23" s="37">
        <f>aantalw2001_niet_gespec</f>
        <v>58</v>
      </c>
      <c r="C23" s="166" t="s">
        <v>111</v>
      </c>
      <c r="D23" s="228"/>
      <c r="E23" s="15"/>
    </row>
    <row r="24" spans="1:7">
      <c r="A24" s="171" t="s">
        <v>77</v>
      </c>
      <c r="B24" s="37">
        <f>aantalw2001_steenkool</f>
        <v>129</v>
      </c>
      <c r="C24" s="166" t="s">
        <v>111</v>
      </c>
      <c r="D24" s="229"/>
      <c r="E24" s="15"/>
    </row>
    <row r="25" spans="1:7">
      <c r="A25" s="171" t="s">
        <v>78</v>
      </c>
      <c r="B25" s="37">
        <f>aantalw2001_stookolie</f>
        <v>902</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4910</v>
      </c>
      <c r="C28" s="36"/>
      <c r="D28" s="228"/>
    </row>
    <row r="29" spans="1:7" s="15" customFormat="1">
      <c r="A29" s="230" t="s">
        <v>699</v>
      </c>
      <c r="B29" s="37">
        <f>SUM(HH_hh_gas_aantal,HH_rest_gas_aantal)</f>
        <v>3566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3566</v>
      </c>
      <c r="C32" s="167">
        <f>IF(ISERROR(B32/SUM($B$32,$B$34,$B$35,$B$36,$B$38,$B$39)*100),0,B32/SUM($B$32,$B$34,$B$35,$B$36,$B$38,$B$39)*100)</f>
        <v>72.954173486088393</v>
      </c>
      <c r="D32" s="233"/>
      <c r="G32" s="15"/>
    </row>
    <row r="33" spans="1:7">
      <c r="A33" s="171" t="s">
        <v>72</v>
      </c>
      <c r="B33" s="34" t="s">
        <v>111</v>
      </c>
      <c r="C33" s="167"/>
      <c r="D33" s="233"/>
      <c r="G33" s="15"/>
    </row>
    <row r="34" spans="1:7">
      <c r="A34" s="171" t="s">
        <v>73</v>
      </c>
      <c r="B34" s="33">
        <f>IF((($B$28-$B$32-$B$39-$B$77-$B$38)*C20/100)&lt;0,0,($B$28-$B$32-$B$39-$B$77-$B$38)*C20/100)</f>
        <v>120.861231281198</v>
      </c>
      <c r="C34" s="167">
        <f>IF(ISERROR(B34/SUM($B$32,$B$34,$B$35,$B$36,$B$38,$B$39)*100),0,B34/SUM($B$32,$B$34,$B$35,$B$36,$B$38,$B$39)*100)</f>
        <v>2.4726111145907943</v>
      </c>
      <c r="D34" s="233"/>
      <c r="G34" s="15"/>
    </row>
    <row r="35" spans="1:7">
      <c r="A35" s="171" t="s">
        <v>74</v>
      </c>
      <c r="B35" s="33">
        <f>IF((($B$28-$B$32-$B$39-$B$77-$B$38)*C21/100)&lt;0,0,($B$28-$B$32-$B$39-$B$77-$B$38)*C21/100)</f>
        <v>969.04808652246243</v>
      </c>
      <c r="C35" s="167">
        <f>IF(ISERROR(B35/SUM($B$32,$B$34,$B$35,$B$36,$B$38,$B$39)*100),0,B35/SUM($B$32,$B$34,$B$35,$B$36,$B$38,$B$39)*100)</f>
        <v>19.825042686629761</v>
      </c>
      <c r="D35" s="233"/>
      <c r="G35" s="15"/>
    </row>
    <row r="36" spans="1:7">
      <c r="A36" s="171" t="s">
        <v>75</v>
      </c>
      <c r="B36" s="33">
        <f>IF((($B$28-$B$32-$B$39-$B$77-$B$38)*C22/100)&lt;0,0,($B$28-$B$32-$B$39-$B$77-$B$38)*C22/100)</f>
        <v>207.1906821963394</v>
      </c>
      <c r="C36" s="167">
        <f>IF(ISERROR(B36/SUM($B$32,$B$34,$B$35,$B$36,$B$38,$B$39)*100),0,B36/SUM($B$32,$B$34,$B$35,$B$36,$B$38,$B$39)*100)</f>
        <v>4.2387619107270753</v>
      </c>
      <c r="D36" s="233"/>
      <c r="G36" s="15"/>
    </row>
    <row r="37" spans="1:7">
      <c r="A37" s="171" t="s">
        <v>76</v>
      </c>
      <c r="B37" s="34" t="s">
        <v>111</v>
      </c>
      <c r="C37" s="167"/>
      <c r="D37" s="173"/>
      <c r="G37" s="15"/>
    </row>
    <row r="38" spans="1:7">
      <c r="A38" s="171" t="s">
        <v>77</v>
      </c>
      <c r="B38" s="33">
        <f>IF((B24-(B29-B18)*0.1)&lt;0,0,B24-(B29-B18)*0.1)</f>
        <v>24.899999999999991</v>
      </c>
      <c r="C38" s="167">
        <f>IF(ISERROR(B38/SUM($B$32,$B$34,$B$35,$B$36,$B$38,$B$39)*100),0,B38/SUM($B$32,$B$34,$B$35,$B$36,$B$38,$B$39)*100)</f>
        <v>0.50941080196399335</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3566</v>
      </c>
      <c r="C44" s="34" t="s">
        <v>111</v>
      </c>
      <c r="D44" s="174"/>
    </row>
    <row r="45" spans="1:7">
      <c r="A45" s="171" t="s">
        <v>72</v>
      </c>
      <c r="B45" s="33" t="str">
        <f t="shared" si="0"/>
        <v>-</v>
      </c>
      <c r="C45" s="34" t="s">
        <v>111</v>
      </c>
      <c r="D45" s="174"/>
    </row>
    <row r="46" spans="1:7">
      <c r="A46" s="171" t="s">
        <v>73</v>
      </c>
      <c r="B46" s="33">
        <f t="shared" si="0"/>
        <v>120.861231281198</v>
      </c>
      <c r="C46" s="34" t="s">
        <v>111</v>
      </c>
      <c r="D46" s="174"/>
    </row>
    <row r="47" spans="1:7">
      <c r="A47" s="171" t="s">
        <v>74</v>
      </c>
      <c r="B47" s="33">
        <f t="shared" si="0"/>
        <v>969.04808652246243</v>
      </c>
      <c r="C47" s="34" t="s">
        <v>111</v>
      </c>
      <c r="D47" s="174"/>
    </row>
    <row r="48" spans="1:7">
      <c r="A48" s="171" t="s">
        <v>75</v>
      </c>
      <c r="B48" s="33">
        <f t="shared" si="0"/>
        <v>207.1906821963394</v>
      </c>
      <c r="C48" s="33">
        <f>B48*10</f>
        <v>2071.9068219633941</v>
      </c>
      <c r="D48" s="234"/>
    </row>
    <row r="49" spans="1:6">
      <c r="A49" s="171" t="s">
        <v>76</v>
      </c>
      <c r="B49" s="33" t="str">
        <f t="shared" si="0"/>
        <v>-</v>
      </c>
      <c r="C49" s="34" t="s">
        <v>111</v>
      </c>
      <c r="D49" s="234"/>
    </row>
    <row r="50" spans="1:6">
      <c r="A50" s="171" t="s">
        <v>77</v>
      </c>
      <c r="B50" s="33">
        <f t="shared" si="0"/>
        <v>24.899999999999991</v>
      </c>
      <c r="C50" s="33">
        <f>B50*2</f>
        <v>49.799999999999983</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10018.927</v>
      </c>
      <c r="C5" s="17">
        <f>IF(ISERROR('Eigen informatie GS &amp; warmtenet'!B58),0,'Eigen informatie GS &amp; warmtenet'!B58)</f>
        <v>0</v>
      </c>
      <c r="D5" s="30">
        <f>SUM(D6:D12)</f>
        <v>13554.048221999999</v>
      </c>
      <c r="E5" s="17">
        <f>SUM(E6:E12)</f>
        <v>184.99639287072733</v>
      </c>
      <c r="F5" s="17">
        <f>SUM(F6:F12)</f>
        <v>2436.3703637161866</v>
      </c>
      <c r="G5" s="18"/>
      <c r="H5" s="17"/>
      <c r="I5" s="17"/>
      <c r="J5" s="17">
        <f>SUM(J6:J12)</f>
        <v>0</v>
      </c>
      <c r="K5" s="17"/>
      <c r="L5" s="17"/>
      <c r="M5" s="17"/>
      <c r="N5" s="17">
        <f>SUM(N6:N12)</f>
        <v>1645.5760394079955</v>
      </c>
      <c r="O5" s="17">
        <f>B38*B39*B40</f>
        <v>3.1266666666666669</v>
      </c>
      <c r="P5" s="17">
        <f>B46*B47*B48/1000-B46*B47*B48/1000/B49</f>
        <v>19.066666666666666</v>
      </c>
      <c r="R5" s="32"/>
    </row>
    <row r="6" spans="1:18">
      <c r="A6" s="32" t="s">
        <v>54</v>
      </c>
      <c r="B6" s="37">
        <f>B26</f>
        <v>2116.1860000000001</v>
      </c>
      <c r="C6" s="33"/>
      <c r="D6" s="37">
        <f>IF(ISERROR(TER_kantoor_gas_kWh/1000),0,TER_kantoor_gas_kWh/1000)*0.902</f>
        <v>3440.3479659999998</v>
      </c>
      <c r="E6" s="33">
        <f>$C$26*'E Balans VL '!I12/100/3.6*1000000</f>
        <v>27.703481503160855</v>
      </c>
      <c r="F6" s="33">
        <f>$C$26*('E Balans VL '!L12+'E Balans VL '!N12)/100/3.6*1000000</f>
        <v>539.60556215074735</v>
      </c>
      <c r="G6" s="34"/>
      <c r="H6" s="33"/>
      <c r="I6" s="33"/>
      <c r="J6" s="33">
        <f>$C$26*('E Balans VL '!D12+'E Balans VL '!E12)/100/3.6*1000000</f>
        <v>0</v>
      </c>
      <c r="K6" s="33"/>
      <c r="L6" s="33"/>
      <c r="M6" s="33"/>
      <c r="N6" s="33">
        <f>$C$26*'E Balans VL '!Y12/100/3.6*1000000</f>
        <v>2.123312143006133</v>
      </c>
      <c r="O6" s="33"/>
      <c r="P6" s="33"/>
      <c r="R6" s="32"/>
    </row>
    <row r="7" spans="1:18">
      <c r="A7" s="32" t="s">
        <v>53</v>
      </c>
      <c r="B7" s="37">
        <f t="shared" ref="B7:B12" si="0">B27</f>
        <v>738.06399999999996</v>
      </c>
      <c r="C7" s="33"/>
      <c r="D7" s="37">
        <f>IF(ISERROR(TER_horeca_gas_kWh/1000),0,TER_horeca_gas_kWh/1000)*0.902</f>
        <v>1192.6857360000001</v>
      </c>
      <c r="E7" s="33">
        <f>$C$27*'E Balans VL '!I9/100/3.6*1000000</f>
        <v>24.425428907292254</v>
      </c>
      <c r="F7" s="33">
        <f>$C$27*('E Balans VL '!L9+'E Balans VL '!N9)/100/3.6*1000000</f>
        <v>317.36469139612819</v>
      </c>
      <c r="G7" s="34"/>
      <c r="H7" s="33"/>
      <c r="I7" s="33"/>
      <c r="J7" s="33">
        <f>$C$27*('E Balans VL '!D9+'E Balans VL '!E9)/100/3.6*1000000</f>
        <v>0</v>
      </c>
      <c r="K7" s="33"/>
      <c r="L7" s="33"/>
      <c r="M7" s="33"/>
      <c r="N7" s="33">
        <f>$C$27*'E Balans VL '!Y9/100/3.6*1000000</f>
        <v>0.17766272266546798</v>
      </c>
      <c r="O7" s="33"/>
      <c r="P7" s="33"/>
      <c r="R7" s="32"/>
    </row>
    <row r="8" spans="1:18">
      <c r="A8" s="6" t="s">
        <v>52</v>
      </c>
      <c r="B8" s="37">
        <f t="shared" si="0"/>
        <v>4084.442</v>
      </c>
      <c r="C8" s="33"/>
      <c r="D8" s="37">
        <f>IF(ISERROR(TER_handel_gas_kWh/1000),0,TER_handel_gas_kWh/1000)*0.902</f>
        <v>2956.0353020000002</v>
      </c>
      <c r="E8" s="33">
        <f>$C$28*'E Balans VL '!I13/100/3.6*1000000</f>
        <v>128.91123036160747</v>
      </c>
      <c r="F8" s="33">
        <f>$C$28*('E Balans VL '!L13+'E Balans VL '!N13)/100/3.6*1000000</f>
        <v>801.03099875827161</v>
      </c>
      <c r="G8" s="34"/>
      <c r="H8" s="33"/>
      <c r="I8" s="33"/>
      <c r="J8" s="33">
        <f>$C$28*('E Balans VL '!D13+'E Balans VL '!E13)/100/3.6*1000000</f>
        <v>0</v>
      </c>
      <c r="K8" s="33"/>
      <c r="L8" s="33"/>
      <c r="M8" s="33"/>
      <c r="N8" s="33">
        <f>$C$28*'E Balans VL '!Y13/100/3.6*1000000</f>
        <v>4.8474396693207487</v>
      </c>
      <c r="O8" s="33"/>
      <c r="P8" s="33"/>
      <c r="R8" s="32"/>
    </row>
    <row r="9" spans="1:18">
      <c r="A9" s="32" t="s">
        <v>51</v>
      </c>
      <c r="B9" s="37">
        <f t="shared" si="0"/>
        <v>573.02800000000002</v>
      </c>
      <c r="C9" s="33"/>
      <c r="D9" s="37">
        <f>IF(ISERROR(TER_gezond_gas_kWh/1000),0,TER_gezond_gas_kWh/1000)*0.902</f>
        <v>1800.182736</v>
      </c>
      <c r="E9" s="33">
        <f>$C$29*'E Balans VL '!I10/100/3.6*1000000</f>
        <v>7.3364347562187973E-2</v>
      </c>
      <c r="F9" s="33">
        <f>$C$29*('E Balans VL '!L10+'E Balans VL '!N10)/100/3.6*1000000</f>
        <v>119.38575020455283</v>
      </c>
      <c r="G9" s="34"/>
      <c r="H9" s="33"/>
      <c r="I9" s="33"/>
      <c r="J9" s="33">
        <f>$C$29*('E Balans VL '!D10+'E Balans VL '!E10)/100/3.6*1000000</f>
        <v>0</v>
      </c>
      <c r="K9" s="33"/>
      <c r="L9" s="33"/>
      <c r="M9" s="33"/>
      <c r="N9" s="33">
        <f>$C$29*'E Balans VL '!Y10/100/3.6*1000000</f>
        <v>6.7304847086401383</v>
      </c>
      <c r="O9" s="33"/>
      <c r="P9" s="33"/>
      <c r="R9" s="32"/>
    </row>
    <row r="10" spans="1:18">
      <c r="A10" s="32" t="s">
        <v>50</v>
      </c>
      <c r="B10" s="37">
        <f t="shared" si="0"/>
        <v>2069.4699999999998</v>
      </c>
      <c r="C10" s="33"/>
      <c r="D10" s="37">
        <f>IF(ISERROR(TER_ander_gas_kWh/1000),0,TER_ander_gas_kWh/1000)*0.902</f>
        <v>2545.545024</v>
      </c>
      <c r="E10" s="33">
        <f>$C$30*'E Balans VL '!I14/100/3.6*1000000</f>
        <v>3.1119962118707654</v>
      </c>
      <c r="F10" s="33">
        <f>$C$30*('E Balans VL '!L14+'E Balans VL '!N14)/100/3.6*1000000</f>
        <v>456.87226746857215</v>
      </c>
      <c r="G10" s="34"/>
      <c r="H10" s="33"/>
      <c r="I10" s="33"/>
      <c r="J10" s="33">
        <f>$C$30*('E Balans VL '!D14+'E Balans VL '!E14)/100/3.6*1000000</f>
        <v>0</v>
      </c>
      <c r="K10" s="33"/>
      <c r="L10" s="33"/>
      <c r="M10" s="33"/>
      <c r="N10" s="33">
        <f>$C$30*'E Balans VL '!Y14/100/3.6*1000000</f>
        <v>1630.8816300799949</v>
      </c>
      <c r="O10" s="33"/>
      <c r="P10" s="33"/>
      <c r="R10" s="32"/>
    </row>
    <row r="11" spans="1:18">
      <c r="A11" s="32" t="s">
        <v>55</v>
      </c>
      <c r="B11" s="37">
        <f t="shared" si="0"/>
        <v>437.73700000000002</v>
      </c>
      <c r="C11" s="33"/>
      <c r="D11" s="37">
        <f>IF(ISERROR(TER_onderwijs_gas_kWh/1000),0,TER_onderwijs_gas_kWh/1000)*0.902</f>
        <v>1619.2514580000002</v>
      </c>
      <c r="E11" s="33">
        <f>$C$31*'E Balans VL '!I11/100/3.6*1000000</f>
        <v>0.77089153923380282</v>
      </c>
      <c r="F11" s="33">
        <f>$C$31*('E Balans VL '!L11+'E Balans VL '!N11)/100/3.6*1000000</f>
        <v>202.1110937379145</v>
      </c>
      <c r="G11" s="34"/>
      <c r="H11" s="33"/>
      <c r="I11" s="33"/>
      <c r="J11" s="33">
        <f>$C$31*('E Balans VL '!D11+'E Balans VL '!E11)/100/3.6*1000000</f>
        <v>0</v>
      </c>
      <c r="K11" s="33"/>
      <c r="L11" s="33"/>
      <c r="M11" s="33"/>
      <c r="N11" s="33">
        <f>$C$31*'E Balans VL '!Y11/100/3.6*1000000</f>
        <v>0.81551008436810646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855</v>
      </c>
      <c r="C13" s="247">
        <f ca="1">'lokale energieproductie'!O91+'lokale energieproductie'!O60</f>
        <v>1221.4285714285716</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-2442.8571428571431</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10873.927</v>
      </c>
      <c r="C16" s="21">
        <f t="shared" ca="1" si="1"/>
        <v>1221.4285714285716</v>
      </c>
      <c r="D16" s="21">
        <f t="shared" ca="1" si="1"/>
        <v>13554.048221999999</v>
      </c>
      <c r="E16" s="21">
        <f t="shared" si="1"/>
        <v>184.99639287072733</v>
      </c>
      <c r="F16" s="21">
        <f t="shared" ca="1" si="1"/>
        <v>2436.3703637161866</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4.9254472674093608E-2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535.58954028158871</v>
      </c>
      <c r="C20" s="23">
        <f t="shared" ref="C20:P20" ca="1" si="2">C16*C18</f>
        <v>0</v>
      </c>
      <c r="D20" s="23">
        <f t="shared" ca="1" si="2"/>
        <v>2737.917740844</v>
      </c>
      <c r="E20" s="23">
        <f t="shared" si="2"/>
        <v>41.994181181655108</v>
      </c>
      <c r="F20" s="23">
        <f t="shared" ca="1" si="2"/>
        <v>650.51088711222189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2116.1860000000001</v>
      </c>
      <c r="C26" s="39">
        <f>IF(ISERROR(B26*3.6/1000000/'E Balans VL '!Z12*100),0,B26*3.6/1000000/'E Balans VL '!Z12*100)</f>
        <v>4.5330348120886786E-2</v>
      </c>
      <c r="D26" s="237" t="s">
        <v>660</v>
      </c>
      <c r="F26" s="6"/>
    </row>
    <row r="27" spans="1:18">
      <c r="A27" s="231" t="s">
        <v>53</v>
      </c>
      <c r="B27" s="33">
        <f>IF(ISERROR(TER_horeca_ele_kWh/1000),0,TER_horeca_ele_kWh/1000)</f>
        <v>738.06399999999996</v>
      </c>
      <c r="C27" s="39">
        <f>IF(ISERROR(B27*3.6/1000000/'E Balans VL '!Z9*100),0,B27*3.6/1000000/'E Balans VL '!Z9*100)</f>
        <v>5.9227070515722319E-2</v>
      </c>
      <c r="D27" s="237" t="s">
        <v>660</v>
      </c>
      <c r="F27" s="6"/>
    </row>
    <row r="28" spans="1:18">
      <c r="A28" s="171" t="s">
        <v>52</v>
      </c>
      <c r="B28" s="33">
        <f>IF(ISERROR(TER_handel_ele_kWh/1000),0,TER_handel_ele_kWh/1000)</f>
        <v>4084.442</v>
      </c>
      <c r="C28" s="39">
        <f>IF(ISERROR(B28*3.6/1000000/'E Balans VL '!Z13*100),0,B28*3.6/1000000/'E Balans VL '!Z13*100)</f>
        <v>0.12046761157513207</v>
      </c>
      <c r="D28" s="237" t="s">
        <v>660</v>
      </c>
      <c r="F28" s="6"/>
    </row>
    <row r="29" spans="1:18">
      <c r="A29" s="231" t="s">
        <v>51</v>
      </c>
      <c r="B29" s="33">
        <f>IF(ISERROR(TER_gezond_ele_kWh/1000),0,TER_gezond_ele_kWh/1000)</f>
        <v>573.02800000000002</v>
      </c>
      <c r="C29" s="39">
        <f>IF(ISERROR(B29*3.6/1000000/'E Balans VL '!Z10*100),0,B29*3.6/1000000/'E Balans VL '!Z10*100)</f>
        <v>6.1184026943195115E-2</v>
      </c>
      <c r="D29" s="237" t="s">
        <v>660</v>
      </c>
      <c r="F29" s="6"/>
    </row>
    <row r="30" spans="1:18">
      <c r="A30" s="231" t="s">
        <v>50</v>
      </c>
      <c r="B30" s="33">
        <f>IF(ISERROR(TER_ander_ele_kWh/1000),0,TER_ander_ele_kWh/1000)</f>
        <v>2069.4699999999998</v>
      </c>
      <c r="C30" s="39">
        <f>IF(ISERROR(B30*3.6/1000000/'E Balans VL '!Z14*100),0,B30*3.6/1000000/'E Balans VL '!Z14*100)</f>
        <v>0.15631519558089477</v>
      </c>
      <c r="D30" s="237" t="s">
        <v>660</v>
      </c>
      <c r="F30" s="6"/>
    </row>
    <row r="31" spans="1:18">
      <c r="A31" s="231" t="s">
        <v>55</v>
      </c>
      <c r="B31" s="33">
        <f>IF(ISERROR(TER_onderwijs_ele_kWh/1000),0,TER_onderwijs_ele_kWh/1000)</f>
        <v>437.73700000000002</v>
      </c>
      <c r="C31" s="39">
        <f>IF(ISERROR(B31*3.6/1000000/'E Balans VL '!Z11*100),0,B31*3.6/1000000/'E Balans VL '!Z11*100)</f>
        <v>8.8393713089959566E-2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4069.6609999999996</v>
      </c>
      <c r="C5" s="17">
        <f>IF(ISERROR('Eigen informatie GS &amp; warmtenet'!B59),0,'Eigen informatie GS &amp; warmtenet'!B59)</f>
        <v>0</v>
      </c>
      <c r="D5" s="30">
        <f>SUM(D6:D15)</f>
        <v>5974.5963420000007</v>
      </c>
      <c r="E5" s="17">
        <f>SUM(E6:E15)</f>
        <v>597.39950669567781</v>
      </c>
      <c r="F5" s="17">
        <f>SUM(F6:F15)</f>
        <v>2272.28621208186</v>
      </c>
      <c r="G5" s="18"/>
      <c r="H5" s="17"/>
      <c r="I5" s="17"/>
      <c r="J5" s="17">
        <f>SUM(J6:J15)</f>
        <v>18.39166279533687</v>
      </c>
      <c r="K5" s="17"/>
      <c r="L5" s="17"/>
      <c r="M5" s="17"/>
      <c r="N5" s="17">
        <f>SUM(N6:N15)</f>
        <v>1271.8432762985012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428.48599999999999</v>
      </c>
      <c r="C8" s="33"/>
      <c r="D8" s="37">
        <f>IF( ISERROR(IND_metaal_Gas_kWH/1000),0,IND_metaal_Gas_kWH/1000)*0.902</f>
        <v>520.37372199999993</v>
      </c>
      <c r="E8" s="33">
        <f>C30*'E Balans VL '!I18/100/3.6*1000000</f>
        <v>15.418222538020746</v>
      </c>
      <c r="F8" s="33">
        <f>C30*'E Balans VL '!L18/100/3.6*1000000+C30*'E Balans VL '!N18/100/3.6*1000000</f>
        <v>187.10594617830563</v>
      </c>
      <c r="G8" s="34"/>
      <c r="H8" s="33"/>
      <c r="I8" s="33"/>
      <c r="J8" s="40">
        <f>C30*'E Balans VL '!D18/100/3.6*1000000+C30*'E Balans VL '!E18/100/3.6*1000000</f>
        <v>0</v>
      </c>
      <c r="K8" s="33"/>
      <c r="L8" s="33"/>
      <c r="M8" s="33"/>
      <c r="N8" s="33">
        <f>C30*'E Balans VL '!Y18/100/3.6*1000000</f>
        <v>21.475427132908926</v>
      </c>
      <c r="O8" s="33"/>
      <c r="P8" s="33"/>
      <c r="R8" s="32"/>
    </row>
    <row r="9" spans="1:18">
      <c r="A9" s="6" t="s">
        <v>33</v>
      </c>
      <c r="B9" s="37">
        <f t="shared" si="0"/>
        <v>2144.306</v>
      </c>
      <c r="C9" s="33"/>
      <c r="D9" s="37">
        <f>IF( ISERROR(IND_andere_gas_kWh/1000),0,IND_andere_gas_kWh/1000)*0.902</f>
        <v>4210.7380480000002</v>
      </c>
      <c r="E9" s="33">
        <f>C31*'E Balans VL '!I19/100/3.6*1000000</f>
        <v>547.1783749178594</v>
      </c>
      <c r="F9" s="33">
        <f>C31*'E Balans VL '!L19/100/3.6*1000000+C31*'E Balans VL '!N19/100/3.6*1000000</f>
        <v>1846.0862936951992</v>
      </c>
      <c r="G9" s="34"/>
      <c r="H9" s="33"/>
      <c r="I9" s="33"/>
      <c r="J9" s="40">
        <f>C31*'E Balans VL '!D19/100/3.6*1000000+C31*'E Balans VL '!E19/100/3.6*1000000</f>
        <v>0</v>
      </c>
      <c r="K9" s="33"/>
      <c r="L9" s="33"/>
      <c r="M9" s="33"/>
      <c r="N9" s="33">
        <f>C31*'E Balans VL '!Y19/100/3.6*1000000</f>
        <v>670.59792101105813</v>
      </c>
      <c r="O9" s="33"/>
      <c r="P9" s="33"/>
      <c r="R9" s="32"/>
    </row>
    <row r="10" spans="1:18">
      <c r="A10" s="6" t="s">
        <v>41</v>
      </c>
      <c r="B10" s="37">
        <f t="shared" si="0"/>
        <v>288.39699999999999</v>
      </c>
      <c r="C10" s="33"/>
      <c r="D10" s="37">
        <f>IF( ISERROR(IND_voed_gas_kWh/1000),0,IND_voed_gas_kWh/1000)*0.902</f>
        <v>305.19981799999999</v>
      </c>
      <c r="E10" s="33">
        <f>C32*'E Balans VL '!I20/100/3.6*1000000</f>
        <v>7.3314477415326564</v>
      </c>
      <c r="F10" s="33">
        <f>C32*'E Balans VL '!L20/100/3.6*1000000+C32*'E Balans VL '!N20/100/3.6*1000000</f>
        <v>65.259911887678498</v>
      </c>
      <c r="G10" s="34"/>
      <c r="H10" s="33"/>
      <c r="I10" s="33"/>
      <c r="J10" s="40">
        <f>C32*'E Balans VL '!D20/100/3.6*1000000+C32*'E Balans VL '!E20/100/3.6*1000000</f>
        <v>0</v>
      </c>
      <c r="K10" s="33"/>
      <c r="L10" s="33"/>
      <c r="M10" s="33"/>
      <c r="N10" s="33">
        <f>C32*'E Balans VL '!Y20/100/3.6*1000000</f>
        <v>108.15669230816835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791.68299999999999</v>
      </c>
      <c r="C12" s="33"/>
      <c r="D12" s="37">
        <f>IF( ISERROR(IND_min_gas_kWh/1000),0,IND_min_gas_kWh/1000)*0.902</f>
        <v>545.87416400000006</v>
      </c>
      <c r="E12" s="33">
        <f>C34*'E Balans VL '!I22/100/3.6*1000000</f>
        <v>16.821279616478186</v>
      </c>
      <c r="F12" s="33">
        <f>C34*'E Balans VL '!L22/100/3.6*1000000+C34*'E Balans VL '!N22/100/3.6*1000000</f>
        <v>129.16982825059827</v>
      </c>
      <c r="G12" s="34"/>
      <c r="H12" s="33"/>
      <c r="I12" s="33"/>
      <c r="J12" s="40">
        <f>C34*'E Balans VL '!D22/100/3.6*1000000+C34*'E Balans VL '!E22/100/3.6*1000000</f>
        <v>0.92238457526286255</v>
      </c>
      <c r="K12" s="33"/>
      <c r="L12" s="33"/>
      <c r="M12" s="33"/>
      <c r="N12" s="33">
        <f>C34*'E Balans VL '!Y22/100/3.6*1000000</f>
        <v>0</v>
      </c>
      <c r="O12" s="33"/>
      <c r="P12" s="33"/>
      <c r="R12" s="32"/>
    </row>
    <row r="13" spans="1:18">
      <c r="A13" s="6" t="s">
        <v>39</v>
      </c>
      <c r="B13" s="37">
        <f t="shared" si="0"/>
        <v>239.47900000000001</v>
      </c>
      <c r="C13" s="33"/>
      <c r="D13" s="37">
        <f>IF( ISERROR(IND_papier_gas_kWh/1000),0,IND_papier_gas_kWh/1000)*0.902</f>
        <v>321.77497</v>
      </c>
      <c r="E13" s="33">
        <f>C35*'E Balans VL '!I23/100/3.6*1000000</f>
        <v>1.0270557623001084</v>
      </c>
      <c r="F13" s="33">
        <f>C35*'E Balans VL '!L23/100/3.6*1000000+C35*'E Balans VL '!N23/100/3.6*1000000</f>
        <v>6.018850565497778</v>
      </c>
      <c r="G13" s="34"/>
      <c r="H13" s="33"/>
      <c r="I13" s="33"/>
      <c r="J13" s="40">
        <f>C35*'E Balans VL '!D23/100/3.6*1000000+C35*'E Balans VL '!E23/100/3.6*1000000</f>
        <v>16.031805561716602</v>
      </c>
      <c r="K13" s="33"/>
      <c r="L13" s="33"/>
      <c r="M13" s="33"/>
      <c r="N13" s="33">
        <f>C35*'E Balans VL '!Y23/100/3.6*1000000</f>
        <v>435.90873027898806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177.31</v>
      </c>
      <c r="C15" s="33"/>
      <c r="D15" s="37">
        <f>IF( ISERROR(IND_rest_gas_kWh/1000),0,IND_rest_gas_kWh/1000)*0.902</f>
        <v>70.635620000000003</v>
      </c>
      <c r="E15" s="33">
        <f>C37*'E Balans VL '!I15/100/3.6*1000000</f>
        <v>9.6231261194867361</v>
      </c>
      <c r="F15" s="33">
        <f>C37*'E Balans VL '!L15/100/3.6*1000000+C37*'E Balans VL '!N15/100/3.6*1000000</f>
        <v>38.645381504580541</v>
      </c>
      <c r="G15" s="34"/>
      <c r="H15" s="33"/>
      <c r="I15" s="33"/>
      <c r="J15" s="40">
        <f>C37*'E Balans VL '!D15/100/3.6*1000000+C37*'E Balans VL '!E15/100/3.6*1000000</f>
        <v>1.4374726583574047</v>
      </c>
      <c r="K15" s="33"/>
      <c r="L15" s="33"/>
      <c r="M15" s="33"/>
      <c r="N15" s="33">
        <f>C37*'E Balans VL '!Y15/100/3.6*1000000</f>
        <v>35.704505567377701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4069.6609999999996</v>
      </c>
      <c r="C18" s="21">
        <f>C5+C16</f>
        <v>0</v>
      </c>
      <c r="D18" s="21">
        <f>MAX((D5+D16),0)</f>
        <v>5974.5963420000007</v>
      </c>
      <c r="E18" s="21">
        <f>MAX((E5+E16),0)</f>
        <v>597.39950669567781</v>
      </c>
      <c r="F18" s="21">
        <f>MAX((F5+F16),0)</f>
        <v>2272.28621208186</v>
      </c>
      <c r="G18" s="21"/>
      <c r="H18" s="21"/>
      <c r="I18" s="21"/>
      <c r="J18" s="21">
        <f>MAX((J5+J16),0)</f>
        <v>18.39166279533687</v>
      </c>
      <c r="K18" s="21"/>
      <c r="L18" s="21">
        <f>MAX((L5+L16),0)</f>
        <v>0</v>
      </c>
      <c r="M18" s="21"/>
      <c r="N18" s="21">
        <f>MAX((N5+N16),0)</f>
        <v>1271.8432762985012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4.9254472674093608E-2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200.44900651732445</v>
      </c>
      <c r="C22" s="23">
        <f ca="1">C18*C20</f>
        <v>0</v>
      </c>
      <c r="D22" s="23">
        <f>D18*D20</f>
        <v>1206.8684610840003</v>
      </c>
      <c r="E22" s="23">
        <f>E18*E20</f>
        <v>135.60968801991888</v>
      </c>
      <c r="F22" s="23">
        <f>F18*F20</f>
        <v>606.70041862585663</v>
      </c>
      <c r="G22" s="23"/>
      <c r="H22" s="23"/>
      <c r="I22" s="23"/>
      <c r="J22" s="23">
        <f>J18*J20</f>
        <v>6.5106486295492516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428.48599999999999</v>
      </c>
      <c r="C30" s="39">
        <f>IF(ISERROR(B30*3.6/1000000/'E Balans VL '!Z18*100),0,B30*3.6/1000000/'E Balans VL '!Z18*100)</f>
        <v>9.0786996902275124E-2</v>
      </c>
      <c r="D30" s="237" t="s">
        <v>660</v>
      </c>
    </row>
    <row r="31" spans="1:18">
      <c r="A31" s="6" t="s">
        <v>33</v>
      </c>
      <c r="B31" s="37">
        <f>IF( ISERROR(IND_ander_ele_kWh/1000),0,IND_ander_ele_kWh/1000)</f>
        <v>2144.306</v>
      </c>
      <c r="C31" s="39">
        <f>IF(ISERROR(B31*3.6/1000000/'E Balans VL '!Z19*100),0,B31*3.6/1000000/'E Balans VL '!Z19*100)</f>
        <v>9.0258708540875546E-2</v>
      </c>
      <c r="D31" s="237" t="s">
        <v>660</v>
      </c>
    </row>
    <row r="32" spans="1:18">
      <c r="A32" s="171" t="s">
        <v>41</v>
      </c>
      <c r="B32" s="37">
        <f>IF( ISERROR(IND_voed_ele_kWh/1000),0,IND_voed_ele_kWh/1000)</f>
        <v>288.39699999999999</v>
      </c>
      <c r="C32" s="39">
        <f>IF(ISERROR(B32*3.6/1000000/'E Balans VL '!Z20*100),0,B32*3.6/1000000/'E Balans VL '!Z20*100)</f>
        <v>4.8179981837637567E-2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791.68299999999999</v>
      </c>
      <c r="C34" s="39">
        <f>IF(ISERROR(B34*3.6/1000000/'E Balans VL '!Z22*100),0,B34*3.6/1000000/'E Balans VL '!Z22*100)</f>
        <v>0.1003500897838091</v>
      </c>
      <c r="D34" s="237" t="s">
        <v>660</v>
      </c>
    </row>
    <row r="35" spans="1:5">
      <c r="A35" s="171" t="s">
        <v>39</v>
      </c>
      <c r="B35" s="37">
        <f>IF( ISERROR(IND_papier_ele_kWh/1000),0,IND_papier_ele_kWh/1000)</f>
        <v>239.47900000000001</v>
      </c>
      <c r="C35" s="39">
        <f>IF(ISERROR(B35*3.6/1000000/'E Balans VL '!Z22*100),0,B35*3.6/1000000/'E Balans VL '!Z22*100)</f>
        <v>3.0355254756432588E-2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177.31</v>
      </c>
      <c r="C37" s="39">
        <f>IF(ISERROR(B37*3.6/1000000/'E Balans VL '!Z15*100),0,B37*3.6/1000000/'E Balans VL '!Z15*100)</f>
        <v>1.4314922875788339E-3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2307.9229999999998</v>
      </c>
      <c r="C5" s="17">
        <f>'Eigen informatie GS &amp; warmtenet'!B60</f>
        <v>0</v>
      </c>
      <c r="D5" s="30">
        <f>IF(ISERROR(SUM(LB_lb_gas_kWh,LB_rest_gas_kWh)/1000),0,SUM(LB_lb_gas_kWh,LB_rest_gas_kWh)/1000)*0.902</f>
        <v>1251.436604</v>
      </c>
      <c r="E5" s="17">
        <f>B17*'E Balans VL '!I25/3.6*1000000/100</f>
        <v>59.51247277018858</v>
      </c>
      <c r="F5" s="17">
        <f>B17*('E Balans VL '!L25/3.6*1000000+'E Balans VL '!N25/3.6*1000000)/100</f>
        <v>8435.8980875845991</v>
      </c>
      <c r="G5" s="18"/>
      <c r="H5" s="17"/>
      <c r="I5" s="17"/>
      <c r="J5" s="17">
        <f>('E Balans VL '!D25+'E Balans VL '!E25)/3.6*1000000*landbouw!B17/100</f>
        <v>332.25601122804551</v>
      </c>
      <c r="K5" s="17"/>
      <c r="L5" s="17">
        <f>L6*(-1)</f>
        <v>1012.5</v>
      </c>
      <c r="M5" s="17"/>
      <c r="N5" s="17">
        <f>N6*(-1)</f>
        <v>124.71428571428569</v>
      </c>
      <c r="O5" s="17"/>
      <c r="P5" s="17"/>
      <c r="R5" s="32"/>
    </row>
    <row r="6" spans="1:18">
      <c r="A6" s="16" t="s">
        <v>491</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-1012.5</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2307.9229999999998</v>
      </c>
      <c r="C8" s="21">
        <f>C5+C6</f>
        <v>62.357142857142847</v>
      </c>
      <c r="D8" s="21">
        <f>MAX((D5+D6),0)</f>
        <v>1251.436604</v>
      </c>
      <c r="E8" s="21">
        <f>MAX((E5+E6),0)</f>
        <v>59.51247277018858</v>
      </c>
      <c r="F8" s="21">
        <f>MAX((F5+F6),0)</f>
        <v>8435.8980875845991</v>
      </c>
      <c r="G8" s="21"/>
      <c r="H8" s="21"/>
      <c r="I8" s="21"/>
      <c r="J8" s="21">
        <f>MAX((J5+J6),0)</f>
        <v>332.25601122804551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4.9254472674093608E-2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113.67553033741213</v>
      </c>
      <c r="C12" s="23">
        <f ca="1">C8*C10</f>
        <v>0</v>
      </c>
      <c r="D12" s="23">
        <f>D8*D10</f>
        <v>252.79019400800001</v>
      </c>
      <c r="E12" s="23">
        <f>E8*E10</f>
        <v>13.509331318832809</v>
      </c>
      <c r="F12" s="23">
        <f>F8*F10</f>
        <v>2252.384789385088</v>
      </c>
      <c r="G12" s="23"/>
      <c r="H12" s="23"/>
      <c r="I12" s="23"/>
      <c r="J12" s="23">
        <f>J8*J10</f>
        <v>117.6186279747281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0.32543243033916591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513.02953409179486</v>
      </c>
      <c r="C26" s="247">
        <f>B26*'GWP N2O_CH4'!B5</f>
        <v>10773.620215927693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178.5828883206924</v>
      </c>
      <c r="C27" s="247">
        <f>B27*'GWP N2O_CH4'!B5</f>
        <v>3750.2406547345404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6.5346275825567206</v>
      </c>
      <c r="C28" s="247">
        <f>B28*'GWP N2O_CH4'!B4</f>
        <v>2025.7345505925834</v>
      </c>
      <c r="D28" s="50"/>
    </row>
    <row r="29" spans="1:4">
      <c r="A29" s="41" t="s">
        <v>277</v>
      </c>
      <c r="B29" s="247">
        <f>B34*'ha_N2O bodem landbouw'!B4</f>
        <v>20.732315397459903</v>
      </c>
      <c r="C29" s="247">
        <f>B29*'GWP N2O_CH4'!B4</f>
        <v>6427.0177732125703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4.6658975912200681E-3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1.333351852101374E-4</v>
      </c>
      <c r="C5" s="463" t="s">
        <v>211</v>
      </c>
      <c r="D5" s="448">
        <f>SUM(D6:D11)</f>
        <v>2.8436208897380697E-4</v>
      </c>
      <c r="E5" s="448">
        <f>SUM(E6:E11)</f>
        <v>1.285483642875247E-3</v>
      </c>
      <c r="F5" s="461" t="s">
        <v>211</v>
      </c>
      <c r="G5" s="448">
        <f>SUM(G6:G11)</f>
        <v>0.5720228634713217</v>
      </c>
      <c r="H5" s="448">
        <f>SUM(H6:H11)</f>
        <v>7.890833871094953E-2</v>
      </c>
      <c r="I5" s="463" t="s">
        <v>211</v>
      </c>
      <c r="J5" s="463" t="s">
        <v>211</v>
      </c>
      <c r="K5" s="463" t="s">
        <v>211</v>
      </c>
      <c r="L5" s="463" t="s">
        <v>211</v>
      </c>
      <c r="M5" s="448">
        <f>SUM(M6:M11)</f>
        <v>2.0384738421474393E-2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3.9449907120373555E-5</v>
      </c>
      <c r="C6" s="449"/>
      <c r="D6" s="892">
        <f>vkm_2011_GW_PW*SUMIFS(TableVerdeelsleutelVkm[CNG],TableVerdeelsleutelVkm[Voertuigtype],"Lichte voertuigen")*SUMIFS(TableECFTransport[EnergieConsumptieFactor (PJ per km)],TableECFTransport[Index],CONCATENATE($A6,"_CNG_CNG"))</f>
        <v>7.8387656473839827E-5</v>
      </c>
      <c r="E6" s="892">
        <f>vkm_2011_GW_PW*SUMIFS(TableVerdeelsleutelVkm[LPG],TableVerdeelsleutelVkm[Voertuigtype],"Lichte voertuigen")*SUMIFS(TableECFTransport[EnergieConsumptieFactor (PJ per km)],TableECFTransport[Index],CONCATENATE($A6,"_LPG_LPG"))</f>
        <v>3.0848352809291393E-4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7.3346798293435003E-2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2.1221896847977727E-2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2.9468478666163185E-3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4.9474631941519957E-2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1.5982419352187419E-5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1.5588699525270933E-3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7.4289109554923101E-6</v>
      </c>
      <c r="C8" s="449"/>
      <c r="D8" s="451">
        <f>vkm_2011_NGW_PW*SUMIFS(TableVerdeelsleutelVkm[CNG],TableVerdeelsleutelVkm[Voertuigtype],"Lichte voertuigen")*SUMIFS(TableECFTransport[EnergieConsumptieFactor (PJ per km)],TableECFTransport[Index],CONCATENATE($A8,"_CNG_CNG"))</f>
        <v>2.6137012438556306E-5</v>
      </c>
      <c r="E8" s="451">
        <f>vkm_2011_NGW_PW*SUMIFS(TableVerdeelsleutelVkm[LPG],TableVerdeelsleutelVkm[Voertuigtype],"Lichte voertuigen")*SUMIFS(TableECFTransport[EnergieConsumptieFactor (PJ per km)],TableECFTransport[Index],CONCATENATE($A8,"_LPG_LPG"))</f>
        <v>9.5125953383722752E-5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2.1120635739093587E-2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6.8613484980478215E-3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8.7106825045067898E-4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8.4233998775227591E-3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2.5734200854781866E-6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2.6540401176270453E-4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8.6456367134271525E-5</v>
      </c>
      <c r="C10" s="449"/>
      <c r="D10" s="451">
        <f>vkm_2011_SW_PW*SUMIFS(TableVerdeelsleutelVkm[CNG],TableVerdeelsleutelVkm[Voertuigtype],"Lichte voertuigen")*SUMIFS(TableECFTransport[EnergieConsumptieFactor (PJ per km)],TableECFTransport[Index],CONCATENATE($A10,"_CNG_CNG"))</f>
        <v>1.7983742006141081E-4</v>
      </c>
      <c r="E10" s="451">
        <f>vkm_2011_SW_PW*SUMIFS(TableVerdeelsleutelVkm[LPG],TableVerdeelsleutelVkm[Voertuigtype],"Lichte voertuigen")*SUMIFS(TableECFTransport[EnergieConsumptieFactor (PJ per km)],TableECFTransport[Index],CONCATENATE($A10,"_LPG_LPG"))</f>
        <v>8.8187416139861034E-4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0.1878290710305961</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5.072584770820121E-2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7.4378185425858544E-3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0.23182832658915431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8.0689817285111603E-5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7.3047297975317414E-3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37.037551447260391</v>
      </c>
      <c r="C14" s="21"/>
      <c r="D14" s="21">
        <f t="shared" ref="D14:M14" si="0">((D5)*10^9/3600)+D12</f>
        <v>78.989469159390836</v>
      </c>
      <c r="E14" s="21">
        <f t="shared" si="0"/>
        <v>357.07878968756859</v>
      </c>
      <c r="F14" s="21"/>
      <c r="G14" s="21">
        <f t="shared" si="0"/>
        <v>158895.23985314491</v>
      </c>
      <c r="H14" s="21">
        <f t="shared" si="0"/>
        <v>21918.982975263756</v>
      </c>
      <c r="I14" s="21"/>
      <c r="J14" s="21"/>
      <c r="K14" s="21"/>
      <c r="L14" s="21"/>
      <c r="M14" s="21">
        <f t="shared" si="0"/>
        <v>5662.4273392984423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4.9254472674093608E-2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1.824265065674423</v>
      </c>
      <c r="C18" s="23"/>
      <c r="D18" s="23">
        <f t="shared" ref="D18:M18" si="1">D14*D16</f>
        <v>15.955872770196949</v>
      </c>
      <c r="E18" s="23">
        <f t="shared" si="1"/>
        <v>81.056885259078072</v>
      </c>
      <c r="F18" s="23"/>
      <c r="G18" s="23">
        <f t="shared" si="1"/>
        <v>42425.029040789697</v>
      </c>
      <c r="H18" s="23">
        <f t="shared" si="1"/>
        <v>5457.826760840675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4.963395645919402E-3</v>
      </c>
      <c r="H50" s="321">
        <f t="shared" si="2"/>
        <v>0</v>
      </c>
      <c r="I50" s="321">
        <f t="shared" si="2"/>
        <v>0</v>
      </c>
      <c r="J50" s="321">
        <f t="shared" si="2"/>
        <v>0</v>
      </c>
      <c r="K50" s="321">
        <f t="shared" si="2"/>
        <v>0</v>
      </c>
      <c r="L50" s="321">
        <f t="shared" si="2"/>
        <v>0</v>
      </c>
      <c r="M50" s="321">
        <f t="shared" si="2"/>
        <v>1.5395342891658448E-4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4.963395645919402E-3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1.5395342891658448E-4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1378.7210127553894</v>
      </c>
      <c r="H54" s="21">
        <f t="shared" si="3"/>
        <v>0</v>
      </c>
      <c r="I54" s="21">
        <f t="shared" si="3"/>
        <v>0</v>
      </c>
      <c r="J54" s="21">
        <f t="shared" si="3"/>
        <v>0</v>
      </c>
      <c r="K54" s="21">
        <f t="shared" si="3"/>
        <v>0</v>
      </c>
      <c r="L54" s="21">
        <f t="shared" si="3"/>
        <v>0</v>
      </c>
      <c r="M54" s="21">
        <f t="shared" si="3"/>
        <v>42.764841365717906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4.9254472674093608E-2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368.11851040568899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11947.924999999999</v>
      </c>
      <c r="D10" s="1012">
        <f ca="1">tertiair!C16</f>
        <v>1221.4285714285716</v>
      </c>
      <c r="E10" s="1012">
        <f ca="1">tertiair!D16</f>
        <v>13554.048221999999</v>
      </c>
      <c r="F10" s="1012">
        <f>tertiair!E16</f>
        <v>184.99639287072733</v>
      </c>
      <c r="G10" s="1012">
        <f ca="1">tertiair!F16</f>
        <v>2436.3703637161866</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3.1266666666666669</v>
      </c>
      <c r="Q10" s="1013">
        <f>tertiair!P16</f>
        <v>19.066666666666666</v>
      </c>
      <c r="R10" s="700">
        <f ca="1">SUM(C10:Q10)</f>
        <v>29366.961883348817</v>
      </c>
      <c r="S10" s="67"/>
    </row>
    <row r="11" spans="1:19" s="473" customFormat="1">
      <c r="A11" s="809" t="s">
        <v>225</v>
      </c>
      <c r="B11" s="814"/>
      <c r="C11" s="1012">
        <f>huishoudens!B8</f>
        <v>20611.67824202601</v>
      </c>
      <c r="D11" s="1012">
        <f>huishoudens!C8</f>
        <v>0</v>
      </c>
      <c r="E11" s="1012">
        <f>huishoudens!D8</f>
        <v>46699.087248000003</v>
      </c>
      <c r="F11" s="1012">
        <f>huishoudens!E8</f>
        <v>2733.6257675436214</v>
      </c>
      <c r="G11" s="1012">
        <f>huishoudens!F8</f>
        <v>0</v>
      </c>
      <c r="H11" s="1012">
        <f>huishoudens!G8</f>
        <v>0</v>
      </c>
      <c r="I11" s="1012">
        <f>huishoudens!H8</f>
        <v>0</v>
      </c>
      <c r="J11" s="1012">
        <f>huishoudens!I8</f>
        <v>0</v>
      </c>
      <c r="K11" s="1012">
        <f>huishoudens!J8</f>
        <v>770.76904501096169</v>
      </c>
      <c r="L11" s="1012">
        <f>huishoudens!K8</f>
        <v>0</v>
      </c>
      <c r="M11" s="1012">
        <f>huishoudens!L8</f>
        <v>0</v>
      </c>
      <c r="N11" s="1012">
        <f>huishoudens!M8</f>
        <v>0</v>
      </c>
      <c r="O11" s="1012">
        <f>huishoudens!N8</f>
        <v>13309.161412712858</v>
      </c>
      <c r="P11" s="1012">
        <f>huishoudens!O8</f>
        <v>272.02000000000004</v>
      </c>
      <c r="Q11" s="1013">
        <f>huishoudens!P8</f>
        <v>419.4666666666667</v>
      </c>
      <c r="R11" s="700">
        <f>SUM(C11:Q11)</f>
        <v>84815.808381960116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4069.6609999999996</v>
      </c>
      <c r="D13" s="1012">
        <f>industrie!C18</f>
        <v>0</v>
      </c>
      <c r="E13" s="1012">
        <f>industrie!D18</f>
        <v>5974.5963420000007</v>
      </c>
      <c r="F13" s="1012">
        <f>industrie!E18</f>
        <v>597.39950669567781</v>
      </c>
      <c r="G13" s="1012">
        <f>industrie!F18</f>
        <v>2272.28621208186</v>
      </c>
      <c r="H13" s="1012">
        <f>industrie!G18</f>
        <v>0</v>
      </c>
      <c r="I13" s="1012">
        <f>industrie!H18</f>
        <v>0</v>
      </c>
      <c r="J13" s="1012">
        <f>industrie!I18</f>
        <v>0</v>
      </c>
      <c r="K13" s="1012">
        <f>industrie!J18</f>
        <v>18.39166279533687</v>
      </c>
      <c r="L13" s="1012">
        <f>industrie!K18</f>
        <v>0</v>
      </c>
      <c r="M13" s="1012">
        <f>industrie!L18</f>
        <v>0</v>
      </c>
      <c r="N13" s="1012">
        <f>industrie!M18</f>
        <v>0</v>
      </c>
      <c r="O13" s="1012">
        <f>industrie!N18</f>
        <v>1271.8432762985012</v>
      </c>
      <c r="P13" s="1012">
        <f>industrie!O18</f>
        <v>0</v>
      </c>
      <c r="Q13" s="1013">
        <f>industrie!P18</f>
        <v>0</v>
      </c>
      <c r="R13" s="700">
        <f>SUM(C13:Q13)</f>
        <v>14204.177999871377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36629.264242026009</v>
      </c>
      <c r="D16" s="732">
        <f t="shared" ref="D16:R16" ca="1" si="0">SUM(D9:D15)</f>
        <v>1221.4285714285716</v>
      </c>
      <c r="E16" s="732">
        <f t="shared" ca="1" si="0"/>
        <v>66227.731811999998</v>
      </c>
      <c r="F16" s="732">
        <f t="shared" si="0"/>
        <v>3516.0216671100266</v>
      </c>
      <c r="G16" s="732">
        <f t="shared" ca="1" si="0"/>
        <v>4708.6565757980461</v>
      </c>
      <c r="H16" s="732">
        <f t="shared" si="0"/>
        <v>0</v>
      </c>
      <c r="I16" s="732">
        <f t="shared" si="0"/>
        <v>0</v>
      </c>
      <c r="J16" s="732">
        <f t="shared" si="0"/>
        <v>0</v>
      </c>
      <c r="K16" s="732">
        <f t="shared" si="0"/>
        <v>789.16070780629855</v>
      </c>
      <c r="L16" s="732">
        <f t="shared" si="0"/>
        <v>0</v>
      </c>
      <c r="M16" s="732">
        <f t="shared" ca="1" si="0"/>
        <v>0</v>
      </c>
      <c r="N16" s="732">
        <f t="shared" si="0"/>
        <v>0</v>
      </c>
      <c r="O16" s="732">
        <f t="shared" ca="1" si="0"/>
        <v>14581.004689011359</v>
      </c>
      <c r="P16" s="732">
        <f t="shared" si="0"/>
        <v>275.1466666666667</v>
      </c>
      <c r="Q16" s="732">
        <f t="shared" si="0"/>
        <v>438.53333333333336</v>
      </c>
      <c r="R16" s="732">
        <f t="shared" ca="1" si="0"/>
        <v>128386.94826518031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1378.7210127553894</v>
      </c>
      <c r="I19" s="1012">
        <f>transport!H54</f>
        <v>0</v>
      </c>
      <c r="J19" s="1012">
        <f>transport!I54</f>
        <v>0</v>
      </c>
      <c r="K19" s="1012">
        <f>transport!J54</f>
        <v>0</v>
      </c>
      <c r="L19" s="1012">
        <f>transport!K54</f>
        <v>0</v>
      </c>
      <c r="M19" s="1012">
        <f>transport!L54</f>
        <v>0</v>
      </c>
      <c r="N19" s="1012">
        <f>transport!M54</f>
        <v>42.764841365717906</v>
      </c>
      <c r="O19" s="1012">
        <f>transport!N54</f>
        <v>0</v>
      </c>
      <c r="P19" s="1012">
        <f>transport!O54</f>
        <v>0</v>
      </c>
      <c r="Q19" s="1013">
        <f>transport!P54</f>
        <v>0</v>
      </c>
      <c r="R19" s="700">
        <f>SUM(C19:Q19)</f>
        <v>1421.4858541211074</v>
      </c>
      <c r="S19" s="67"/>
    </row>
    <row r="20" spans="1:19" s="473" customFormat="1">
      <c r="A20" s="809" t="s">
        <v>307</v>
      </c>
      <c r="B20" s="814"/>
      <c r="C20" s="1012">
        <f>transport!B14</f>
        <v>37.037551447260391</v>
      </c>
      <c r="D20" s="1012">
        <f>transport!C14</f>
        <v>0</v>
      </c>
      <c r="E20" s="1012">
        <f>transport!D14</f>
        <v>78.989469159390836</v>
      </c>
      <c r="F20" s="1012">
        <f>transport!E14</f>
        <v>357.07878968756859</v>
      </c>
      <c r="G20" s="1012">
        <f>transport!F14</f>
        <v>0</v>
      </c>
      <c r="H20" s="1012">
        <f>transport!G14</f>
        <v>158895.23985314491</v>
      </c>
      <c r="I20" s="1012">
        <f>transport!H14</f>
        <v>21918.982975263756</v>
      </c>
      <c r="J20" s="1012">
        <f>transport!I14</f>
        <v>0</v>
      </c>
      <c r="K20" s="1012">
        <f>transport!J14</f>
        <v>0</v>
      </c>
      <c r="L20" s="1012">
        <f>transport!K14</f>
        <v>0</v>
      </c>
      <c r="M20" s="1012">
        <f>transport!L14</f>
        <v>0</v>
      </c>
      <c r="N20" s="1012">
        <f>transport!M14</f>
        <v>5662.4273392984423</v>
      </c>
      <c r="O20" s="1012">
        <f>transport!N14</f>
        <v>0</v>
      </c>
      <c r="P20" s="1012">
        <f>transport!O14</f>
        <v>0</v>
      </c>
      <c r="Q20" s="1013">
        <f>transport!P14</f>
        <v>0</v>
      </c>
      <c r="R20" s="700">
        <f>SUM(C20:Q20)</f>
        <v>186949.75597800134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37.037551447260391</v>
      </c>
      <c r="D22" s="812">
        <f t="shared" ref="D22:R22" si="1">SUM(D18:D21)</f>
        <v>0</v>
      </c>
      <c r="E22" s="812">
        <f t="shared" si="1"/>
        <v>78.989469159390836</v>
      </c>
      <c r="F22" s="812">
        <f t="shared" si="1"/>
        <v>357.07878968756859</v>
      </c>
      <c r="G22" s="812">
        <f t="shared" si="1"/>
        <v>0</v>
      </c>
      <c r="H22" s="812">
        <f t="shared" si="1"/>
        <v>160273.9608659003</v>
      </c>
      <c r="I22" s="812">
        <f t="shared" si="1"/>
        <v>21918.982975263756</v>
      </c>
      <c r="J22" s="812">
        <f t="shared" si="1"/>
        <v>0</v>
      </c>
      <c r="K22" s="812">
        <f t="shared" si="1"/>
        <v>0</v>
      </c>
      <c r="L22" s="812">
        <f t="shared" si="1"/>
        <v>0</v>
      </c>
      <c r="M22" s="812">
        <f t="shared" si="1"/>
        <v>0</v>
      </c>
      <c r="N22" s="812">
        <f t="shared" si="1"/>
        <v>5705.1921806641603</v>
      </c>
      <c r="O22" s="812">
        <f t="shared" si="1"/>
        <v>0</v>
      </c>
      <c r="P22" s="812">
        <f t="shared" si="1"/>
        <v>0</v>
      </c>
      <c r="Q22" s="812">
        <f t="shared" si="1"/>
        <v>0</v>
      </c>
      <c r="R22" s="812">
        <f t="shared" si="1"/>
        <v>188371.24183212244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2307.9229999999998</v>
      </c>
      <c r="D24" s="1012">
        <f>+landbouw!C8</f>
        <v>62.357142857142847</v>
      </c>
      <c r="E24" s="1012">
        <f>+landbouw!D8</f>
        <v>1251.436604</v>
      </c>
      <c r="F24" s="1012">
        <f>+landbouw!E8</f>
        <v>59.51247277018858</v>
      </c>
      <c r="G24" s="1012">
        <f>+landbouw!F8</f>
        <v>8435.8980875845991</v>
      </c>
      <c r="H24" s="1012">
        <f>+landbouw!G8</f>
        <v>0</v>
      </c>
      <c r="I24" s="1012">
        <f>+landbouw!H8</f>
        <v>0</v>
      </c>
      <c r="J24" s="1012">
        <f>+landbouw!I8</f>
        <v>0</v>
      </c>
      <c r="K24" s="1012">
        <f>+landbouw!J8</f>
        <v>332.25601122804551</v>
      </c>
      <c r="L24" s="1012">
        <f>+landbouw!K8</f>
        <v>0</v>
      </c>
      <c r="M24" s="1012">
        <f>+landbouw!L8</f>
        <v>0</v>
      </c>
      <c r="N24" s="1012">
        <f>+landbouw!M8</f>
        <v>0</v>
      </c>
      <c r="O24" s="1012">
        <f>+landbouw!N8</f>
        <v>0</v>
      </c>
      <c r="P24" s="1012">
        <f>+landbouw!O8</f>
        <v>0</v>
      </c>
      <c r="Q24" s="1013">
        <f>+landbouw!P8</f>
        <v>0</v>
      </c>
      <c r="R24" s="700">
        <f>SUM(C24:Q24)</f>
        <v>12449.383318439975</v>
      </c>
      <c r="S24" s="67"/>
    </row>
    <row r="25" spans="1:19" s="473" customFormat="1" ht="15" thickBot="1">
      <c r="A25" s="831" t="s">
        <v>848</v>
      </c>
      <c r="B25" s="1015"/>
      <c r="C25" s="1016">
        <f>IF(Onbekend_ele_kWh="---",0,Onbekend_ele_kWh)/1000+IF(REST_rest_ele_kWh="---",0,REST_rest_ele_kWh)/1000</f>
        <v>704.88300000000004</v>
      </c>
      <c r="D25" s="1016"/>
      <c r="E25" s="1016">
        <f>IF(onbekend_gas_kWh="---",0,onbekend_gas_kWh)/1000+IF(REST_rest_gas_kWh="---",0,REST_rest_gas_kWh)/1000</f>
        <v>969.221</v>
      </c>
      <c r="F25" s="1016"/>
      <c r="G25" s="1016"/>
      <c r="H25" s="1016"/>
      <c r="I25" s="1016"/>
      <c r="J25" s="1016"/>
      <c r="K25" s="1016"/>
      <c r="L25" s="1016"/>
      <c r="M25" s="1016"/>
      <c r="N25" s="1016"/>
      <c r="O25" s="1016"/>
      <c r="P25" s="1016"/>
      <c r="Q25" s="1017"/>
      <c r="R25" s="700">
        <f>SUM(C25:Q25)</f>
        <v>1674.104</v>
      </c>
      <c r="S25" s="67"/>
    </row>
    <row r="26" spans="1:19" s="473" customFormat="1" ht="15.75" thickBot="1">
      <c r="A26" s="705" t="s">
        <v>849</v>
      </c>
      <c r="B26" s="817"/>
      <c r="C26" s="812">
        <f>SUM(C24:C25)</f>
        <v>3012.8059999999996</v>
      </c>
      <c r="D26" s="812">
        <f t="shared" ref="D26:R26" si="2">SUM(D24:D25)</f>
        <v>62.357142857142847</v>
      </c>
      <c r="E26" s="812">
        <f t="shared" si="2"/>
        <v>2220.657604</v>
      </c>
      <c r="F26" s="812">
        <f t="shared" si="2"/>
        <v>59.51247277018858</v>
      </c>
      <c r="G26" s="812">
        <f t="shared" si="2"/>
        <v>8435.8980875845991</v>
      </c>
      <c r="H26" s="812">
        <f t="shared" si="2"/>
        <v>0</v>
      </c>
      <c r="I26" s="812">
        <f t="shared" si="2"/>
        <v>0</v>
      </c>
      <c r="J26" s="812">
        <f t="shared" si="2"/>
        <v>0</v>
      </c>
      <c r="K26" s="812">
        <f t="shared" si="2"/>
        <v>332.25601122804551</v>
      </c>
      <c r="L26" s="812">
        <f t="shared" si="2"/>
        <v>0</v>
      </c>
      <c r="M26" s="812">
        <f t="shared" si="2"/>
        <v>0</v>
      </c>
      <c r="N26" s="812">
        <f t="shared" si="2"/>
        <v>0</v>
      </c>
      <c r="O26" s="812">
        <f t="shared" si="2"/>
        <v>0</v>
      </c>
      <c r="P26" s="812">
        <f t="shared" si="2"/>
        <v>0</v>
      </c>
      <c r="Q26" s="812">
        <f t="shared" si="2"/>
        <v>0</v>
      </c>
      <c r="R26" s="812">
        <f t="shared" si="2"/>
        <v>14123.487318439975</v>
      </c>
      <c r="S26" s="67"/>
    </row>
    <row r="27" spans="1:19" s="473" customFormat="1" ht="17.25" thickTop="1" thickBot="1">
      <c r="A27" s="706" t="s">
        <v>116</v>
      </c>
      <c r="B27" s="805"/>
      <c r="C27" s="707">
        <f ca="1">C22+C16+C26</f>
        <v>39679.107793473268</v>
      </c>
      <c r="D27" s="707">
        <f t="shared" ref="D27:R27" ca="1" si="3">D22+D16+D26</f>
        <v>1283.7857142857144</v>
      </c>
      <c r="E27" s="707">
        <f t="shared" ca="1" si="3"/>
        <v>68527.378885159385</v>
      </c>
      <c r="F27" s="707">
        <f t="shared" si="3"/>
        <v>3932.6129295677838</v>
      </c>
      <c r="G27" s="707">
        <f t="shared" ca="1" si="3"/>
        <v>13144.554663382645</v>
      </c>
      <c r="H27" s="707">
        <f t="shared" si="3"/>
        <v>160273.9608659003</v>
      </c>
      <c r="I27" s="707">
        <f t="shared" si="3"/>
        <v>21918.982975263756</v>
      </c>
      <c r="J27" s="707">
        <f t="shared" si="3"/>
        <v>0</v>
      </c>
      <c r="K27" s="707">
        <f t="shared" si="3"/>
        <v>1121.4167190343442</v>
      </c>
      <c r="L27" s="707">
        <f t="shared" si="3"/>
        <v>0</v>
      </c>
      <c r="M27" s="707">
        <f t="shared" ca="1" si="3"/>
        <v>0</v>
      </c>
      <c r="N27" s="707">
        <f t="shared" si="3"/>
        <v>5705.1921806641603</v>
      </c>
      <c r="O27" s="707">
        <f t="shared" ca="1" si="3"/>
        <v>14581.004689011359</v>
      </c>
      <c r="P27" s="707">
        <f t="shared" si="3"/>
        <v>275.1466666666667</v>
      </c>
      <c r="Q27" s="707">
        <f t="shared" si="3"/>
        <v>438.53333333333336</v>
      </c>
      <c r="R27" s="707">
        <f t="shared" ca="1" si="3"/>
        <v>330881.67741574277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588.48874542461988</v>
      </c>
      <c r="D40" s="1012">
        <f ca="1">tertiair!C20</f>
        <v>0</v>
      </c>
      <c r="E40" s="1012">
        <f ca="1">tertiair!D20</f>
        <v>2737.917740844</v>
      </c>
      <c r="F40" s="1012">
        <f>tertiair!E20</f>
        <v>41.994181181655108</v>
      </c>
      <c r="G40" s="1012">
        <f ca="1">tertiair!F20</f>
        <v>650.51088711222189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4018.9115545624973</v>
      </c>
    </row>
    <row r="41" spans="1:18">
      <c r="A41" s="822" t="s">
        <v>225</v>
      </c>
      <c r="B41" s="829"/>
      <c r="C41" s="1012">
        <f ca="1">huishoudens!B12</f>
        <v>1015.2173427390799</v>
      </c>
      <c r="D41" s="1012">
        <f ca="1">huishoudens!C12</f>
        <v>0</v>
      </c>
      <c r="E41" s="1012">
        <f>huishoudens!D12</f>
        <v>9433.2156240960012</v>
      </c>
      <c r="F41" s="1012">
        <f>huishoudens!E12</f>
        <v>620.53304923240205</v>
      </c>
      <c r="G41" s="1012">
        <f>huishoudens!F12</f>
        <v>0</v>
      </c>
      <c r="H41" s="1012">
        <f>huishoudens!G12</f>
        <v>0</v>
      </c>
      <c r="I41" s="1012">
        <f>huishoudens!H12</f>
        <v>0</v>
      </c>
      <c r="J41" s="1012">
        <f>huishoudens!I12</f>
        <v>0</v>
      </c>
      <c r="K41" s="1012">
        <f>huishoudens!J12</f>
        <v>272.85224193388041</v>
      </c>
      <c r="L41" s="1012">
        <f>huishoudens!K12</f>
        <v>0</v>
      </c>
      <c r="M41" s="1012">
        <f>huishoudens!L12</f>
        <v>0</v>
      </c>
      <c r="N41" s="1012">
        <f>huishoudens!M12</f>
        <v>0</v>
      </c>
      <c r="O41" s="1012">
        <f>huishoudens!N12</f>
        <v>0</v>
      </c>
      <c r="P41" s="1012">
        <f>huishoudens!O12</f>
        <v>0</v>
      </c>
      <c r="Q41" s="774">
        <f>huishoudens!P12</f>
        <v>0</v>
      </c>
      <c r="R41" s="850">
        <f t="shared" ca="1" si="4"/>
        <v>11341.818258001364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200.44900651732445</v>
      </c>
      <c r="D43" s="1012">
        <f ca="1">industrie!C22</f>
        <v>0</v>
      </c>
      <c r="E43" s="1012">
        <f>industrie!D22</f>
        <v>1206.8684610840003</v>
      </c>
      <c r="F43" s="1012">
        <f>industrie!E22</f>
        <v>135.60968801991888</v>
      </c>
      <c r="G43" s="1012">
        <f>industrie!F22</f>
        <v>606.70041862585663</v>
      </c>
      <c r="H43" s="1012">
        <f>industrie!G22</f>
        <v>0</v>
      </c>
      <c r="I43" s="1012">
        <f>industrie!H22</f>
        <v>0</v>
      </c>
      <c r="J43" s="1012">
        <f>industrie!I22</f>
        <v>0</v>
      </c>
      <c r="K43" s="1012">
        <f>industrie!J22</f>
        <v>6.5106486295492516</v>
      </c>
      <c r="L43" s="1012">
        <f>industrie!K22</f>
        <v>0</v>
      </c>
      <c r="M43" s="1012">
        <f>industrie!L22</f>
        <v>0</v>
      </c>
      <c r="N43" s="1012">
        <f>industrie!M22</f>
        <v>0</v>
      </c>
      <c r="O43" s="1012">
        <f>industrie!N22</f>
        <v>0</v>
      </c>
      <c r="P43" s="1012">
        <f>industrie!O22</f>
        <v>0</v>
      </c>
      <c r="Q43" s="774">
        <f>industrie!P22</f>
        <v>0</v>
      </c>
      <c r="R43" s="849">
        <f t="shared" ca="1" si="4"/>
        <v>2156.1382228766497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1804.1550946810244</v>
      </c>
      <c r="D46" s="732">
        <f t="shared" ref="D46:Q46" ca="1" si="5">SUM(D39:D45)</f>
        <v>0</v>
      </c>
      <c r="E46" s="732">
        <f t="shared" ca="1" si="5"/>
        <v>13378.001826024001</v>
      </c>
      <c r="F46" s="732">
        <f t="shared" si="5"/>
        <v>798.13691843397601</v>
      </c>
      <c r="G46" s="732">
        <f t="shared" ca="1" si="5"/>
        <v>1257.2113057380784</v>
      </c>
      <c r="H46" s="732">
        <f t="shared" si="5"/>
        <v>0</v>
      </c>
      <c r="I46" s="732">
        <f t="shared" si="5"/>
        <v>0</v>
      </c>
      <c r="J46" s="732">
        <f t="shared" si="5"/>
        <v>0</v>
      </c>
      <c r="K46" s="732">
        <f t="shared" si="5"/>
        <v>279.36289056342969</v>
      </c>
      <c r="L46" s="732">
        <f t="shared" si="5"/>
        <v>0</v>
      </c>
      <c r="M46" s="732">
        <f t="shared" ca="1" si="5"/>
        <v>0</v>
      </c>
      <c r="N46" s="732">
        <f t="shared" si="5"/>
        <v>0</v>
      </c>
      <c r="O46" s="732">
        <f t="shared" ca="1" si="5"/>
        <v>0</v>
      </c>
      <c r="P46" s="732">
        <f t="shared" si="5"/>
        <v>0</v>
      </c>
      <c r="Q46" s="732">
        <f t="shared" si="5"/>
        <v>0</v>
      </c>
      <c r="R46" s="732">
        <f ca="1">SUM(R39:R45)</f>
        <v>17516.868035440511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368.11851040568899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368.11851040568899</v>
      </c>
    </row>
    <row r="50" spans="1:18">
      <c r="A50" s="825" t="s">
        <v>307</v>
      </c>
      <c r="B50" s="835"/>
      <c r="C50" s="703">
        <f ca="1">transport!B18</f>
        <v>1.824265065674423</v>
      </c>
      <c r="D50" s="703">
        <f>transport!C18</f>
        <v>0</v>
      </c>
      <c r="E50" s="703">
        <f>transport!D18</f>
        <v>15.955872770196949</v>
      </c>
      <c r="F50" s="703">
        <f>transport!E18</f>
        <v>81.056885259078072</v>
      </c>
      <c r="G50" s="703">
        <f>transport!F18</f>
        <v>0</v>
      </c>
      <c r="H50" s="703">
        <f>transport!G18</f>
        <v>42425.029040789697</v>
      </c>
      <c r="I50" s="703">
        <f>transport!H18</f>
        <v>5457.826760840675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47981.692824725324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1.824265065674423</v>
      </c>
      <c r="D52" s="732">
        <f t="shared" ref="D52:Q52" ca="1" si="6">SUM(D48:D51)</f>
        <v>0</v>
      </c>
      <c r="E52" s="732">
        <f t="shared" si="6"/>
        <v>15.955872770196949</v>
      </c>
      <c r="F52" s="732">
        <f t="shared" si="6"/>
        <v>81.056885259078072</v>
      </c>
      <c r="G52" s="732">
        <f t="shared" si="6"/>
        <v>0</v>
      </c>
      <c r="H52" s="732">
        <f t="shared" si="6"/>
        <v>42793.147551195383</v>
      </c>
      <c r="I52" s="732">
        <f t="shared" si="6"/>
        <v>5457.826760840675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48349.811335131009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113.67553033741213</v>
      </c>
      <c r="D54" s="703">
        <f ca="1">+landbouw!C12</f>
        <v>0</v>
      </c>
      <c r="E54" s="703">
        <f>+landbouw!D12</f>
        <v>252.79019400800001</v>
      </c>
      <c r="F54" s="703">
        <f>+landbouw!E12</f>
        <v>13.509331318832809</v>
      </c>
      <c r="G54" s="703">
        <f>+landbouw!F12</f>
        <v>2252.384789385088</v>
      </c>
      <c r="H54" s="703">
        <f>+landbouw!G12</f>
        <v>0</v>
      </c>
      <c r="I54" s="703">
        <f>+landbouw!H12</f>
        <v>0</v>
      </c>
      <c r="J54" s="703">
        <f>+landbouw!I12</f>
        <v>0</v>
      </c>
      <c r="K54" s="703">
        <f>+landbouw!J12</f>
        <v>117.6186279747281</v>
      </c>
      <c r="L54" s="703">
        <f>+landbouw!K12</f>
        <v>0</v>
      </c>
      <c r="M54" s="703">
        <f>+landbouw!L12</f>
        <v>0</v>
      </c>
      <c r="N54" s="703">
        <f>+landbouw!M12</f>
        <v>0</v>
      </c>
      <c r="O54" s="703">
        <f>+landbouw!N12</f>
        <v>0</v>
      </c>
      <c r="P54" s="703">
        <f>+landbouw!O12</f>
        <v>0</v>
      </c>
      <c r="Q54" s="704">
        <f>+landbouw!P12</f>
        <v>0</v>
      </c>
      <c r="R54" s="731">
        <f ca="1">SUM(C54:Q54)</f>
        <v>2749.9784730240608</v>
      </c>
    </row>
    <row r="55" spans="1:18" ht="15" thickBot="1">
      <c r="A55" s="825" t="s">
        <v>848</v>
      </c>
      <c r="B55" s="835"/>
      <c r="C55" s="703">
        <f ca="1">C25*'EF ele_warmte'!B12</f>
        <v>34.718640461933127</v>
      </c>
      <c r="D55" s="703"/>
      <c r="E55" s="703">
        <f>E25*EF_CO2_aardgas</f>
        <v>195.78264200000001</v>
      </c>
      <c r="F55" s="703"/>
      <c r="G55" s="703"/>
      <c r="H55" s="703"/>
      <c r="I55" s="703"/>
      <c r="J55" s="703"/>
      <c r="K55" s="703"/>
      <c r="L55" s="703"/>
      <c r="M55" s="703"/>
      <c r="N55" s="703"/>
      <c r="O55" s="703"/>
      <c r="P55" s="703"/>
      <c r="Q55" s="704"/>
      <c r="R55" s="731">
        <f ca="1">SUM(C55:Q55)</f>
        <v>230.50128246193313</v>
      </c>
    </row>
    <row r="56" spans="1:18" ht="15.75" thickBot="1">
      <c r="A56" s="823" t="s">
        <v>849</v>
      </c>
      <c r="B56" s="836"/>
      <c r="C56" s="732">
        <f ca="1">SUM(C54:C55)</f>
        <v>148.39417079934526</v>
      </c>
      <c r="D56" s="732">
        <f t="shared" ref="D56:Q56" ca="1" si="7">SUM(D54:D55)</f>
        <v>0</v>
      </c>
      <c r="E56" s="732">
        <f t="shared" si="7"/>
        <v>448.57283600800002</v>
      </c>
      <c r="F56" s="732">
        <f t="shared" si="7"/>
        <v>13.509331318832809</v>
      </c>
      <c r="G56" s="732">
        <f t="shared" si="7"/>
        <v>2252.384789385088</v>
      </c>
      <c r="H56" s="732">
        <f t="shared" si="7"/>
        <v>0</v>
      </c>
      <c r="I56" s="732">
        <f t="shared" si="7"/>
        <v>0</v>
      </c>
      <c r="J56" s="732">
        <f t="shared" si="7"/>
        <v>0</v>
      </c>
      <c r="K56" s="732">
        <f t="shared" si="7"/>
        <v>117.6186279747281</v>
      </c>
      <c r="L56" s="732">
        <f t="shared" si="7"/>
        <v>0</v>
      </c>
      <c r="M56" s="732">
        <f t="shared" si="7"/>
        <v>0</v>
      </c>
      <c r="N56" s="732">
        <f t="shared" si="7"/>
        <v>0</v>
      </c>
      <c r="O56" s="732">
        <f t="shared" si="7"/>
        <v>0</v>
      </c>
      <c r="P56" s="732">
        <f t="shared" si="7"/>
        <v>0</v>
      </c>
      <c r="Q56" s="733">
        <f t="shared" si="7"/>
        <v>0</v>
      </c>
      <c r="R56" s="734">
        <f ca="1">SUM(R54:R55)</f>
        <v>2980.4797554859938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1954.3735305460441</v>
      </c>
      <c r="D61" s="740">
        <f t="shared" ref="D61:Q61" ca="1" si="8">D46+D52+D56</f>
        <v>0</v>
      </c>
      <c r="E61" s="740">
        <f t="shared" ca="1" si="8"/>
        <v>13842.530534802198</v>
      </c>
      <c r="F61" s="740">
        <f t="shared" si="8"/>
        <v>892.70313501188684</v>
      </c>
      <c r="G61" s="740">
        <f t="shared" ca="1" si="8"/>
        <v>3509.5960951231664</v>
      </c>
      <c r="H61" s="740">
        <f t="shared" si="8"/>
        <v>42793.147551195383</v>
      </c>
      <c r="I61" s="740">
        <f t="shared" si="8"/>
        <v>5457.826760840675</v>
      </c>
      <c r="J61" s="740">
        <f t="shared" si="8"/>
        <v>0</v>
      </c>
      <c r="K61" s="740">
        <f t="shared" si="8"/>
        <v>396.98151853815779</v>
      </c>
      <c r="L61" s="740">
        <f t="shared" si="8"/>
        <v>0</v>
      </c>
      <c r="M61" s="740">
        <f t="shared" ca="1" si="8"/>
        <v>0</v>
      </c>
      <c r="N61" s="740">
        <f t="shared" si="8"/>
        <v>0</v>
      </c>
      <c r="O61" s="740">
        <f t="shared" ca="1" si="8"/>
        <v>0</v>
      </c>
      <c r="P61" s="740">
        <f t="shared" si="8"/>
        <v>0</v>
      </c>
      <c r="Q61" s="740">
        <f t="shared" si="8"/>
        <v>0</v>
      </c>
      <c r="R61" s="740">
        <f ca="1">R46+R52+R56</f>
        <v>68847.159126057522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4.9254472674093615E-2</v>
      </c>
      <c r="D63" s="781">
        <f t="shared" ca="1" si="9"/>
        <v>0</v>
      </c>
      <c r="E63" s="1023">
        <f t="shared" ca="1" si="9"/>
        <v>0.20200000000000001</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24341.147871308051</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5190.9907794229375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898.65</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1057.2352941176471</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405</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1012.5</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30835.788650730989</v>
      </c>
      <c r="C78" s="755">
        <f>SUM(C72:C77)</f>
        <v>0</v>
      </c>
      <c r="D78" s="756">
        <f t="shared" ref="D78:H78" si="10">SUM(D76:D77)</f>
        <v>0</v>
      </c>
      <c r="E78" s="756">
        <f t="shared" si="10"/>
        <v>0</v>
      </c>
      <c r="F78" s="756">
        <f t="shared" si="10"/>
        <v>0</v>
      </c>
      <c r="G78" s="756">
        <f t="shared" si="10"/>
        <v>0</v>
      </c>
      <c r="H78" s="756">
        <f t="shared" si="10"/>
        <v>0</v>
      </c>
      <c r="I78" s="756">
        <f>SUM(I76:I77)</f>
        <v>1012.5</v>
      </c>
      <c r="J78" s="756">
        <f>SUM(J76:J77)</f>
        <v>1057.2352941176471</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1283.7857142857144</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1510.3361344537818</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1283.7857142857144</v>
      </c>
      <c r="C90" s="755">
        <f>SUM(C87:C89)</f>
        <v>0</v>
      </c>
      <c r="D90" s="755">
        <f t="shared" ref="D90:H90" si="12">SUM(D87:D89)</f>
        <v>0</v>
      </c>
      <c r="E90" s="755">
        <f t="shared" si="12"/>
        <v>0</v>
      </c>
      <c r="F90" s="755">
        <f t="shared" si="12"/>
        <v>0</v>
      </c>
      <c r="G90" s="755">
        <f t="shared" si="12"/>
        <v>0</v>
      </c>
      <c r="H90" s="755">
        <f t="shared" si="12"/>
        <v>0</v>
      </c>
      <c r="I90" s="755">
        <f>SUM(I87:I89)</f>
        <v>0</v>
      </c>
      <c r="J90" s="755">
        <f>SUM(J87:J89)</f>
        <v>1510.3361344537818</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24341.147871308051</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5190.9907794229375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898.65</v>
      </c>
      <c r="C8" s="570">
        <f>B101</f>
        <v>0</v>
      </c>
      <c r="D8" s="1043"/>
      <c r="E8" s="1043">
        <f>E101</f>
        <v>0</v>
      </c>
      <c r="F8" s="1044"/>
      <c r="G8" s="571"/>
      <c r="H8" s="1043">
        <f>I101</f>
        <v>0</v>
      </c>
      <c r="I8" s="1043">
        <f>G101+F101</f>
        <v>0</v>
      </c>
      <c r="J8" s="1043">
        <f>H101+D101+C101</f>
        <v>1057.2352941176471</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405</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30835.788650730989</v>
      </c>
      <c r="C10" s="583">
        <f t="shared" ref="C10:L10" si="0">SUM(C8:C9)</f>
        <v>0</v>
      </c>
      <c r="D10" s="583">
        <f t="shared" si="0"/>
        <v>0</v>
      </c>
      <c r="E10" s="583">
        <f t="shared" si="0"/>
        <v>0</v>
      </c>
      <c r="F10" s="583">
        <f t="shared" si="0"/>
        <v>0</v>
      </c>
      <c r="G10" s="583">
        <f t="shared" si="0"/>
        <v>0</v>
      </c>
      <c r="H10" s="583">
        <f t="shared" si="0"/>
        <v>0</v>
      </c>
      <c r="I10" s="583">
        <f t="shared" si="0"/>
        <v>1012.5</v>
      </c>
      <c r="J10" s="583">
        <f t="shared" si="0"/>
        <v>1057.2352941176471</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1283.7857142857144</v>
      </c>
      <c r="C17" s="595">
        <f>B102</f>
        <v>0</v>
      </c>
      <c r="D17" s="596"/>
      <c r="E17" s="596">
        <f>E102</f>
        <v>0</v>
      </c>
      <c r="F17" s="1049"/>
      <c r="G17" s="597"/>
      <c r="H17" s="595">
        <f>I102</f>
        <v>0</v>
      </c>
      <c r="I17" s="596">
        <f>G102+F102</f>
        <v>0</v>
      </c>
      <c r="J17" s="596">
        <f>H102+D102+C102</f>
        <v>1510.3361344537818</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1283.7857142857144</v>
      </c>
      <c r="C20" s="582">
        <f>SUM(C17:C19)</f>
        <v>0</v>
      </c>
      <c r="D20" s="582">
        <f t="shared" ref="D20:L20" si="1">SUM(D17:D19)</f>
        <v>0</v>
      </c>
      <c r="E20" s="582">
        <f t="shared" si="1"/>
        <v>0</v>
      </c>
      <c r="F20" s="582">
        <f t="shared" si="1"/>
        <v>0</v>
      </c>
      <c r="G20" s="582">
        <f t="shared" si="1"/>
        <v>0</v>
      </c>
      <c r="H20" s="582">
        <f t="shared" si="1"/>
        <v>0</v>
      </c>
      <c r="I20" s="582">
        <f t="shared" si="1"/>
        <v>0</v>
      </c>
      <c r="J20" s="582">
        <f t="shared" si="1"/>
        <v>1510.3361344537818</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35005</v>
      </c>
      <c r="C28" s="796">
        <v>8470</v>
      </c>
      <c r="D28" s="653" t="s">
        <v>890</v>
      </c>
      <c r="E28" s="652" t="s">
        <v>891</v>
      </c>
      <c r="F28" s="652" t="s">
        <v>892</v>
      </c>
      <c r="G28" s="652" t="s">
        <v>893</v>
      </c>
      <c r="H28" s="652" t="s">
        <v>894</v>
      </c>
      <c r="I28" s="652" t="s">
        <v>891</v>
      </c>
      <c r="J28" s="795">
        <v>41117</v>
      </c>
      <c r="K28" s="795">
        <v>41275</v>
      </c>
      <c r="L28" s="652" t="s">
        <v>895</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25.5">
      <c r="A29" s="605"/>
      <c r="B29" s="796">
        <v>35005</v>
      </c>
      <c r="C29" s="796">
        <v>8470</v>
      </c>
      <c r="D29" s="653" t="s">
        <v>896</v>
      </c>
      <c r="E29" s="652" t="s">
        <v>897</v>
      </c>
      <c r="F29" s="652" t="s">
        <v>898</v>
      </c>
      <c r="G29" s="652" t="s">
        <v>893</v>
      </c>
      <c r="H29" s="652" t="s">
        <v>894</v>
      </c>
      <c r="I29" s="652" t="s">
        <v>899</v>
      </c>
      <c r="J29" s="795">
        <v>41400</v>
      </c>
      <c r="K29" s="795">
        <v>41400</v>
      </c>
      <c r="L29" s="652" t="s">
        <v>895</v>
      </c>
      <c r="M29" s="652">
        <v>190</v>
      </c>
      <c r="N29" s="652">
        <v>855</v>
      </c>
      <c r="O29" s="652">
        <v>1221.4285714285716</v>
      </c>
      <c r="P29" s="652">
        <v>0</v>
      </c>
      <c r="Q29" s="652">
        <v>2442.8571428571431</v>
      </c>
      <c r="R29" s="652">
        <v>0</v>
      </c>
      <c r="S29" s="652">
        <v>0</v>
      </c>
      <c r="T29" s="652">
        <v>0</v>
      </c>
      <c r="U29" s="652">
        <v>0</v>
      </c>
      <c r="V29" s="652">
        <v>0</v>
      </c>
      <c r="W29" s="652">
        <v>0</v>
      </c>
      <c r="X29" s="652">
        <v>1600</v>
      </c>
      <c r="Y29" s="652" t="s">
        <v>54</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199.7</v>
      </c>
      <c r="N58" s="610">
        <f>SUM(N28:N57)</f>
        <v>898.65</v>
      </c>
      <c r="O58" s="610">
        <f t="shared" ref="O58:W58" si="2">SUM(O28:O57)</f>
        <v>1283.7857142857144</v>
      </c>
      <c r="P58" s="610">
        <f t="shared" si="2"/>
        <v>0</v>
      </c>
      <c r="Q58" s="610">
        <f t="shared" si="2"/>
        <v>2567.5714285714289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190</v>
      </c>
      <c r="N60" s="610">
        <f ca="1">SUMIF($Z$28:AD57,"tertiair",N28:N57)</f>
        <v>855</v>
      </c>
      <c r="O60" s="610">
        <f ca="1">SUMIF($Z$28:AE57,"tertiair",O28:O57)</f>
        <v>1221.4285714285716</v>
      </c>
      <c r="P60" s="610">
        <f ca="1">SUMIF($Z$28:AF57,"tertiair",P28:P57)</f>
        <v>0</v>
      </c>
      <c r="Q60" s="610">
        <f ca="1">SUMIF($Z$28:AG57,"tertiair",Q28:Q57)</f>
        <v>2442.8571428571431</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38.25">
      <c r="A64" s="607"/>
      <c r="B64" s="796">
        <v>35005</v>
      </c>
      <c r="C64" s="796">
        <v>8470</v>
      </c>
      <c r="D64" s="655" t="s">
        <v>900</v>
      </c>
      <c r="E64" s="655" t="s">
        <v>901</v>
      </c>
      <c r="F64" s="655" t="s">
        <v>902</v>
      </c>
      <c r="G64" s="655" t="s">
        <v>903</v>
      </c>
      <c r="H64" s="655" t="s">
        <v>904</v>
      </c>
      <c r="I64" s="655" t="s">
        <v>901</v>
      </c>
      <c r="J64" s="795">
        <v>38944</v>
      </c>
      <c r="K64" s="795">
        <v>39239</v>
      </c>
      <c r="L64" s="655" t="s">
        <v>895</v>
      </c>
      <c r="M64" s="655">
        <v>90</v>
      </c>
      <c r="N64" s="655">
        <v>405</v>
      </c>
      <c r="O64" s="655">
        <v>0</v>
      </c>
      <c r="P64" s="655">
        <v>0</v>
      </c>
      <c r="Q64" s="655">
        <v>0</v>
      </c>
      <c r="R64" s="655">
        <v>0</v>
      </c>
      <c r="S64" s="655">
        <v>0</v>
      </c>
      <c r="T64" s="655">
        <v>0</v>
      </c>
      <c r="U64" s="655">
        <v>1012.5</v>
      </c>
      <c r="V64" s="655">
        <v>0</v>
      </c>
      <c r="W64" s="655">
        <v>0</v>
      </c>
      <c r="X64" s="655">
        <v>10</v>
      </c>
      <c r="Y64" s="655" t="s">
        <v>112</v>
      </c>
      <c r="Z64" s="656" t="s">
        <v>112</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90</v>
      </c>
      <c r="N89" s="610">
        <f t="shared" ref="N89:W89" si="5">SUM(N64:N88)</f>
        <v>405</v>
      </c>
      <c r="O89" s="610">
        <f t="shared" si="5"/>
        <v>0</v>
      </c>
      <c r="P89" s="610">
        <f t="shared" si="5"/>
        <v>0</v>
      </c>
      <c r="Q89" s="610">
        <f t="shared" si="5"/>
        <v>0</v>
      </c>
      <c r="R89" s="610">
        <f t="shared" si="5"/>
        <v>0</v>
      </c>
      <c r="S89" s="610">
        <f t="shared" si="5"/>
        <v>0</v>
      </c>
      <c r="T89" s="610">
        <f t="shared" si="5"/>
        <v>0</v>
      </c>
      <c r="U89" s="610">
        <f t="shared" si="5"/>
        <v>1012.5</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90</v>
      </c>
      <c r="N92" s="615">
        <f t="shared" si="8"/>
        <v>405</v>
      </c>
      <c r="O92" s="615">
        <f t="shared" si="8"/>
        <v>0</v>
      </c>
      <c r="P92" s="615">
        <f t="shared" si="8"/>
        <v>0</v>
      </c>
      <c r="Q92" s="615">
        <f t="shared" si="8"/>
        <v>0</v>
      </c>
      <c r="R92" s="615">
        <f t="shared" si="8"/>
        <v>0</v>
      </c>
      <c r="S92" s="615">
        <f t="shared" si="8"/>
        <v>0</v>
      </c>
      <c r="T92" s="615">
        <f t="shared" si="8"/>
        <v>0</v>
      </c>
      <c r="U92" s="615">
        <f t="shared" si="8"/>
        <v>1012.5</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1057.2352941176471</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1510.3361344537818</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20611.67824202601</v>
      </c>
      <c r="C4" s="477">
        <f>huishoudens!C8</f>
        <v>0</v>
      </c>
      <c r="D4" s="477">
        <f>huishoudens!D8</f>
        <v>46699.087248000003</v>
      </c>
      <c r="E4" s="477">
        <f>huishoudens!E8</f>
        <v>2733.6257675436214</v>
      </c>
      <c r="F4" s="477">
        <f>huishoudens!F8</f>
        <v>0</v>
      </c>
      <c r="G4" s="477">
        <f>huishoudens!G8</f>
        <v>0</v>
      </c>
      <c r="H4" s="477">
        <f>huishoudens!H8</f>
        <v>0</v>
      </c>
      <c r="I4" s="477">
        <f>huishoudens!I8</f>
        <v>0</v>
      </c>
      <c r="J4" s="477">
        <f>huishoudens!J8</f>
        <v>770.76904501096169</v>
      </c>
      <c r="K4" s="477">
        <f>huishoudens!K8</f>
        <v>0</v>
      </c>
      <c r="L4" s="477">
        <f>huishoudens!L8</f>
        <v>0</v>
      </c>
      <c r="M4" s="477">
        <f>huishoudens!M8</f>
        <v>0</v>
      </c>
      <c r="N4" s="477">
        <f>huishoudens!N8</f>
        <v>13309.161412712858</v>
      </c>
      <c r="O4" s="477">
        <f>huishoudens!O8</f>
        <v>272.02000000000004</v>
      </c>
      <c r="P4" s="478">
        <f>huishoudens!P8</f>
        <v>419.4666666666667</v>
      </c>
      <c r="Q4" s="479">
        <f>SUM(B4:P4)</f>
        <v>84815.808381960116</v>
      </c>
    </row>
    <row r="5" spans="1:17">
      <c r="A5" s="476" t="s">
        <v>156</v>
      </c>
      <c r="B5" s="477">
        <f ca="1">tertiair!B16</f>
        <v>10873.927</v>
      </c>
      <c r="C5" s="477">
        <f ca="1">tertiair!C16</f>
        <v>1221.4285714285716</v>
      </c>
      <c r="D5" s="477">
        <f ca="1">tertiair!D16</f>
        <v>13554.048221999999</v>
      </c>
      <c r="E5" s="477">
        <f>tertiair!E16</f>
        <v>184.99639287072733</v>
      </c>
      <c r="F5" s="477">
        <f ca="1">tertiair!F16</f>
        <v>2436.3703637161866</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3.1266666666666669</v>
      </c>
      <c r="P5" s="478">
        <f>tertiair!P16</f>
        <v>19.066666666666666</v>
      </c>
      <c r="Q5" s="476">
        <f t="shared" ref="Q5:Q14" ca="1" si="0">SUM(B5:P5)</f>
        <v>28292.963883348817</v>
      </c>
    </row>
    <row r="6" spans="1:17">
      <c r="A6" s="476" t="s">
        <v>194</v>
      </c>
      <c r="B6" s="477">
        <f>'openbare verlichting'!B8</f>
        <v>1073.998</v>
      </c>
      <c r="C6" s="477"/>
      <c r="D6" s="477"/>
      <c r="E6" s="477"/>
      <c r="F6" s="477"/>
      <c r="G6" s="477"/>
      <c r="H6" s="477"/>
      <c r="I6" s="477"/>
      <c r="J6" s="477"/>
      <c r="K6" s="477"/>
      <c r="L6" s="477"/>
      <c r="M6" s="477"/>
      <c r="N6" s="477"/>
      <c r="O6" s="477"/>
      <c r="P6" s="478"/>
      <c r="Q6" s="476">
        <f t="shared" si="0"/>
        <v>1073.998</v>
      </c>
    </row>
    <row r="7" spans="1:17">
      <c r="A7" s="476" t="s">
        <v>112</v>
      </c>
      <c r="B7" s="477">
        <f>landbouw!B8</f>
        <v>2307.9229999999998</v>
      </c>
      <c r="C7" s="477">
        <f>landbouw!C8</f>
        <v>62.357142857142847</v>
      </c>
      <c r="D7" s="477">
        <f>landbouw!D8</f>
        <v>1251.436604</v>
      </c>
      <c r="E7" s="477">
        <f>landbouw!E8</f>
        <v>59.51247277018858</v>
      </c>
      <c r="F7" s="477">
        <f>landbouw!F8</f>
        <v>8435.8980875845991</v>
      </c>
      <c r="G7" s="477">
        <f>landbouw!G8</f>
        <v>0</v>
      </c>
      <c r="H7" s="477">
        <f>landbouw!H8</f>
        <v>0</v>
      </c>
      <c r="I7" s="477">
        <f>landbouw!I8</f>
        <v>0</v>
      </c>
      <c r="J7" s="477">
        <f>landbouw!J8</f>
        <v>332.25601122804551</v>
      </c>
      <c r="K7" s="477">
        <f>landbouw!K8</f>
        <v>0</v>
      </c>
      <c r="L7" s="477">
        <f>landbouw!L8</f>
        <v>0</v>
      </c>
      <c r="M7" s="477">
        <f>landbouw!M8</f>
        <v>0</v>
      </c>
      <c r="N7" s="477">
        <f>landbouw!N8</f>
        <v>0</v>
      </c>
      <c r="O7" s="477">
        <f>landbouw!O8</f>
        <v>0</v>
      </c>
      <c r="P7" s="478">
        <f>landbouw!P8</f>
        <v>0</v>
      </c>
      <c r="Q7" s="476">
        <f t="shared" si="0"/>
        <v>12449.383318439975</v>
      </c>
    </row>
    <row r="8" spans="1:17">
      <c r="A8" s="476" t="s">
        <v>638</v>
      </c>
      <c r="B8" s="477">
        <f>industrie!B18</f>
        <v>4069.6609999999996</v>
      </c>
      <c r="C8" s="477">
        <f>industrie!C18</f>
        <v>0</v>
      </c>
      <c r="D8" s="477">
        <f>industrie!D18</f>
        <v>5974.5963420000007</v>
      </c>
      <c r="E8" s="477">
        <f>industrie!E18</f>
        <v>597.39950669567781</v>
      </c>
      <c r="F8" s="477">
        <f>industrie!F18</f>
        <v>2272.28621208186</v>
      </c>
      <c r="G8" s="477">
        <f>industrie!G18</f>
        <v>0</v>
      </c>
      <c r="H8" s="477">
        <f>industrie!H18</f>
        <v>0</v>
      </c>
      <c r="I8" s="477">
        <f>industrie!I18</f>
        <v>0</v>
      </c>
      <c r="J8" s="477">
        <f>industrie!J18</f>
        <v>18.39166279533687</v>
      </c>
      <c r="K8" s="477">
        <f>industrie!K18</f>
        <v>0</v>
      </c>
      <c r="L8" s="477">
        <f>industrie!L18</f>
        <v>0</v>
      </c>
      <c r="M8" s="477">
        <f>industrie!M18</f>
        <v>0</v>
      </c>
      <c r="N8" s="477">
        <f>industrie!N18</f>
        <v>1271.8432762985012</v>
      </c>
      <c r="O8" s="477">
        <f>industrie!O18</f>
        <v>0</v>
      </c>
      <c r="P8" s="478">
        <f>industrie!P18</f>
        <v>0</v>
      </c>
      <c r="Q8" s="476">
        <f t="shared" si="0"/>
        <v>14204.177999871377</v>
      </c>
    </row>
    <row r="9" spans="1:17" s="482" customFormat="1">
      <c r="A9" s="480" t="s">
        <v>564</v>
      </c>
      <c r="B9" s="481">
        <f>transport!B14</f>
        <v>37.037551447260391</v>
      </c>
      <c r="C9" s="481">
        <f>transport!C14</f>
        <v>0</v>
      </c>
      <c r="D9" s="481">
        <f>transport!D14</f>
        <v>78.989469159390836</v>
      </c>
      <c r="E9" s="481">
        <f>transport!E14</f>
        <v>357.07878968756859</v>
      </c>
      <c r="F9" s="481">
        <f>transport!F14</f>
        <v>0</v>
      </c>
      <c r="G9" s="481">
        <f>transport!G14</f>
        <v>158895.23985314491</v>
      </c>
      <c r="H9" s="481">
        <f>transport!H14</f>
        <v>21918.982975263756</v>
      </c>
      <c r="I9" s="481">
        <f>transport!I14</f>
        <v>0</v>
      </c>
      <c r="J9" s="481">
        <f>transport!J14</f>
        <v>0</v>
      </c>
      <c r="K9" s="481">
        <f>transport!K14</f>
        <v>0</v>
      </c>
      <c r="L9" s="481">
        <f>transport!L14</f>
        <v>0</v>
      </c>
      <c r="M9" s="481">
        <f>transport!M14</f>
        <v>5662.4273392984423</v>
      </c>
      <c r="N9" s="481">
        <f>transport!N14</f>
        <v>0</v>
      </c>
      <c r="O9" s="481">
        <f>transport!O14</f>
        <v>0</v>
      </c>
      <c r="P9" s="481">
        <f>transport!P14</f>
        <v>0</v>
      </c>
      <c r="Q9" s="480">
        <f>SUM(B9:P9)</f>
        <v>186949.75597800134</v>
      </c>
    </row>
    <row r="10" spans="1:17">
      <c r="A10" s="476" t="s">
        <v>554</v>
      </c>
      <c r="B10" s="477">
        <f>transport!B54</f>
        <v>0</v>
      </c>
      <c r="C10" s="477">
        <f>transport!C54</f>
        <v>0</v>
      </c>
      <c r="D10" s="477">
        <f>transport!D54</f>
        <v>0</v>
      </c>
      <c r="E10" s="477">
        <f>transport!E54</f>
        <v>0</v>
      </c>
      <c r="F10" s="477">
        <f>transport!F54</f>
        <v>0</v>
      </c>
      <c r="G10" s="477">
        <f>transport!G54</f>
        <v>1378.7210127553894</v>
      </c>
      <c r="H10" s="477">
        <f>transport!H54</f>
        <v>0</v>
      </c>
      <c r="I10" s="477">
        <f>transport!I54</f>
        <v>0</v>
      </c>
      <c r="J10" s="477">
        <f>transport!J54</f>
        <v>0</v>
      </c>
      <c r="K10" s="477">
        <f>transport!K54</f>
        <v>0</v>
      </c>
      <c r="L10" s="477">
        <f>transport!L54</f>
        <v>0</v>
      </c>
      <c r="M10" s="477">
        <f>transport!M54</f>
        <v>42.764841365717906</v>
      </c>
      <c r="N10" s="477">
        <f>transport!N54</f>
        <v>0</v>
      </c>
      <c r="O10" s="477">
        <f>transport!O54</f>
        <v>0</v>
      </c>
      <c r="P10" s="478">
        <f>transport!P54</f>
        <v>0</v>
      </c>
      <c r="Q10" s="476">
        <f t="shared" si="0"/>
        <v>1421.4858541211074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704.88300000000004</v>
      </c>
      <c r="C14" s="484"/>
      <c r="D14" s="484">
        <f>'SEAP template'!E25</f>
        <v>969.221</v>
      </c>
      <c r="E14" s="484"/>
      <c r="F14" s="484"/>
      <c r="G14" s="484"/>
      <c r="H14" s="484"/>
      <c r="I14" s="484"/>
      <c r="J14" s="484"/>
      <c r="K14" s="484"/>
      <c r="L14" s="484"/>
      <c r="M14" s="484"/>
      <c r="N14" s="484"/>
      <c r="O14" s="484"/>
      <c r="P14" s="485"/>
      <c r="Q14" s="476">
        <f t="shared" si="0"/>
        <v>1674.104</v>
      </c>
    </row>
    <row r="15" spans="1:17" s="486" customFormat="1">
      <c r="A15" s="1038" t="s">
        <v>558</v>
      </c>
      <c r="B15" s="978">
        <f ca="1">SUM(B4:B14)</f>
        <v>39679.107793473275</v>
      </c>
      <c r="C15" s="978">
        <f t="shared" ref="C15:Q15" ca="1" si="1">SUM(C4:C14)</f>
        <v>1283.7857142857144</v>
      </c>
      <c r="D15" s="978">
        <f t="shared" ca="1" si="1"/>
        <v>68527.3788851594</v>
      </c>
      <c r="E15" s="978">
        <f t="shared" si="1"/>
        <v>3932.6129295677838</v>
      </c>
      <c r="F15" s="978">
        <f t="shared" ca="1" si="1"/>
        <v>13144.554663382645</v>
      </c>
      <c r="G15" s="978">
        <f t="shared" si="1"/>
        <v>160273.9608659003</v>
      </c>
      <c r="H15" s="978">
        <f t="shared" si="1"/>
        <v>21918.982975263756</v>
      </c>
      <c r="I15" s="978">
        <f t="shared" si="1"/>
        <v>0</v>
      </c>
      <c r="J15" s="978">
        <f t="shared" si="1"/>
        <v>1121.4167190343442</v>
      </c>
      <c r="K15" s="978">
        <f t="shared" si="1"/>
        <v>0</v>
      </c>
      <c r="L15" s="978">
        <f t="shared" ca="1" si="1"/>
        <v>0</v>
      </c>
      <c r="M15" s="978">
        <f t="shared" si="1"/>
        <v>5705.1921806641603</v>
      </c>
      <c r="N15" s="978">
        <f t="shared" ca="1" si="1"/>
        <v>14581.004689011359</v>
      </c>
      <c r="O15" s="978">
        <f t="shared" si="1"/>
        <v>275.1466666666667</v>
      </c>
      <c r="P15" s="978">
        <f t="shared" si="1"/>
        <v>438.53333333333336</v>
      </c>
      <c r="Q15" s="978">
        <f t="shared" ca="1" si="1"/>
        <v>330881.67741574271</v>
      </c>
    </row>
    <row r="17" spans="1:17">
      <c r="A17" s="487" t="s">
        <v>559</v>
      </c>
      <c r="B17" s="786">
        <f ca="1">huishoudens!B10</f>
        <v>4.9254472674093608E-2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1015.2173427390799</v>
      </c>
      <c r="C22" s="477">
        <f t="shared" ref="C22:C32" ca="1" si="3">C4*$C$17</f>
        <v>0</v>
      </c>
      <c r="D22" s="477">
        <f t="shared" ref="D22:D32" si="4">D4*$D$17</f>
        <v>9433.2156240960012</v>
      </c>
      <c r="E22" s="477">
        <f t="shared" ref="E22:E32" si="5">E4*$E$17</f>
        <v>620.53304923240205</v>
      </c>
      <c r="F22" s="477">
        <f t="shared" ref="F22:F32" si="6">F4*$F$17</f>
        <v>0</v>
      </c>
      <c r="G22" s="477">
        <f t="shared" ref="G22:G32" si="7">G4*$G$17</f>
        <v>0</v>
      </c>
      <c r="H22" s="477">
        <f t="shared" ref="H22:H32" si="8">H4*$H$17</f>
        <v>0</v>
      </c>
      <c r="I22" s="477">
        <f t="shared" ref="I22:I32" si="9">I4*$I$17</f>
        <v>0</v>
      </c>
      <c r="J22" s="477">
        <f t="shared" ref="J22:J32" si="10">J4*$J$17</f>
        <v>272.85224193388041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11341.818258001364</v>
      </c>
    </row>
    <row r="23" spans="1:17">
      <c r="A23" s="476" t="s">
        <v>156</v>
      </c>
      <c r="B23" s="477">
        <f t="shared" ca="1" si="2"/>
        <v>535.58954028158871</v>
      </c>
      <c r="C23" s="477">
        <f t="shared" ca="1" si="3"/>
        <v>0</v>
      </c>
      <c r="D23" s="477">
        <f t="shared" ca="1" si="4"/>
        <v>2737.917740844</v>
      </c>
      <c r="E23" s="477">
        <f t="shared" si="5"/>
        <v>41.994181181655108</v>
      </c>
      <c r="F23" s="477">
        <f t="shared" ca="1" si="6"/>
        <v>650.51088711222189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3966.0123494194659</v>
      </c>
    </row>
    <row r="24" spans="1:17">
      <c r="A24" s="476" t="s">
        <v>194</v>
      </c>
      <c r="B24" s="477">
        <f t="shared" ca="1" si="2"/>
        <v>52.899205143031189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52.899205143031189</v>
      </c>
    </row>
    <row r="25" spans="1:17">
      <c r="A25" s="476" t="s">
        <v>112</v>
      </c>
      <c r="B25" s="477">
        <f t="shared" ca="1" si="2"/>
        <v>113.67553033741213</v>
      </c>
      <c r="C25" s="477">
        <f t="shared" ca="1" si="3"/>
        <v>0</v>
      </c>
      <c r="D25" s="477">
        <f t="shared" si="4"/>
        <v>252.79019400800001</v>
      </c>
      <c r="E25" s="477">
        <f t="shared" si="5"/>
        <v>13.509331318832809</v>
      </c>
      <c r="F25" s="477">
        <f t="shared" si="6"/>
        <v>2252.384789385088</v>
      </c>
      <c r="G25" s="477">
        <f t="shared" si="7"/>
        <v>0</v>
      </c>
      <c r="H25" s="477">
        <f t="shared" si="8"/>
        <v>0</v>
      </c>
      <c r="I25" s="477">
        <f t="shared" si="9"/>
        <v>0</v>
      </c>
      <c r="J25" s="477">
        <f t="shared" si="10"/>
        <v>117.6186279747281</v>
      </c>
      <c r="K25" s="477">
        <f t="shared" si="11"/>
        <v>0</v>
      </c>
      <c r="L25" s="477">
        <f t="shared" si="12"/>
        <v>0</v>
      </c>
      <c r="M25" s="477">
        <f t="shared" si="13"/>
        <v>0</v>
      </c>
      <c r="N25" s="477">
        <f t="shared" si="14"/>
        <v>0</v>
      </c>
      <c r="O25" s="477">
        <f t="shared" si="15"/>
        <v>0</v>
      </c>
      <c r="P25" s="478">
        <f t="shared" si="16"/>
        <v>0</v>
      </c>
      <c r="Q25" s="476">
        <f t="shared" ca="1" si="17"/>
        <v>2749.9784730240608</v>
      </c>
    </row>
    <row r="26" spans="1:17">
      <c r="A26" s="476" t="s">
        <v>638</v>
      </c>
      <c r="B26" s="477">
        <f t="shared" ca="1" si="2"/>
        <v>200.44900651732445</v>
      </c>
      <c r="C26" s="477">
        <f t="shared" ca="1" si="3"/>
        <v>0</v>
      </c>
      <c r="D26" s="477">
        <f t="shared" si="4"/>
        <v>1206.8684610840003</v>
      </c>
      <c r="E26" s="477">
        <f t="shared" si="5"/>
        <v>135.60968801991888</v>
      </c>
      <c r="F26" s="477">
        <f t="shared" si="6"/>
        <v>606.70041862585663</v>
      </c>
      <c r="G26" s="477">
        <f t="shared" si="7"/>
        <v>0</v>
      </c>
      <c r="H26" s="477">
        <f t="shared" si="8"/>
        <v>0</v>
      </c>
      <c r="I26" s="477">
        <f t="shared" si="9"/>
        <v>0</v>
      </c>
      <c r="J26" s="477">
        <f t="shared" si="10"/>
        <v>6.5106486295492516</v>
      </c>
      <c r="K26" s="477">
        <f t="shared" si="11"/>
        <v>0</v>
      </c>
      <c r="L26" s="477">
        <f t="shared" si="12"/>
        <v>0</v>
      </c>
      <c r="M26" s="477">
        <f t="shared" si="13"/>
        <v>0</v>
      </c>
      <c r="N26" s="477">
        <f t="shared" si="14"/>
        <v>0</v>
      </c>
      <c r="O26" s="477">
        <f t="shared" si="15"/>
        <v>0</v>
      </c>
      <c r="P26" s="478">
        <f t="shared" si="16"/>
        <v>0</v>
      </c>
      <c r="Q26" s="476">
        <f t="shared" ca="1" si="17"/>
        <v>2156.1382228766497</v>
      </c>
    </row>
    <row r="27" spans="1:17" s="482" customFormat="1">
      <c r="A27" s="480" t="s">
        <v>564</v>
      </c>
      <c r="B27" s="780">
        <f t="shared" ca="1" si="2"/>
        <v>1.824265065674423</v>
      </c>
      <c r="C27" s="481">
        <f t="shared" ca="1" si="3"/>
        <v>0</v>
      </c>
      <c r="D27" s="481">
        <f t="shared" si="4"/>
        <v>15.955872770196949</v>
      </c>
      <c r="E27" s="481">
        <f t="shared" si="5"/>
        <v>81.056885259078072</v>
      </c>
      <c r="F27" s="481">
        <f t="shared" si="6"/>
        <v>0</v>
      </c>
      <c r="G27" s="481">
        <f t="shared" si="7"/>
        <v>42425.029040789697</v>
      </c>
      <c r="H27" s="481">
        <f t="shared" si="8"/>
        <v>5457.826760840675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47981.692824725324</v>
      </c>
    </row>
    <row r="28" spans="1:17">
      <c r="A28" s="476" t="s">
        <v>554</v>
      </c>
      <c r="B28" s="477">
        <f t="shared" ca="1" si="2"/>
        <v>0</v>
      </c>
      <c r="C28" s="477">
        <f t="shared" ca="1" si="3"/>
        <v>0</v>
      </c>
      <c r="D28" s="477">
        <f t="shared" si="4"/>
        <v>0</v>
      </c>
      <c r="E28" s="477">
        <f t="shared" si="5"/>
        <v>0</v>
      </c>
      <c r="F28" s="477">
        <f t="shared" si="6"/>
        <v>0</v>
      </c>
      <c r="G28" s="477">
        <f t="shared" si="7"/>
        <v>368.11851040568899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368.11851040568899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34.718640461933127</v>
      </c>
      <c r="C32" s="477">
        <f t="shared" ca="1" si="3"/>
        <v>0</v>
      </c>
      <c r="D32" s="477">
        <f t="shared" si="4"/>
        <v>195.78264200000001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230.50128246193313</v>
      </c>
    </row>
    <row r="33" spans="1:17" s="486" customFormat="1">
      <c r="A33" s="1038" t="s">
        <v>558</v>
      </c>
      <c r="B33" s="978">
        <f ca="1">SUM(B22:B32)</f>
        <v>1954.3735305460436</v>
      </c>
      <c r="C33" s="978">
        <f t="shared" ref="C33:Q33" ca="1" si="18">SUM(C22:C32)</f>
        <v>0</v>
      </c>
      <c r="D33" s="978">
        <f t="shared" ca="1" si="18"/>
        <v>13842.530534802198</v>
      </c>
      <c r="E33" s="978">
        <f t="shared" si="18"/>
        <v>892.70313501188684</v>
      </c>
      <c r="F33" s="978">
        <f t="shared" ca="1" si="18"/>
        <v>3509.5960951231664</v>
      </c>
      <c r="G33" s="978">
        <f t="shared" si="18"/>
        <v>42793.147551195383</v>
      </c>
      <c r="H33" s="978">
        <f t="shared" si="18"/>
        <v>5457.826760840675</v>
      </c>
      <c r="I33" s="978">
        <f t="shared" si="18"/>
        <v>0</v>
      </c>
      <c r="J33" s="978">
        <f t="shared" si="18"/>
        <v>396.98151853815773</v>
      </c>
      <c r="K33" s="978">
        <f t="shared" si="18"/>
        <v>0</v>
      </c>
      <c r="L33" s="978">
        <f t="shared" ca="1" si="18"/>
        <v>0</v>
      </c>
      <c r="M33" s="978">
        <f t="shared" si="18"/>
        <v>0</v>
      </c>
      <c r="N33" s="978">
        <f t="shared" ca="1" si="18"/>
        <v>0</v>
      </c>
      <c r="O33" s="978">
        <f t="shared" si="18"/>
        <v>0</v>
      </c>
      <c r="P33" s="978">
        <f t="shared" si="18"/>
        <v>0</v>
      </c>
      <c r="Q33" s="978">
        <f t="shared" ca="1" si="18"/>
        <v>68847.159126057522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24341.147871308051</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5190.9907794229375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898.65</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1057.2352941176471</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405</v>
      </c>
      <c r="C9" s="1055">
        <f>'SEAP template'!C77</f>
        <v>0</v>
      </c>
      <c r="D9" s="1055">
        <f>'SEAP template'!D77</f>
        <v>0</v>
      </c>
      <c r="E9" s="1055">
        <f>'SEAP template'!E77</f>
        <v>0</v>
      </c>
      <c r="F9" s="1055">
        <f>'SEAP template'!F77</f>
        <v>0</v>
      </c>
      <c r="G9" s="1055">
        <f>'SEAP template'!G77</f>
        <v>0</v>
      </c>
      <c r="H9" s="1055">
        <f>'SEAP template'!H77</f>
        <v>0</v>
      </c>
      <c r="I9" s="1055">
        <f>'SEAP template'!I77</f>
        <v>1012.5</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30835.788650730989</v>
      </c>
      <c r="C10" s="1059">
        <f>SUM(C4:C9)</f>
        <v>0</v>
      </c>
      <c r="D10" s="1059">
        <f t="shared" ref="D10:H10" si="0">SUM(D8:D9)</f>
        <v>0</v>
      </c>
      <c r="E10" s="1059">
        <f t="shared" si="0"/>
        <v>0</v>
      </c>
      <c r="F10" s="1059">
        <f t="shared" si="0"/>
        <v>0</v>
      </c>
      <c r="G10" s="1059">
        <f t="shared" si="0"/>
        <v>0</v>
      </c>
      <c r="H10" s="1059">
        <f t="shared" si="0"/>
        <v>0</v>
      </c>
      <c r="I10" s="1059">
        <f>SUM(I8:I9)</f>
        <v>1012.5</v>
      </c>
      <c r="J10" s="1059">
        <f>SUM(J8:J9)</f>
        <v>1057.2352941176471</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4.9254472674093608E-2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1283.7857142857144</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1510.3361344537818</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1283.7857142857144</v>
      </c>
      <c r="C20" s="1059">
        <f>SUM(C17:C19)</f>
        <v>0</v>
      </c>
      <c r="D20" s="1059">
        <f t="shared" ref="D20:H20" si="2">SUM(D17:D19)</f>
        <v>0</v>
      </c>
      <c r="E20" s="1059">
        <f t="shared" si="2"/>
        <v>0</v>
      </c>
      <c r="F20" s="1059">
        <f t="shared" si="2"/>
        <v>0</v>
      </c>
      <c r="G20" s="1059">
        <f t="shared" si="2"/>
        <v>0</v>
      </c>
      <c r="H20" s="1059">
        <f t="shared" si="2"/>
        <v>0</v>
      </c>
      <c r="I20" s="1059">
        <f>SUM(I17:I19)</f>
        <v>0</v>
      </c>
      <c r="J20" s="1059">
        <f>SUM(J17:J19)</f>
        <v>1510.3361344537818</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4.9254472674093608E-2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1</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19.066666666666666</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2019-08-12T08:24:38Z</dcterms:modified>
</cp:coreProperties>
</file>