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N20"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18" i="59" l="1"/>
  <c r="O90" i="14"/>
  <c r="O78"/>
  <c r="O9" i="59"/>
  <c r="O20"/>
  <c r="H78" i="14"/>
  <c r="H8" i="59"/>
  <c r="H10" s="1"/>
  <c r="C98" i="18"/>
  <c r="E101" s="1"/>
  <c r="E8" s="1"/>
  <c r="P29" i="48"/>
  <c r="B10" i="18"/>
  <c r="L10"/>
  <c r="K90" i="14"/>
  <c r="E20" i="59"/>
  <c r="E88" i="14"/>
  <c r="E18" i="59" s="1"/>
  <c r="O29" i="48"/>
  <c r="P31"/>
  <c r="K10" i="18"/>
  <c r="F20"/>
  <c r="N90" i="14"/>
  <c r="E10" i="59"/>
  <c r="E77" i="14"/>
  <c r="E9" i="59" s="1"/>
  <c r="B17" i="18"/>
  <c r="B20" s="1"/>
  <c r="L78" i="14"/>
  <c r="L8" i="59"/>
  <c r="L10" s="1"/>
  <c r="H90" i="14"/>
  <c r="H18" i="59"/>
  <c r="H20" s="1"/>
  <c r="K10"/>
  <c r="K20"/>
  <c r="P25" i="48"/>
  <c r="R25" i="14"/>
  <c r="O10" i="59"/>
  <c r="F13" i="15"/>
  <c r="G78" i="14"/>
  <c r="N10" i="59"/>
  <c r="L20"/>
  <c r="B8" i="18"/>
  <c r="O19"/>
  <c r="L13" i="15"/>
  <c r="N13"/>
  <c r="Q77" i="14"/>
  <c r="P9" i="59" s="1"/>
  <c r="O9" i="18"/>
  <c r="O18"/>
  <c r="B89" i="14"/>
  <c r="B19" i="59" s="1"/>
  <c r="G88" i="14"/>
  <c r="F89"/>
  <c r="I101" i="18"/>
  <c r="H8" s="1"/>
  <c r="H101"/>
  <c r="D101"/>
  <c r="G101"/>
  <c r="C101"/>
  <c r="F101"/>
  <c r="B101"/>
  <c r="C8" s="1"/>
  <c r="I102"/>
  <c r="H17" s="1"/>
  <c r="E102"/>
  <c r="E17" s="1"/>
  <c r="H102"/>
  <c r="D102"/>
  <c r="G102"/>
  <c r="C102"/>
  <c r="F102"/>
  <c r="B102"/>
  <c r="C17" s="1"/>
  <c r="B77" i="14"/>
  <c r="B9" i="59" s="1"/>
  <c r="Q14" i="48"/>
  <c r="O24"/>
  <c r="O30"/>
  <c r="P24"/>
  <c r="P30"/>
  <c r="C77" i="14"/>
  <c r="C9" i="59" s="1"/>
  <c r="C88" i="14"/>
  <c r="C18" i="59" s="1"/>
  <c r="E90" i="14"/>
  <c r="N78"/>
  <c r="G90" l="1"/>
  <c r="G18" i="59"/>
  <c r="G20" s="1"/>
  <c r="C89" i="14"/>
  <c r="C19" i="59" s="1"/>
  <c r="F19"/>
  <c r="Q88" i="14"/>
  <c r="P18" i="59" s="1"/>
  <c r="E78" i="14"/>
  <c r="B88"/>
  <c r="B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I10" i="14" l="1"/>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24"/>
  <c r="E29"/>
  <c r="E31"/>
  <c r="M32"/>
  <c r="M22"/>
  <c r="M24"/>
  <c r="M29"/>
  <c r="M25"/>
  <c r="M26"/>
  <c r="M30"/>
  <c r="M23"/>
  <c r="L10" i="14"/>
  <c r="L16" s="1"/>
  <c r="L27" s="1"/>
  <c r="K5" i="48"/>
  <c r="D30"/>
  <c r="D32"/>
  <c r="D29"/>
  <c r="D28"/>
  <c r="D24"/>
  <c r="D31"/>
  <c r="L27"/>
  <c r="L32"/>
  <c r="L29"/>
  <c r="L24"/>
  <c r="L22"/>
  <c r="L31"/>
  <c r="L28"/>
  <c r="L30"/>
  <c r="P5"/>
  <c r="P23" s="1"/>
  <c r="Q10" i="14"/>
  <c r="K28" i="48"/>
  <c r="K31"/>
  <c r="K32"/>
  <c r="K25"/>
  <c r="K30"/>
  <c r="K26"/>
  <c r="K29"/>
  <c r="K24"/>
  <c r="K27"/>
  <c r="K22"/>
  <c r="C24" i="14"/>
  <c r="C26" s="1"/>
  <c r="B7" i="48"/>
  <c r="J28"/>
  <c r="J29"/>
  <c r="J32"/>
  <c r="J31"/>
  <c r="J30"/>
  <c r="J27"/>
  <c r="J24"/>
  <c r="P4"/>
  <c r="Q11" i="14"/>
  <c r="O4" i="48"/>
  <c r="P11" i="14"/>
  <c r="I27" i="48"/>
  <c r="I22"/>
  <c r="I26"/>
  <c r="I32"/>
  <c r="I31"/>
  <c r="I25"/>
  <c r="I29"/>
  <c r="I30"/>
  <c r="I28"/>
  <c r="I24"/>
  <c r="D4"/>
  <c r="D22" s="1"/>
  <c r="E11" i="14"/>
  <c r="H32" i="48"/>
  <c r="H29"/>
  <c r="H26"/>
  <c r="H28"/>
  <c r="H25"/>
  <c r="H24"/>
  <c r="H22"/>
  <c r="H30"/>
  <c r="H23"/>
  <c r="D11" i="14"/>
  <c r="C4" i="48"/>
  <c r="G32"/>
  <c r="G29"/>
  <c r="G26"/>
  <c r="G22"/>
  <c r="G30"/>
  <c r="G24"/>
  <c r="G25"/>
  <c r="G23"/>
  <c r="C11" i="14"/>
  <c r="B4" i="48"/>
  <c r="F32"/>
  <c r="F28"/>
  <c r="F27"/>
  <c r="F29"/>
  <c r="F31"/>
  <c r="F30"/>
  <c r="F24"/>
  <c r="N32"/>
  <c r="N27"/>
  <c r="N28"/>
  <c r="N31"/>
  <c r="N29"/>
  <c r="N30"/>
  <c r="N24"/>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O22"/>
  <c r="C20" i="14"/>
  <c r="B9" i="48"/>
  <c r="F4"/>
  <c r="F22" s="1"/>
  <c r="G11" i="14"/>
  <c r="J10"/>
  <c r="J16" s="1"/>
  <c r="J27" s="1"/>
  <c r="I5" i="48"/>
  <c r="C22" i="14"/>
  <c r="K23" i="48"/>
  <c r="K15"/>
  <c r="M12" i="22"/>
  <c r="N18" i="14"/>
  <c r="M13" i="48"/>
  <c r="M31" s="1"/>
  <c r="H18" i="14"/>
  <c r="G13" i="48"/>
  <c r="H13"/>
  <c r="H31" s="1"/>
  <c r="I18" i="14"/>
  <c r="P8" i="48"/>
  <c r="P26" s="1"/>
  <c r="Q13" i="14"/>
  <c r="P22" i="48"/>
  <c r="P33" s="1"/>
  <c r="F20" i="14"/>
  <c r="F22" s="1"/>
  <c r="E9" i="48"/>
  <c r="E27" s="1"/>
  <c r="J12" i="17"/>
  <c r="K54" i="14" s="1"/>
  <c r="K56" s="1"/>
  <c r="J46"/>
  <c r="J61" s="1"/>
  <c r="Q16"/>
  <c r="Q27" s="1"/>
  <c r="Q63" s="1"/>
  <c r="K33" i="48"/>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H20" i="14"/>
  <c r="G9" i="48"/>
  <c r="I20" i="14"/>
  <c r="H9" i="48"/>
  <c r="R18" i="14"/>
  <c r="I23" i="48"/>
  <c r="I33" s="1"/>
  <c r="I15"/>
  <c r="M10"/>
  <c r="M28" s="1"/>
  <c r="N19" i="14"/>
  <c r="G31" i="48"/>
  <c r="Q13"/>
  <c r="H19" i="14"/>
  <c r="G10" i="48"/>
  <c r="J4"/>
  <c r="K11" i="14"/>
  <c r="E7" i="48"/>
  <c r="E25" s="1"/>
  <c r="F24" i="14"/>
  <c r="F26" s="1"/>
  <c r="O22" i="16"/>
  <c r="P43" i="14" s="1"/>
  <c r="P46" s="1"/>
  <c r="P61" s="1"/>
  <c r="P63" s="1"/>
  <c r="O8" i="48"/>
  <c r="P13" i="14"/>
  <c r="J63"/>
  <c r="I22"/>
  <c r="I27" s="1"/>
  <c r="M14" i="22"/>
  <c r="P15" i="48"/>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27" i="48" l="1"/>
  <c r="G33" s="1"/>
  <c r="G15"/>
  <c r="E5"/>
  <c r="E23" s="1"/>
  <c r="F10" i="14"/>
  <c r="J5" i="48"/>
  <c r="J23" s="1"/>
  <c r="K10" i="14"/>
  <c r="O26" i="48"/>
  <c r="O33" s="1"/>
  <c r="O15"/>
  <c r="H27"/>
  <c r="H33" s="1"/>
  <c r="H15"/>
  <c r="G28"/>
  <c r="Q10"/>
  <c r="J22"/>
  <c r="N20" i="14"/>
  <c r="N22" s="1"/>
  <c r="N27" s="1"/>
  <c r="N63" s="1"/>
  <c r="M9" i="48"/>
  <c r="E22"/>
  <c r="Q4"/>
  <c r="R19" i="14"/>
  <c r="H22"/>
  <c r="H27" s="1"/>
  <c r="Q9" i="48"/>
  <c r="R11" i="14"/>
  <c r="R24"/>
  <c r="R26" s="1"/>
  <c r="Q7" i="48"/>
  <c r="E20" i="15"/>
  <c r="F40" i="14" s="1"/>
  <c r="J18" i="16"/>
  <c r="E18"/>
  <c r="F18"/>
  <c r="F22" s="1"/>
  <c r="G43" i="14" s="1"/>
  <c r="N18" i="16"/>
  <c r="G18" i="22"/>
  <c r="H50" i="14" s="1"/>
  <c r="H52" s="1"/>
  <c r="H61" s="1"/>
  <c r="H18" i="22"/>
  <c r="I50" i="14" s="1"/>
  <c r="I52" s="1"/>
  <c r="I61" s="1"/>
  <c r="I63" s="1"/>
  <c r="R22" l="1"/>
  <c r="J22" i="16"/>
  <c r="K43" i="14" s="1"/>
  <c r="K46" s="1"/>
  <c r="K61" s="1"/>
  <c r="K13"/>
  <c r="K16" s="1"/>
  <c r="K27" s="1"/>
  <c r="J8" i="48"/>
  <c r="E8"/>
  <c r="F13" i="14"/>
  <c r="F16" s="1"/>
  <c r="F27" s="1"/>
  <c r="M27" i="48"/>
  <c r="M33" s="1"/>
  <c r="M15"/>
  <c r="R20" i="14"/>
  <c r="H63"/>
  <c r="E22" i="16"/>
  <c r="F43" i="14" s="1"/>
  <c r="F46" s="1"/>
  <c r="F61" s="1"/>
  <c r="N8" i="48"/>
  <c r="N26" s="1"/>
  <c r="O13" i="14"/>
  <c r="N22" i="16"/>
  <c r="O43" i="14" s="1"/>
  <c r="G13"/>
  <c r="F8" i="48"/>
  <c r="F63" i="14" l="1"/>
  <c r="J26" i="48"/>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<sst xmlns="http://schemas.openxmlformats.org/spreadsheetml/2006/main" count="2392" uniqueCount="890">
  <si>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</si>
  <si>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</si>
  <si>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</si>
  <si>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</si>
  <si>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</si>
  <si>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</si>
  <si>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</si>
  <si>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</si>
  <si>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</si>
  <si>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</si>
  <si>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</si>
  <si>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</si>
  <si>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</si>
  <si>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</si>
  <si>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</si>
  <si>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</si>
  <si>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</si>
  <si>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</si>
  <si>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</si>
  <si>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</si>
  <si>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</si>
  <si>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</si>
  <si>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</si>
  <si>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</si>
  <si>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</si>
  <si>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</si>
  <si>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</si>
  <si>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</si>
  <si>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</si>
  <si>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</si>
  <si>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</si>
  <si>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</si>
  <si>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</si>
  <si>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</si>
  <si>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</si>
  <si>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</si>
  <si>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</si>
  <si>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</si>
  <si>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</si>
  <si>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</si>
  <si>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</si>
  <si>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</si>
  <si>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</si>
  <si>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</si>
  <si>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</si>
  <si>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</si>
  <si>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</si>
  <si>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</si>
  <si>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</si>
  <si>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</si>
  <si>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</si>
  <si>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</si>
  <si>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</si>
  <si>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</si>
  <si>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</si>
  <si>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</si>
  <si>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</si>
  <si>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</si>
  <si>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</si>
  <si>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</si>
  <si>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</si>
  <si>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</si>
  <si>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</si>
  <si>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</si>
  <si>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</si>
  <si>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</si>
  <si>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</si>
  <si>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</si>
  <si>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</si>
  <si>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</si>
  <si>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</si>
  <si>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</si>
  <si>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</si>
  <si>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</si>
  <si>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</si>
  <si>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</si>
  <si>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</si>
  <si>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</si>
  <si>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</si>
  <si>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</si>
  <si>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</si>
  <si>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</si>
  <si>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</si>
  <si>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</si>
  <si>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</si>
  <si>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</si>
  <si>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</si>
  <si>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</si>
  <si>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</si>
  <si>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</si>
  <si>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</si>
  <si>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</si>
  <si>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</si>
  <si>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</si>
  <si>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</si>
  <si>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</si>
  <si>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</si>
  <si>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</si>
  <si>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</si>
  <si>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</si>
  <si>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</si>
  <si>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</si>
  <si>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</si>
  <si>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</si>
  <si>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</si>
  <si>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</si>
  <si>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</si>
  <si>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</si>
  <si>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</si>
  <si>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</si>
  <si>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</si>
  <si>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</si>
  <si>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</si>
  <si>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</si>
  <si>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</si>
  <si>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</si>
  <si>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</si>
  <si>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</si>
  <si>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</si>
  <si>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</si>
  <si>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</si>
  <si>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</si>
  <si>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</si>
  <si>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</si>
  <si>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</si>
  <si>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</si>
  <si>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</si>
  <si>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</si>
  <si>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</si>
  <si>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</si>
  <si>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</si>
  <si>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</si>
  <si>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</si>
  <si>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</si>
  <si>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</si>
  <si>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</si>
  <si>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</si>
  <si>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</si>
  <si>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</si>
  <si>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</si>
  <si>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</si>
  <si>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</si>
  <si>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</si>
  <si>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</si>
  <si>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</si>
  <si>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</si>
  <si>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</si>
  <si>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</si>
  <si>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</si>
  <si>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</si>
  <si>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</si>
  <si>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</si>
  <si>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</si>
  <si>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</si>
  <si>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</si>
  <si>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</si>
  <si>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</si>
  <si>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</si>
  <si>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</si>
  <si>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</si>
  <si>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</si>
  <si>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</si>
  <si>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</si>
  <si>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</si>
  <si>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</si>
  <si>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</si>
  <si>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</si>
  <si>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</si>
  <si>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</si>
  <si>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</si>
  <si>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</si>
  <si>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</si>
  <si>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</si>
  <si>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</si>
  <si>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</si>
  <si>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</si>
  <si>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</si>
  <si>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</si>
  <si>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</si>
  <si>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</si>
  <si>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</si>
  <si>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</si>
  <si>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</si>
  <si>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</si>
  <si>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</si>
  <si>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</si>
  <si>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</si>
  <si>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</si>
  <si>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</si>
  <si>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</si>
  <si>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</si>
  <si>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</si>
  <si>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</si>
  <si>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</si>
  <si>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</si>
  <si>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</si>
  <si>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</si>
  <si>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</si>
  <si>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</si>
  <si>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</si>
  <si>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</si>
  <si>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</si>
  <si>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</si>
  <si>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</si>
  <si>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</si>
  <si>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</si>
  <si>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</si>
  <si>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</si>
  <si>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</si>
  <si>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</si>
  <si>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</si>
  <si>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</si>
  <si>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</si>
  <si>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</si>
  <si>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</si>
  <si>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</si>
  <si>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</si>
  <si>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</si>
  <si>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</si>
  <si>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</si>
  <si>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</si>
  <si>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</si>
  <si>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</si>
  <si>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</si>
  <si>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</si>
  <si>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</si>
  <si>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</si>
  <si>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</si>
  <si>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</si>
  <si>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</si>
  <si>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</si>
  <si>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</si>
  <si>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</si>
  <si>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</si>
  <si>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</si>
  <si>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</si>
  <si>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</si>
  <si>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</si>
  <si>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</si>
  <si>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</si>
  <si>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</si>
  <si>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</si>
  <si>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</si>
  <si>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</si>
  <si>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</si>
  <si>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</si>
  <si>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</si>
  <si>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</si>
  <si>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</si>
  <si>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</si>
  <si>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</si>
  <si>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</si>
  <si>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</si>
  <si>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</si>
  <si>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</si>
  <si>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</si>
  <si>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</si>
  <si>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</si>
  <si>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</si>
  <si>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</si>
  <si>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</si>
  <si>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</si>
  <si>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</si>
  <si>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</si>
  <si>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</si>
  <si>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</si>
  <si>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</si>
  <si>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</si>
  <si>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</si>
  <si>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</si>
  <si>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</si>
  <si>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</si>
  <si>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</si>
  <si>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</si>
  <si>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</si>
  <si>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</si>
  <si>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</si>
  <si>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</si>
  <si>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</si>
  <si>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</si>
  <si>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</si>
  <si>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</si>
  <si>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</si>
  <si>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</si>
  <si>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</si>
  <si>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</si>
  <si>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</si>
  <si>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</si>
  <si>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</si>
  <si>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</si>
  <si>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</si>
  <si>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</si>
  <si>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</si>
  <si>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</si>
  <si>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</si>
  <si>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</si>
  <si>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</si>
  <si>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</si>
  <si>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</si>
  <si>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</si>
  <si>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</si>
  <si>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</si>
  <si>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</si>
  <si>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</si>
  <si>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</si>
  <si>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</si>
  <si>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</si>
  <si>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</si>
  <si>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</si>
  <si>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</si>
  <si>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</si>
  <si>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</si>
  <si>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</si>
  <si>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</si>
  <si>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</si>
  <si>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</si>
  <si>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</si>
  <si>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</si>
  <si>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</si>
  <si>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</si>
  <si>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</si>
  <si>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</si>
  <si>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</si>
  <si>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</si>
  <si>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</si>
  <si>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</si>
  <si>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</si>
  <si>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</si>
  <si>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</si>
  <si>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</si>
  <si>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</si>
  <si>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</si>
  <si>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</si>
  <si>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</si>
  <si>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</si>
  <si>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</si>
  <si>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</si>
  <si>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</si>
  <si>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</si>
  <si>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</si>
  <si>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</si>
  <si>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</si>
  <si>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</si>
  <si>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</si>
  <si>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</si>
  <si>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</si>
  <si>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</si>
  <si>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</si>
  <si>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</si>
  <si>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</si>
  <si>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</si>
  <si>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</si>
  <si>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</si>
  <si>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</si>
  <si>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</si>
  <si>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</si>
  <si>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</si>
  <si>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</si>
  <si>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</si>
  <si>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</si>
  <si>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</si>
  <si>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</si>
  <si>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</si>
  <si>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</si>
  <si>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</si>
  <si>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</si>
  <si>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</si>
  <si>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</si>
  <si>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</si>
  <si>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</si>
  <si>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</si>
  <si>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</si>
  <si>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</si>
  <si>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</si>
  <si>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</si>
  <si>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</si>
  <si>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</si>
  <si>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</si>
  <si>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</si>
  <si>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</si>
  <si>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</si>
  <si>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</si>
  <si>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</si>
  <si>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</si>
  <si>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</si>
  <si>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</si>
  <si>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</si>
  <si>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</si>
  <si>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</si>
  <si>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</si>
  <si>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</si>
  <si>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</si>
  <si>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</si>
  <si>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</si>
  <si>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</si>
  <si>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</si>
  <si>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</si>
  <si>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</si>
  <si>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</si>
  <si>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</si>
  <si>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</si>
  <si>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</si>
  <si>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</si>
  <si>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</si>
  <si>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</si>
  <si>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</si>
  <si>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</si>
  <si>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</si>
  <si>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</si>
  <si>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</si>
  <si>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</si>
  <si>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</si>
  <si>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</si>
  <si>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</si>
  <si>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</si>
  <si>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</si>
  <si>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</si>
  <si>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</si>
  <si>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</si>
  <si>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</si>
  <si>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</si>
  <si>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</si>
  <si>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</si>
  <si>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</si>
  <si>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</si>
  <si>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</si>
  <si>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</si>
  <si>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</si>
  <si>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</si>
  <si>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</si>
  <si>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</si>
  <si>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</si>
  <si>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</si>
  <si>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</si>
  <si>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</si>
  <si>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</si>
  <si>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</si>
  <si>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</si>
  <si>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</si>
  <si>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</si>
  <si>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</si>
  <si>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</si>
  <si>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</si>
  <si>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</si>
  <si>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</si>
  <si>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</si>
  <si>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</si>
  <si>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</si>
  <si>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</si>
  <si>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</si>
  <si>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</si>
  <si>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</si>
  <si>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</si>
  <si>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</si>
  <si>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</si>
  <si>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</si>
  <si>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</si>
  <si>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</si>
  <si>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</si>
  <si>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</si>
  <si>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</si>
  <si>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</si>
  <si>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</si>
  <si>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</si>
  <si>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</si>
  <si>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</si>
  <si>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</si>
  <si>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</si>
  <si>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</si>
  <si>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</si>
  <si>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</si>
  <si>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</si>
  <si>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</si>
  <si>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</si>
  <si>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</si>
  <si>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</si>
  <si>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</si>
  <si>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</si>
  <si>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</si>
  <si>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</si>
  <si>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</si>
  <si>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</si>
  <si>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</si>
  <si>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</si>
  <si>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</si>
  <si>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</si>
  <si>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</si>
  <si>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</si>
  <si>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</si>
  <si>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</si>
  <si>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</si>
  <si>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</si>
  <si>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</si>
  <si>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</si>
  <si>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</si>
  <si>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</si>
  <si>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</si>
  <si>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</si>
  <si>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</si>
  <si>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</si>
  <si>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</si>
  <si>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</si>
  <si>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</si>
  <si>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</si>
  <si>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</si>
  <si>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</si>
  <si>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</si>
  <si>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</si>
  <si>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</si>
  <si>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</si>
  <si>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</si>
  <si>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</si>
  <si>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</si>
  <si>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</si>
  <si>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</si>
  <si>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</si>
  <si>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</si>
  <si>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</si>
  <si>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</si>
  <si>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</si>
  <si>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</si>
  <si>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</si>
  <si>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</si>
  <si>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</si>
  <si>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</si>
  <si>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</si>
  <si>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</si>
  <si>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</si>
  <si>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</si>
  <si>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</si>
  <si>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</si>
  <si>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</si>
  <si>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</si>
  <si>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</si>
  <si>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</si>
  <si>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</si>
  <si>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</si>
  <si>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</si>
  <si>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</si>
  <si>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</si>
  <si>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</si>
  <si>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</si>
  <si>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</si>
  <si>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</si>
  <si>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</si>
  <si>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</si>
  <si>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</si>
  <si>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</si>
  <si>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</si>
  <si>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</si>
  <si>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</si>
  <si>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</si>
  <si>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</si>
  <si>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</si>
  <si>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</si>
  <si>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</si>
  <si>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</si>
  <si>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</si>
  <si>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</si>
  <si>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</si>
  <si>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</si>
  <si>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</si>
  <si>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</si>
  <si>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</si>
  <si>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</si>
  <si>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</si>
  <si>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</si>
  <si>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</si>
  <si>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</si>
  <si>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</si>
  <si>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</si>
  <si>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</si>
  <si>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</si>
  <si>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</si>
  <si>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</si>
  <si>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</si>
  <si>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</si>
  <si>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</si>
  <si>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</si>
  <si>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</si>
  <si>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</si>
  <si>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</si>
  <si>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</si>
  <si>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</si>
  <si>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</si>
  <si>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</si>
  <si>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</si>
  <si>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</si>
  <si>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</si>
  <si>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</si>
  <si>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</si>
  <si>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</si>
  <si>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</si>
  <si>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</si>
  <si>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</si>
  <si>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</si>
  <si>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</si>
  <si>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</si>
  <si>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</si>
  <si>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</si>
  <si>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</si>
  <si>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</si>
  <si>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</si>
  <si>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</si>
  <si>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</si>
  <si>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</si>
  <si>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</si>
  <si>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</si>
  <si>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</si>
  <si>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</si>
  <si>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</si>
  <si>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</si>
  <si>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</si>
  <si>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</si>
  <si>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</si>
  <si>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</si>
  <si>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</si>
  <si>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</si>
  <si>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</si>
  <si>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</si>
  <si>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</si>
  <si>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</si>
  <si>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</si>
  <si>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</si>
  <si>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</si>
  <si>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</si>
  <si>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</si>
  <si>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</si>
  <si>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</si>
  <si>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</si>
  <si>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</si>
  <si>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</si>
  <si>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</si>
  <si>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</si>
  <si>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</si>
  <si>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</si>
  <si>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</si>
  <si>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</si>
  <si>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</si>
  <si>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</si>
  <si>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</si>
  <si>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</si>
  <si>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</si>
  <si>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</si>
  <si>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</si>
  <si>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</si>
  <si>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</si>
  <si>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</si>
  <si>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</si>
  <si>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</si>
  <si>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</si>
  <si>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</si>
  <si>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</si>
  <si>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</si>
  <si>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</si>
  <si>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</si>
  <si>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</si>
  <si>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</si>
  <si>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</si>
  <si>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</si>
  <si>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</si>
  <si>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</si>
  <si>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</si>
  <si>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</si>
  <si>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</si>
  <si>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</si>
  <si>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</si>
  <si>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</si>
  <si>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</si>
  <si>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</si>
  <si>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</si>
  <si>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</si>
  <si>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</si>
  <si>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</si>
  <si>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</si>
  <si>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</si>
  <si>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</si>
  <si>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</si>
  <si>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</si>
  <si>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</si>
  <si>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</si>
  <si>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</si>
  <si>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</si>
  <si>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</si>
  <si>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</si>
  <si>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</si>
  <si>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</si>
  <si>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</si>
  <si>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</si>
  <si>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</si>
  <si>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</si>
  <si>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</si>
  <si>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</si>
  <si>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</si>
  <si>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</si>
  <si>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</si>
  <si>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</si>
  <si>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</si>
  <si>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</si>
  <si>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</si>
  <si>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</si>
  <si>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</si>
  <si>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</si>
  <si>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</si>
  <si>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</si>
  <si>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</si>
  <si>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</si>
  <si>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</si>
  <si>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</si>
  <si>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</si>
  <si>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</si>
  <si>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</si>
  <si>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</si>
  <si>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</si>
  <si>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</si>
  <si>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</si>
  <si>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</si>
  <si>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</si>
  <si>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</si>
  <si>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</si>
  <si>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</si>
  <si>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</si>
  <si>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</si>
  <si>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</si>
  <si>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</si>
  <si>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</si>
  <si>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</si>
  <si>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</si>
  <si>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</si>
  <si>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</si>
  <si>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</si>
  <si>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</si>
  <si>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</si>
  <si>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</si>
  <si>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</si>
  <si>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</si>
  <si>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</si>
  <si>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</si>
  <si>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</si>
  <si>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</si>
  <si>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</si>
  <si>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</si>
  <si>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</si>
  <si>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</si>
  <si>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</si>
  <si>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</si>
  <si>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</si>
  <si>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</si>
  <si>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</si>
  <si>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</si>
  <si>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</si>
  <si>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</si>
  <si>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</si>
  <si>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</si>
  <si>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</si>
  <si>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</si>
  <si>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</si>
  <si>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</si>
  <si>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</si>
  <si>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</si>
  <si>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</si>
  <si>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</si>
  <si>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</si>
  <si>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</si>
  <si>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</si>
  <si>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</si>
  <si>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</si>
  <si>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</si>
  <si>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</si>
  <si>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</si>
  <si>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</si>
  <si>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</si>
  <si>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</si>
  <si>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</si>
  <si>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</si>
  <si>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</si>
  <si>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</si>
  <si>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</si>
  <si>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</si>
  <si>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</si>
  <si>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</si>
  <si>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</si>
  <si>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</si>
  <si>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</si>
  <si>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</si>
  <si>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</si>
  <si>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</si>
  <si>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</si>
  <si>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</si>
  <si>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</si>
  <si>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</si>
  <si>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</si>
  <si>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</si>
  <si>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</si>
  <si>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</si>
  <si>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</si>
  <si>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</si>
  <si>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</si>
  <si>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</si>
  <si>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</si>
  <si>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</si>
  <si>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</si>
  <si>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</si>
  <si>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</si>
  <si>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</si>
  <si>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</si>
  <si>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</si>
  <si>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</si>
  <si>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</si>
  <si>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</si>
  <si>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</si>
  <si>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</si>
  <si>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</si>
  <si>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</si>
  <si>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</si>
  <si>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</si>
  <si>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</si>
  <si>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</si>
  <si>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</si>
  <si>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</si>
  <si>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</si>
  <si>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</si>
  <si>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</si>
  <si>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</si>
  <si>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</si>
  <si>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</si>
  <si>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</si>
  <si>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</si>
  <si>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</si>
  <si>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</si>
  <si>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</si>
  <si>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</si>
  <si>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</si>
  <si>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</si>
  <si>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</si>
  <si>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</si>
  <si>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</si>
  <si>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</si>
  <si>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</si>
  <si>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</si>
  <si>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</si>
  <si>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</si>
  <si>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</si>
  <si>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</si>
  <si>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</si>
  <si>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</si>
  <si>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</si>
  <si>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</si>
  <si>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</si>
  <si>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</si>
  <si>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</si>
  <si>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</si>
  <si>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</si>
  <si>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</si>
  <si>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</si>
  <si>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</si>
  <si>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</si>
  <si>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</si>
  <si>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</si>
  <si>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</si>
  <si>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</si>
  <si>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</si>
  <si>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</si>
  <si>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</si>
  <si>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</si>
  <si>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</si>
  <si>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</si>
  <si>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</si>
  <si>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</si>
  <si>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</si>
  <si>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</si>
  <si>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</si>
  <si>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</si>
  <si>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</si>
  <si>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</si>
  <si>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</si>
  <si>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</si>
  <si>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</si>
  <si>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</si>
  <si>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</si>
  <si>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</si>
  <si>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</si>
  <si>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35002</t>
  </si>
  <si>
    <t>BREDENE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</si>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</sst>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103133.68373306326</c:v>
                </c:pt>
                <c:pt idx="1">
                  <c:v>36675.717553758841</c:v>
                </c:pt>
                <c:pt idx="2">
                  <c:v>1639.8340000000001</c:v>
                </c:pt>
                <c:pt idx="3">
                  <c:v>478.2722597561023</c:v>
                </c:pt>
                <c:pt idx="4">
                  <c:v>17032.207116069956</c:v>
                </c:pt>
                <c:pt idx="5">
                  <c:v>28769.814172458842</c:v>
                </c:pt>
                <c:pt idx="6">
                  <c:v>1802.3564779723436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103133.68373306326</c:v>
                </c:pt>
                <c:pt idx="1">
                  <c:v>36675.717553758841</c:v>
                </c:pt>
                <c:pt idx="2">
                  <c:v>1639.8340000000001</c:v>
                </c:pt>
                <c:pt idx="3">
                  <c:v>478.2722597561023</c:v>
                </c:pt>
                <c:pt idx="4">
                  <c:v>17032.207116069956</c:v>
                </c:pt>
                <c:pt idx="5">
                  <c:v>28769.814172458842</c:v>
                </c:pt>
                <c:pt idx="6">
                  <c:v>1802.3564779723436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20014.92731120409</c:v>
                </c:pt>
                <c:pt idx="2">
                  <c:v>7787.9766050277894</c:v>
                </c:pt>
                <c:pt idx="3">
                  <c:v>343.98817097106792</c:v>
                </c:pt>
                <c:pt idx="4">
                  <c:v>121.26666281918386</c:v>
                </c:pt>
                <c:pt idx="5">
                  <c:v>3365.6786720993296</c:v>
                </c:pt>
                <c:pt idx="6">
                  <c:v>7360.6470886028583</c:v>
                </c:pt>
                <c:pt idx="7">
                  <c:v>449.58019122046994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20014.92731120409</c:v>
                </c:pt>
                <c:pt idx="2">
                  <c:v>7787.9766050277894</c:v>
                </c:pt>
                <c:pt idx="3">
                  <c:v>343.98817097106792</c:v>
                </c:pt>
                <c:pt idx="4">
                  <c:v>121.26666281918386</c:v>
                </c:pt>
                <c:pt idx="5">
                  <c:v>3365.6786720993296</c:v>
                </c:pt>
                <c:pt idx="6">
                  <c:v>7360.6470886028583</c:v>
                </c:pt>
                <c:pt idx="7">
                  <c:v>449.58019122046994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0.20977011756742933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0.20977011756742933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7617</v>
      </c>
      <c r="C9" s="342">
        <v>7638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509.52</v>
      </c>
    </row>
    <row r="15" spans="1:6">
      <c r="A15" s="348" t="s">
        <v>184</v>
      </c>
      <c r="B15" s="334">
        <v>1</v>
      </c>
    </row>
    <row r="16" spans="1:6">
      <c r="A16" s="348" t="s">
        <v>6</v>
      </c>
      <c r="B16" s="334">
        <v>72</v>
      </c>
    </row>
    <row r="17" spans="1:6">
      <c r="A17" s="348" t="s">
        <v>7</v>
      </c>
      <c r="B17" s="334">
        <v>36</v>
      </c>
    </row>
    <row r="18" spans="1:6">
      <c r="A18" s="348" t="s">
        <v>8</v>
      </c>
      <c r="B18" s="334">
        <v>69</v>
      </c>
    </row>
    <row r="19" spans="1:6">
      <c r="A19" s="348" t="s">
        <v>9</v>
      </c>
      <c r="B19" s="334">
        <v>68</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v>
      </c>
    </row>
    <row r="27" spans="1:6">
      <c r="A27" s="348" t="s">
        <v>17</v>
      </c>
      <c r="B27" s="334">
        <v>0</v>
      </c>
    </row>
    <row r="28" spans="1:6" s="356" customFormat="1">
      <c r="A28" s="355" t="s">
        <v>18</v>
      </c>
      <c r="B28" s="355">
        <v>0</v>
      </c>
    </row>
    <row r="29" spans="1:6">
      <c r="A29" s="355" t="s">
        <v>884</v>
      </c>
      <c r="B29" s="355">
        <v>114</v>
      </c>
      <c r="C29" s="356"/>
      <c r="D29" s="356"/>
      <c r="E29" s="356"/>
      <c r="F29" s="356"/>
    </row>
    <row r="30" spans="1:6">
      <c r="A30" s="355" t="s">
        <v>885</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22880.3</v>
      </c>
    </row>
    <row r="37" spans="1:6">
      <c r="A37" s="348" t="s">
        <v>25</v>
      </c>
      <c r="B37" s="348" t="s">
        <v>28</v>
      </c>
      <c r="C37" s="334">
        <v>0</v>
      </c>
      <c r="D37" s="334">
        <v>0</v>
      </c>
      <c r="E37" s="334">
        <v>0</v>
      </c>
      <c r="F37" s="334">
        <v>0</v>
      </c>
    </row>
    <row r="38" spans="1:6">
      <c r="A38" s="348" t="s">
        <v>25</v>
      </c>
      <c r="B38" s="348" t="s">
        <v>29</v>
      </c>
      <c r="C38" s="334">
        <v>0</v>
      </c>
      <c r="D38" s="334">
        <v>0</v>
      </c>
      <c r="E38" s="334">
        <v>2</v>
      </c>
      <c r="F38" s="334">
        <v>91298</v>
      </c>
    </row>
    <row r="39" spans="1:6">
      <c r="A39" s="348" t="s">
        <v>30</v>
      </c>
      <c r="B39" s="348" t="s">
        <v>31</v>
      </c>
      <c r="C39" s="334">
        <v>5363</v>
      </c>
      <c r="D39" s="334">
        <v>66685127.656000003</v>
      </c>
      <c r="E39" s="334">
        <v>8723</v>
      </c>
      <c r="F39" s="334">
        <v>33288886.59</v>
      </c>
    </row>
    <row r="40" spans="1:6">
      <c r="A40" s="348" t="s">
        <v>30</v>
      </c>
      <c r="B40" s="348" t="s">
        <v>29</v>
      </c>
      <c r="C40" s="334">
        <v>0</v>
      </c>
      <c r="D40" s="334">
        <v>0</v>
      </c>
      <c r="E40" s="334">
        <v>0</v>
      </c>
      <c r="F40" s="334">
        <v>0</v>
      </c>
    </row>
    <row r="41" spans="1:6">
      <c r="A41" s="348" t="s">
        <v>32</v>
      </c>
      <c r="B41" s="348" t="s">
        <v>33</v>
      </c>
      <c r="C41" s="334">
        <v>88</v>
      </c>
      <c r="D41" s="334">
        <v>3579324.6678999998</v>
      </c>
      <c r="E41" s="334">
        <v>214</v>
      </c>
      <c r="F41" s="334">
        <v>2016902.1288000001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58491.526866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1547120.3155</v>
      </c>
      <c r="E48" s="334">
        <v>23</v>
      </c>
      <c r="F48" s="334">
        <v>4018034.0490999999</v>
      </c>
    </row>
    <row r="49" spans="1:6">
      <c r="A49" s="348" t="s">
        <v>32</v>
      </c>
      <c r="B49" s="348" t="s">
        <v>40</v>
      </c>
      <c r="C49" s="334">
        <v>0</v>
      </c>
      <c r="D49" s="334">
        <v>0</v>
      </c>
      <c r="E49" s="334">
        <v>0</v>
      </c>
      <c r="F49" s="334">
        <v>0</v>
      </c>
    </row>
    <row r="50" spans="1:6">
      <c r="A50" s="348" t="s">
        <v>32</v>
      </c>
      <c r="B50" s="348" t="s">
        <v>41</v>
      </c>
      <c r="C50" s="334">
        <v>8</v>
      </c>
      <c r="D50" s="334">
        <v>752483.77355000004</v>
      </c>
      <c r="E50" s="334">
        <v>15</v>
      </c>
      <c r="F50" s="334">
        <v>484462.83051</v>
      </c>
    </row>
    <row r="51" spans="1:6">
      <c r="A51" s="348" t="s">
        <v>42</v>
      </c>
      <c r="B51" s="348" t="s">
        <v>43</v>
      </c>
      <c r="C51" s="334">
        <v>0</v>
      </c>
      <c r="D51" s="334">
        <v>0</v>
      </c>
      <c r="E51" s="334">
        <v>4</v>
      </c>
      <c r="F51" s="334">
        <v>53319.866130000002</v>
      </c>
    </row>
    <row r="52" spans="1:6">
      <c r="A52" s="348" t="s">
        <v>42</v>
      </c>
      <c r="B52" s="348" t="s">
        <v>29</v>
      </c>
      <c r="C52" s="334">
        <v>2</v>
      </c>
      <c r="D52" s="334">
        <v>37907.445449999999</v>
      </c>
      <c r="E52" s="334">
        <v>4</v>
      </c>
      <c r="F52" s="334">
        <v>38718.534561</v>
      </c>
    </row>
    <row r="53" spans="1:6">
      <c r="A53" s="348" t="s">
        <v>44</v>
      </c>
      <c r="B53" s="348" t="s">
        <v>45</v>
      </c>
      <c r="C53" s="334">
        <v>278</v>
      </c>
      <c r="D53" s="334">
        <v>3065484.9002999999</v>
      </c>
      <c r="E53" s="334">
        <v>705</v>
      </c>
      <c r="F53" s="334">
        <v>2279407.8281999999</v>
      </c>
    </row>
    <row r="54" spans="1:6">
      <c r="A54" s="348" t="s">
        <v>46</v>
      </c>
      <c r="B54" s="348" t="s">
        <v>47</v>
      </c>
      <c r="C54" s="334">
        <v>0</v>
      </c>
      <c r="D54" s="334">
        <v>0</v>
      </c>
      <c r="E54" s="334">
        <v>1</v>
      </c>
      <c r="F54" s="334">
        <v>1639834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571910.12543000001</v>
      </c>
      <c r="E57" s="334">
        <v>61</v>
      </c>
      <c r="F57" s="334">
        <v>490709.31751999998</v>
      </c>
    </row>
    <row r="58" spans="1:6">
      <c r="A58" s="348" t="s">
        <v>49</v>
      </c>
      <c r="B58" s="348" t="s">
        <v>51</v>
      </c>
      <c r="C58" s="334">
        <v>6</v>
      </c>
      <c r="D58" s="334">
        <v>158781.38941</v>
      </c>
      <c r="E58" s="334">
        <v>28</v>
      </c>
      <c r="F58" s="334">
        <v>293382.82384000003</v>
      </c>
    </row>
    <row r="59" spans="1:6">
      <c r="A59" s="348" t="s">
        <v>49</v>
      </c>
      <c r="B59" s="348" t="s">
        <v>52</v>
      </c>
      <c r="C59" s="334">
        <v>48</v>
      </c>
      <c r="D59" s="334">
        <v>1581895.1239</v>
      </c>
      <c r="E59" s="334">
        <v>107</v>
      </c>
      <c r="F59" s="334">
        <v>3750016.2889</v>
      </c>
    </row>
    <row r="60" spans="1:6">
      <c r="A60" s="348" t="s">
        <v>49</v>
      </c>
      <c r="B60" s="348" t="s">
        <v>53</v>
      </c>
      <c r="C60" s="334">
        <v>58</v>
      </c>
      <c r="D60" s="334">
        <v>3423371.3497000001</v>
      </c>
      <c r="E60" s="334">
        <v>142</v>
      </c>
      <c r="F60" s="334">
        <v>7315542.6246999996</v>
      </c>
    </row>
    <row r="61" spans="1:6">
      <c r="A61" s="348" t="s">
        <v>49</v>
      </c>
      <c r="B61" s="348" t="s">
        <v>54</v>
      </c>
      <c r="C61" s="334">
        <v>80</v>
      </c>
      <c r="D61" s="334">
        <v>4158979.2733999998</v>
      </c>
      <c r="E61" s="334">
        <v>331</v>
      </c>
      <c r="F61" s="334">
        <v>3184824.2464000001</v>
      </c>
    </row>
    <row r="62" spans="1:6">
      <c r="A62" s="348" t="s">
        <v>49</v>
      </c>
      <c r="B62" s="348" t="s">
        <v>55</v>
      </c>
      <c r="C62" s="334">
        <v>11</v>
      </c>
      <c r="D62" s="334">
        <v>699863.68819999998</v>
      </c>
      <c r="E62" s="334">
        <v>11</v>
      </c>
      <c r="F62" s="334">
        <v>173284.82491</v>
      </c>
    </row>
    <row r="63" spans="1:6">
      <c r="A63" s="348" t="s">
        <v>49</v>
      </c>
      <c r="B63" s="348" t="s">
        <v>29</v>
      </c>
      <c r="C63" s="334">
        <v>88</v>
      </c>
      <c r="D63" s="334">
        <v>3515706.0715999999</v>
      </c>
      <c r="E63" s="334">
        <v>105</v>
      </c>
      <c r="F63" s="334">
        <v>2178795.2313999999</v>
      </c>
    </row>
    <row r="64" spans="1:6">
      <c r="A64" s="348" t="s">
        <v>56</v>
      </c>
      <c r="B64" s="348" t="s">
        <v>57</v>
      </c>
      <c r="C64" s="334">
        <v>0</v>
      </c>
      <c r="D64" s="334">
        <v>0</v>
      </c>
      <c r="E64" s="334">
        <v>0</v>
      </c>
      <c r="F64" s="334">
        <v>0</v>
      </c>
    </row>
    <row r="65" spans="1:6">
      <c r="A65" s="348" t="s">
        <v>56</v>
      </c>
      <c r="B65" s="348" t="s">
        <v>29</v>
      </c>
      <c r="C65" s="334">
        <v>3</v>
      </c>
      <c r="D65" s="334">
        <v>279725.91246000002</v>
      </c>
      <c r="E65" s="334">
        <v>2</v>
      </c>
      <c r="F65" s="334">
        <v>10954.88132</v>
      </c>
    </row>
    <row r="66" spans="1:6">
      <c r="A66" s="348" t="s">
        <v>56</v>
      </c>
      <c r="B66" s="348" t="s">
        <v>58</v>
      </c>
      <c r="C66" s="334">
        <v>0</v>
      </c>
      <c r="D66" s="334">
        <v>0</v>
      </c>
      <c r="E66" s="334">
        <v>9</v>
      </c>
      <c r="F66" s="334">
        <v>183492.7886</v>
      </c>
    </row>
    <row r="67" spans="1:6">
      <c r="A67" s="355" t="s">
        <v>56</v>
      </c>
      <c r="B67" s="355" t="s">
        <v>59</v>
      </c>
      <c r="C67" s="334">
        <v>0</v>
      </c>
      <c r="D67" s="334">
        <v>0</v>
      </c>
      <c r="E67" s="334">
        <v>0</v>
      </c>
      <c r="F67" s="334">
        <v>0</v>
      </c>
    </row>
    <row r="68" spans="1:6">
      <c r="A68" s="341" t="s">
        <v>56</v>
      </c>
      <c r="B68" s="341" t="s">
        <v>60</v>
      </c>
      <c r="C68" s="334">
        <v>3</v>
      </c>
      <c r="D68" s="334">
        <v>24406.667353000001</v>
      </c>
      <c r="E68" s="334">
        <v>10</v>
      </c>
      <c r="F68" s="334">
        <v>119969.14096999999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26775721</v>
      </c>
      <c r="E73" s="475">
        <v>28130945.729021013</v>
      </c>
    </row>
    <row r="74" spans="1:6">
      <c r="A74" s="348" t="s">
        <v>64</v>
      </c>
      <c r="B74" s="348" t="s">
        <v>667</v>
      </c>
      <c r="C74" s="1294" t="s">
        <v>669</v>
      </c>
      <c r="D74" s="475">
        <v>2739784.3441631761</v>
      </c>
      <c r="E74" s="475">
        <v>2823174.9053531233</v>
      </c>
    </row>
    <row r="75" spans="1:6">
      <c r="A75" s="348" t="s">
        <v>65</v>
      </c>
      <c r="B75" s="348" t="s">
        <v>666</v>
      </c>
      <c r="C75" s="1294" t="s">
        <v>670</v>
      </c>
      <c r="D75" s="475">
        <v>6118255</v>
      </c>
      <c r="E75" s="475">
        <v>6463695.5311647803</v>
      </c>
    </row>
    <row r="76" spans="1:6">
      <c r="A76" s="348" t="s">
        <v>65</v>
      </c>
      <c r="B76" s="348" t="s">
        <v>667</v>
      </c>
      <c r="C76" s="1294" t="s">
        <v>671</v>
      </c>
      <c r="D76" s="475">
        <v>21184.400000000001</v>
      </c>
      <c r="E76" s="475">
        <v>23088.01706818497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390343.3116736479</v>
      </c>
      <c r="C83" s="475">
        <v>390343.3116736479</v>
      </c>
    </row>
    <row r="84" spans="1:6">
      <c r="A84" s="341" t="s">
        <v>337</v>
      </c>
      <c r="B84" s="1295">
        <v>99015.990452934144</v>
      </c>
      <c r="C84" s="1295">
        <v>99015.990452934144</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2589.1131534435276</v>
      </c>
    </row>
    <row r="92" spans="1:6">
      <c r="A92" s="341" t="s">
        <v>69</v>
      </c>
      <c r="B92" s="342">
        <v>673.67407704634661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3</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64210.46544947668</v>
      </c>
      <c r="C3" s="43" t="s">
        <v>170</v>
      </c>
      <c r="D3" s="43"/>
      <c r="E3" s="154"/>
      <c r="F3" s="43"/>
      <c r="G3" s="43"/>
      <c r="H3" s="43"/>
      <c r="I3" s="43"/>
      <c r="J3" s="43"/>
      <c r="K3" s="96"/>
    </row>
    <row r="4" spans="1:11">
      <c r="A4" s="383" t="s">
        <v>171</v>
      </c>
      <c r="B4" s="49">
        <f>IF(ISERROR('SEAP template'!B78+'SEAP template'!C78),0,'SEAP template'!B78+'SEAP template'!C78)</f>
        <v>3262.7872304898742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0.20977011756742933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1639.8340000000001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1639.8340000000001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0.20977011756742933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343.98817097106792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33288.886590000002</v>
      </c>
      <c r="C5" s="17">
        <f>IF(ISERROR('Eigen informatie GS &amp; warmtenet'!B57),0,'Eigen informatie GS &amp; warmtenet'!B57)</f>
        <v>0</v>
      </c>
      <c r="D5" s="30">
        <f>(SUM(HH_hh_gas_kWh,HH_rest_gas_kWh)/1000)*0.902</f>
        <v>60149.985145712002</v>
      </c>
      <c r="E5" s="17">
        <f>B46*B57</f>
        <v>1491.1810022199097</v>
      </c>
      <c r="F5" s="17">
        <f>B51*B62</f>
        <v>0</v>
      </c>
      <c r="G5" s="18"/>
      <c r="H5" s="17"/>
      <c r="I5" s="17"/>
      <c r="J5" s="17">
        <f>B50*B61+C50*C61</f>
        <v>0</v>
      </c>
      <c r="K5" s="17"/>
      <c r="L5" s="17"/>
      <c r="M5" s="17"/>
      <c r="N5" s="17">
        <f>B48*B59+C48*C59</f>
        <v>4778.0078416878287</v>
      </c>
      <c r="O5" s="17">
        <f>B69*B70*B71</f>
        <v>245.44333333333333</v>
      </c>
      <c r="P5" s="17">
        <f>B77*B78*B79/1000-B77*B78*B79/1000/B80</f>
        <v>591.06666666666661</v>
      </c>
    </row>
    <row r="6" spans="1:16">
      <c r="A6" s="16" t="s">
        <v>624</v>
      </c>
      <c r="B6" s="788">
        <f>kWh_PV_kleiner_dan_10kW</f>
        <v>2589.1131534435276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35877.999743443528</v>
      </c>
      <c r="C8" s="21">
        <f>C5</f>
        <v>0</v>
      </c>
      <c r="D8" s="21">
        <f>D5</f>
        <v>60149.985145712002</v>
      </c>
      <c r="E8" s="21">
        <f>E5</f>
        <v>1491.1810022199097</v>
      </c>
      <c r="F8" s="21">
        <f>F5</f>
        <v>0</v>
      </c>
      <c r="G8" s="21"/>
      <c r="H8" s="21"/>
      <c r="I8" s="21"/>
      <c r="J8" s="21">
        <f>J5</f>
        <v>0</v>
      </c>
      <c r="K8" s="21"/>
      <c r="L8" s="21">
        <f>L5</f>
        <v>0</v>
      </c>
      <c r="M8" s="21">
        <f>M5</f>
        <v>0</v>
      </c>
      <c r="N8" s="21">
        <f>N5</f>
        <v>4778.0078416878287</v>
      </c>
      <c r="O8" s="21">
        <f>O5</f>
        <v>245.44333333333333</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0.20977011756742933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7526.1322242663482</v>
      </c>
      <c r="C12" s="23">
        <f ca="1">C10*C8</f>
        <v>0</v>
      </c>
      <c r="D12" s="23">
        <f>D8*D10</f>
        <v>12150.296999433825</v>
      </c>
      <c r="E12" s="23">
        <f>E10*E8</f>
        <v>338.49808750391952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7617</v>
      </c>
      <c r="C28" s="36"/>
      <c r="D28" s="228"/>
    </row>
    <row r="29" spans="1:7" s="15" customFormat="1">
      <c r="A29" s="230" t="s">
        <v>699</v>
      </c>
      <c r="B29" s="37">
        <f>SUM(HH_hh_gas_aantal,HH_rest_gas_aantal)</f>
        <v>5363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5363</v>
      </c>
      <c r="C32" s="167">
        <f>IF(ISERROR(B32/SUM($B$32,$B$34,$B$35,$B$36,$B$38,$B$39)*100),0,B32/SUM($B$32,$B$34,$B$35,$B$36,$B$38,$B$39)*100)</f>
        <v>70.696018982335886</v>
      </c>
      <c r="D32" s="233"/>
      <c r="G32" s="15"/>
    </row>
    <row r="33" spans="1:7">
      <c r="A33" s="171" t="s">
        <v>72</v>
      </c>
      <c r="B33" s="34" t="s">
        <v>111</v>
      </c>
      <c r="C33" s="167"/>
      <c r="D33" s="233"/>
      <c r="G33" s="15"/>
    </row>
    <row r="34" spans="1:7">
      <c r="A34" s="171" t="s">
        <v>73</v>
      </c>
      <c r="B34" s="33">
        <f>IF((($B$28-$B$32-$B$39-$B$77-$B$38)*C20/100)&lt;0,0,($B$28-$B$32-$B$39-$B$77-$B$38)*C20/100)</f>
        <v>65.929277566539923</v>
      </c>
      <c r="C34" s="167">
        <f>IF(ISERROR(B34/SUM($B$32,$B$34,$B$35,$B$36,$B$38,$B$39)*100),0,B34/SUM($B$32,$B$34,$B$35,$B$36,$B$38,$B$39)*100)</f>
        <v>0.86909145223490536</v>
      </c>
      <c r="D34" s="233"/>
      <c r="G34" s="15"/>
    </row>
    <row r="35" spans="1:7">
      <c r="A35" s="171" t="s">
        <v>74</v>
      </c>
      <c r="B35" s="33">
        <f>IF((($B$28-$B$32-$B$39-$B$77-$B$38)*C21/100)&lt;0,0,($B$28-$B$32-$B$39-$B$77-$B$38)*C21/100)</f>
        <v>2082.6889733840303</v>
      </c>
      <c r="C35" s="167">
        <f>IF(ISERROR(B35/SUM($B$32,$B$34,$B$35,$B$36,$B$38,$B$39)*100),0,B35/SUM($B$32,$B$34,$B$35,$B$36,$B$38,$B$39)*100)</f>
        <v>27.454376132138549</v>
      </c>
      <c r="D35" s="233"/>
      <c r="G35" s="15"/>
    </row>
    <row r="36" spans="1:7">
      <c r="A36" s="171" t="s">
        <v>75</v>
      </c>
      <c r="B36" s="33">
        <f>IF((($B$28-$B$32-$B$39-$B$77-$B$38)*C22/100)&lt;0,0,($B$28-$B$32-$B$39-$B$77-$B$38)*C22/100)</f>
        <v>74.381749049429658</v>
      </c>
      <c r="C36" s="167">
        <f>IF(ISERROR(B36/SUM($B$32,$B$34,$B$35,$B$36,$B$38,$B$39)*100),0,B36/SUM($B$32,$B$34,$B$35,$B$36,$B$38,$B$39)*100)</f>
        <v>0.98051343329066243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5363</v>
      </c>
      <c r="C44" s="34" t="s">
        <v>111</v>
      </c>
      <c r="D44" s="174"/>
    </row>
    <row r="45" spans="1:7">
      <c r="A45" s="171" t="s">
        <v>72</v>
      </c>
      <c r="B45" s="33" t="str">
        <f t="shared" si="0"/>
        <v>-</v>
      </c>
      <c r="C45" s="34" t="s">
        <v>111</v>
      </c>
      <c r="D45" s="174"/>
    </row>
    <row r="46" spans="1:7">
      <c r="A46" s="171" t="s">
        <v>73</v>
      </c>
      <c r="B46" s="33">
        <f t="shared" si="0"/>
        <v>65.929277566539923</v>
      </c>
      <c r="C46" s="34" t="s">
        <v>111</v>
      </c>
      <c r="D46" s="174"/>
    </row>
    <row r="47" spans="1:7">
      <c r="A47" s="171" t="s">
        <v>74</v>
      </c>
      <c r="B47" s="33">
        <f t="shared" si="0"/>
        <v>2082.6889733840303</v>
      </c>
      <c r="C47" s="34" t="s">
        <v>111</v>
      </c>
      <c r="D47" s="174"/>
    </row>
    <row r="48" spans="1:7">
      <c r="A48" s="171" t="s">
        <v>75</v>
      </c>
      <c r="B48" s="33">
        <f t="shared" si="0"/>
        <v>74.381749049429658</v>
      </c>
      <c r="C48" s="33">
        <f>B48*10</f>
        <v>743.81749049429664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17386.55535767</v>
      </c>
      <c r="C5" s="17">
        <f>IF(ISERROR('Eigen informatie GS &amp; warmtenet'!B58),0,'Eigen informatie GS &amp; warmtenet'!B58)</f>
        <v>0</v>
      </c>
      <c r="D5" s="30">
        <f>SUM(D6:D12)</f>
        <v>12727.677333519281</v>
      </c>
      <c r="E5" s="17">
        <f>SUM(E6:E12)</f>
        <v>441.59110400713598</v>
      </c>
      <c r="F5" s="17">
        <f>SUM(F6:F12)</f>
        <v>5503.9881706974566</v>
      </c>
      <c r="G5" s="18"/>
      <c r="H5" s="17"/>
      <c r="I5" s="17"/>
      <c r="J5" s="17">
        <f>SUM(J6:J12)</f>
        <v>0</v>
      </c>
      <c r="K5" s="17"/>
      <c r="L5" s="17"/>
      <c r="M5" s="17"/>
      <c r="N5" s="17">
        <f>SUM(N6:N12)</f>
        <v>592.14892119829801</v>
      </c>
      <c r="O5" s="17">
        <f>B38*B39*B40</f>
        <v>4.6900000000000004</v>
      </c>
      <c r="P5" s="17">
        <f>B46*B47*B48/1000-B46*B47*B48/1000/B49</f>
        <v>19.066666666666666</v>
      </c>
      <c r="R5" s="32"/>
    </row>
    <row r="6" spans="1:18">
      <c r="A6" s="32" t="s">
        <v>54</v>
      </c>
      <c r="B6" s="37">
        <f>B26</f>
        <v>3184.8242464</v>
      </c>
      <c r="C6" s="33"/>
      <c r="D6" s="37">
        <f>IF(ISERROR(TER_kantoor_gas_kWh/1000),0,TER_kantoor_gas_kWh/1000)*0.902</f>
        <v>3751.3993046068003</v>
      </c>
      <c r="E6" s="33">
        <f>$C$26*'E Balans VL '!I12/100/3.6*1000000</f>
        <v>41.693272519977256</v>
      </c>
      <c r="F6" s="33">
        <f>$C$26*('E Balans VL '!L12+'E Balans VL '!N12)/100/3.6*1000000</f>
        <v>812.09727208761524</v>
      </c>
      <c r="G6" s="34"/>
      <c r="H6" s="33"/>
      <c r="I6" s="33"/>
      <c r="J6" s="33">
        <f>$C$26*('E Balans VL '!D12+'E Balans VL '!E12)/100/3.6*1000000</f>
        <v>0</v>
      </c>
      <c r="K6" s="33"/>
      <c r="L6" s="33"/>
      <c r="M6" s="33"/>
      <c r="N6" s="33">
        <f>$C$26*'E Balans VL '!Y12/100/3.6*1000000</f>
        <v>3.1955489714616179</v>
      </c>
      <c r="O6" s="33"/>
      <c r="P6" s="33"/>
      <c r="R6" s="32"/>
    </row>
    <row r="7" spans="1:18">
      <c r="A7" s="32" t="s">
        <v>53</v>
      </c>
      <c r="B7" s="37">
        <f t="shared" ref="B7:B12" si="0">B27</f>
        <v>7315.5426246999996</v>
      </c>
      <c r="C7" s="33"/>
      <c r="D7" s="37">
        <f>IF(ISERROR(TER_horeca_gas_kWh/1000),0,TER_horeca_gas_kWh/1000)*0.902</f>
        <v>3087.8809574294005</v>
      </c>
      <c r="E7" s="33">
        <f>$C$27*'E Balans VL '!I9/100/3.6*1000000</f>
        <v>242.09996192454321</v>
      </c>
      <c r="F7" s="33">
        <f>$C$27*('E Balans VL '!L9+'E Balans VL '!N9)/100/3.6*1000000</f>
        <v>3145.6552920656427</v>
      </c>
      <c r="G7" s="34"/>
      <c r="H7" s="33"/>
      <c r="I7" s="33"/>
      <c r="J7" s="33">
        <f>$C$27*('E Balans VL '!D9+'E Balans VL '!E9)/100/3.6*1000000</f>
        <v>0</v>
      </c>
      <c r="K7" s="33"/>
      <c r="L7" s="33"/>
      <c r="M7" s="33"/>
      <c r="N7" s="33">
        <f>$C$27*'E Balans VL '!Y9/100/3.6*1000000</f>
        <v>1.7609573431023404</v>
      </c>
      <c r="O7" s="33"/>
      <c r="P7" s="33"/>
      <c r="R7" s="32"/>
    </row>
    <row r="8" spans="1:18">
      <c r="A8" s="6" t="s">
        <v>52</v>
      </c>
      <c r="B8" s="37">
        <f t="shared" si="0"/>
        <v>3750.0162888999998</v>
      </c>
      <c r="C8" s="33"/>
      <c r="D8" s="37">
        <f>IF(ISERROR(TER_handel_gas_kWh/1000),0,TER_handel_gas_kWh/1000)*0.902</f>
        <v>1426.8694017578</v>
      </c>
      <c r="E8" s="33">
        <f>$C$28*'E Balans VL '!I13/100/3.6*1000000</f>
        <v>118.35624393201522</v>
      </c>
      <c r="F8" s="33">
        <f>$C$28*('E Balans VL '!L13+'E Balans VL '!N13)/100/3.6*1000000</f>
        <v>735.4442279404027</v>
      </c>
      <c r="G8" s="34"/>
      <c r="H8" s="33"/>
      <c r="I8" s="33"/>
      <c r="J8" s="33">
        <f>$C$28*('E Balans VL '!D13+'E Balans VL '!E13)/100/3.6*1000000</f>
        <v>0</v>
      </c>
      <c r="K8" s="33"/>
      <c r="L8" s="33"/>
      <c r="M8" s="33"/>
      <c r="N8" s="33">
        <f>$C$28*'E Balans VL '!Y13/100/3.6*1000000</f>
        <v>4.4505412781997737</v>
      </c>
      <c r="O8" s="33"/>
      <c r="P8" s="33"/>
      <c r="R8" s="32"/>
    </row>
    <row r="9" spans="1:18">
      <c r="A9" s="32" t="s">
        <v>51</v>
      </c>
      <c r="B9" s="37">
        <f t="shared" si="0"/>
        <v>293.38282384000001</v>
      </c>
      <c r="C9" s="33"/>
      <c r="D9" s="37">
        <f>IF(ISERROR(TER_gezond_gas_kWh/1000),0,TER_gezond_gas_kWh/1000)*0.902</f>
        <v>143.22081324782002</v>
      </c>
      <c r="E9" s="33">
        <f>$C$29*'E Balans VL '!I10/100/3.6*1000000</f>
        <v>3.7561584175596886E-2</v>
      </c>
      <c r="F9" s="33">
        <f>$C$29*('E Balans VL '!L10+'E Balans VL '!N10)/100/3.6*1000000</f>
        <v>61.12393900693958</v>
      </c>
      <c r="G9" s="34"/>
      <c r="H9" s="33"/>
      <c r="I9" s="33"/>
      <c r="J9" s="33">
        <f>$C$29*('E Balans VL '!D10+'E Balans VL '!E10)/100/3.6*1000000</f>
        <v>0</v>
      </c>
      <c r="K9" s="33"/>
      <c r="L9" s="33"/>
      <c r="M9" s="33"/>
      <c r="N9" s="33">
        <f>$C$29*'E Balans VL '!Y10/100/3.6*1000000</f>
        <v>3.4459199369538376</v>
      </c>
      <c r="O9" s="33"/>
      <c r="P9" s="33"/>
      <c r="R9" s="32"/>
    </row>
    <row r="10" spans="1:18">
      <c r="A10" s="32" t="s">
        <v>50</v>
      </c>
      <c r="B10" s="37">
        <f t="shared" si="0"/>
        <v>490.70931751999996</v>
      </c>
      <c r="C10" s="33"/>
      <c r="D10" s="37">
        <f>IF(ISERROR(TER_ander_gas_kWh/1000),0,TER_ander_gas_kWh/1000)*0.902</f>
        <v>515.86293313785995</v>
      </c>
      <c r="E10" s="33">
        <f>$C$30*'E Balans VL '!I14/100/3.6*1000000</f>
        <v>0.73791141560492723</v>
      </c>
      <c r="F10" s="33">
        <f>$C$30*('E Balans VL '!L14+'E Balans VL '!N14)/100/3.6*1000000</f>
        <v>108.33279949132772</v>
      </c>
      <c r="G10" s="34"/>
      <c r="H10" s="33"/>
      <c r="I10" s="33"/>
      <c r="J10" s="33">
        <f>$C$30*('E Balans VL '!D14+'E Balans VL '!E14)/100/3.6*1000000</f>
        <v>0</v>
      </c>
      <c r="K10" s="33"/>
      <c r="L10" s="33"/>
      <c r="M10" s="33"/>
      <c r="N10" s="33">
        <f>$C$30*'E Balans VL '!Y14/100/3.6*1000000</f>
        <v>386.71196569771945</v>
      </c>
      <c r="O10" s="33"/>
      <c r="P10" s="33"/>
      <c r="R10" s="32"/>
    </row>
    <row r="11" spans="1:18">
      <c r="A11" s="32" t="s">
        <v>55</v>
      </c>
      <c r="B11" s="37">
        <f t="shared" si="0"/>
        <v>173.28482491</v>
      </c>
      <c r="C11" s="33"/>
      <c r="D11" s="37">
        <f>IF(ISERROR(TER_onderwijs_gas_kWh/1000),0,TER_onderwijs_gas_kWh/1000)*0.902</f>
        <v>631.27704675639995</v>
      </c>
      <c r="E11" s="33">
        <f>$C$31*'E Balans VL '!I11/100/3.6*1000000</f>
        <v>0.30516909788464286</v>
      </c>
      <c r="F11" s="33">
        <f>$C$31*('E Balans VL '!L11+'E Balans VL '!N11)/100/3.6*1000000</f>
        <v>80.008739244667737</v>
      </c>
      <c r="G11" s="34"/>
      <c r="H11" s="33"/>
      <c r="I11" s="33"/>
      <c r="J11" s="33">
        <f>$C$31*('E Balans VL '!D11+'E Balans VL '!E11)/100/3.6*1000000</f>
        <v>0</v>
      </c>
      <c r="K11" s="33"/>
      <c r="L11" s="33"/>
      <c r="M11" s="33"/>
      <c r="N11" s="33">
        <f>$C$31*'E Balans VL '!Y11/100/3.6*1000000</f>
        <v>0.32283202512482767</v>
      </c>
      <c r="O11" s="33"/>
      <c r="P11" s="33"/>
      <c r="R11" s="32"/>
    </row>
    <row r="12" spans="1:18">
      <c r="A12" s="32" t="s">
        <v>260</v>
      </c>
      <c r="B12" s="37">
        <f t="shared" si="0"/>
        <v>2178.7952313999999</v>
      </c>
      <c r="C12" s="33"/>
      <c r="D12" s="37">
        <f>IF(ISERROR(TER_rest_gas_kWh/1000),0,TER_rest_gas_kWh/1000)*0.902</f>
        <v>3171.1668765832001</v>
      </c>
      <c r="E12" s="33">
        <f>$C$32*'E Balans VL '!I8/100/3.6*1000000</f>
        <v>38.360983532935172</v>
      </c>
      <c r="F12" s="33">
        <f>$C$32*('E Balans VL '!L8+'E Balans VL '!N8)/100/3.6*1000000</f>
        <v>561.325900860861</v>
      </c>
      <c r="G12" s="34"/>
      <c r="H12" s="33"/>
      <c r="I12" s="33"/>
      <c r="J12" s="33">
        <f>$C$32*('E Balans VL '!D8+'E Balans VL '!E8)/100/3.6*1000000</f>
        <v>0</v>
      </c>
      <c r="K12" s="33"/>
      <c r="L12" s="33"/>
      <c r="M12" s="33"/>
      <c r="N12" s="33">
        <f>$C$32*'E Balans VL '!Y8/100/3.6*1000000</f>
        <v>192.26115594573611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17386.55535767</v>
      </c>
      <c r="C16" s="21">
        <f t="shared" ca="1" si="1"/>
        <v>0</v>
      </c>
      <c r="D16" s="21">
        <f t="shared" ca="1" si="1"/>
        <v>12727.677333519281</v>
      </c>
      <c r="E16" s="21">
        <f t="shared" si="1"/>
        <v>441.59110400713598</v>
      </c>
      <c r="F16" s="21">
        <f t="shared" ca="1" si="1"/>
        <v>5503.9881706974566</v>
      </c>
      <c r="G16" s="21">
        <f t="shared" si="1"/>
        <v>0</v>
      </c>
      <c r="H16" s="21">
        <f t="shared" si="1"/>
        <v>0</v>
      </c>
      <c r="I16" s="21">
        <f t="shared" si="1"/>
        <v>0</v>
      </c>
      <c r="J16" s="21">
        <f t="shared" si="1"/>
        <v>0</v>
      </c>
      <c r="K16" s="21">
        <f t="shared" si="1"/>
        <v>0</v>
      </c>
      <c r="L16" s="21">
        <f t="shared" ca="1" si="1"/>
        <v>0</v>
      </c>
      <c r="M16" s="21">
        <f t="shared" si="1"/>
        <v>0</v>
      </c>
      <c r="N16" s="21">
        <f t="shared" ca="1" si="1"/>
        <v>592.14892119829801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0.20977011756742933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3647.1797614710545</v>
      </c>
      <c r="C20" s="23">
        <f t="shared" ref="C20:P20" ca="1" si="2">C16*C18</f>
        <v>0</v>
      </c>
      <c r="D20" s="23">
        <f t="shared" ca="1" si="2"/>
        <v>2570.990821370895</v>
      </c>
      <c r="E20" s="23">
        <f t="shared" si="2"/>
        <v>100.24118060961987</v>
      </c>
      <c r="F20" s="23">
        <f t="shared" ca="1" si="2"/>
        <v>1469.5648415762209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3184.8242464</v>
      </c>
      <c r="C26" s="39">
        <f>IF(ISERROR(B26*3.6/1000000/'E Balans VL '!Z12*100),0,B26*3.6/1000000/'E Balans VL '!Z12*100)</f>
        <v>6.8221409551501092E-2</v>
      </c>
      <c r="D26" s="237" t="s">
        <v>660</v>
      </c>
      <c r="F26" s="6"/>
    </row>
    <row r="27" spans="1:18">
      <c r="A27" s="231" t="s">
        <v>53</v>
      </c>
      <c r="B27" s="33">
        <f>IF(ISERROR(TER_horeca_ele_kWh/1000),0,TER_horeca_ele_kWh/1000)</f>
        <v>7315.5426246999996</v>
      </c>
      <c r="C27" s="39">
        <f>IF(ISERROR(B27*3.6/1000000/'E Balans VL '!Z9*100),0,B27*3.6/1000000/'E Balans VL '!Z9*100)</f>
        <v>0.58704686706556508</v>
      </c>
      <c r="D27" s="237" t="s">
        <v>660</v>
      </c>
      <c r="F27" s="6"/>
    </row>
    <row r="28" spans="1:18">
      <c r="A28" s="171" t="s">
        <v>52</v>
      </c>
      <c r="B28" s="33">
        <f>IF(ISERROR(TER_handel_ele_kWh/1000),0,TER_handel_ele_kWh/1000)</f>
        <v>3750.0162888999998</v>
      </c>
      <c r="C28" s="39">
        <f>IF(ISERROR(B28*3.6/1000000/'E Balans VL '!Z13*100),0,B28*3.6/1000000/'E Balans VL '!Z13*100)</f>
        <v>0.11060397128705057</v>
      </c>
      <c r="D28" s="237" t="s">
        <v>660</v>
      </c>
      <c r="F28" s="6"/>
    </row>
    <row r="29" spans="1:18">
      <c r="A29" s="231" t="s">
        <v>51</v>
      </c>
      <c r="B29" s="33">
        <f>IF(ISERROR(TER_gezond_ele_kWh/1000),0,TER_gezond_ele_kWh/1000)</f>
        <v>293.38282384000001</v>
      </c>
      <c r="C29" s="39">
        <f>IF(ISERROR(B29*3.6/1000000/'E Balans VL '!Z10*100),0,B29*3.6/1000000/'E Balans VL '!Z10*100)</f>
        <v>3.1325419697636463E-2</v>
      </c>
      <c r="D29" s="237" t="s">
        <v>660</v>
      </c>
      <c r="F29" s="6"/>
    </row>
    <row r="30" spans="1:18">
      <c r="A30" s="231" t="s">
        <v>50</v>
      </c>
      <c r="B30" s="33">
        <f>IF(ISERROR(TER_ander_ele_kWh/1000),0,TER_ander_ele_kWh/1000)</f>
        <v>490.70931751999996</v>
      </c>
      <c r="C30" s="39">
        <f>IF(ISERROR(B30*3.6/1000000/'E Balans VL '!Z14*100),0,B30*3.6/1000000/'E Balans VL '!Z14*100)</f>
        <v>3.7065201690049239E-2</v>
      </c>
      <c r="D30" s="237" t="s">
        <v>660</v>
      </c>
      <c r="F30" s="6"/>
    </row>
    <row r="31" spans="1:18">
      <c r="A31" s="231" t="s">
        <v>55</v>
      </c>
      <c r="B31" s="33">
        <f>IF(ISERROR(TER_onderwijs_ele_kWh/1000),0,TER_onderwijs_ele_kWh/1000)</f>
        <v>173.28482491</v>
      </c>
      <c r="C31" s="39">
        <f>IF(ISERROR(B31*3.6/1000000/'E Balans VL '!Z11*100),0,B31*3.6/1000000/'E Balans VL '!Z11*100)</f>
        <v>3.4991990843676504E-2</v>
      </c>
      <c r="D31" s="237" t="s">
        <v>660</v>
      </c>
    </row>
    <row r="32" spans="1:18">
      <c r="A32" s="231" t="s">
        <v>260</v>
      </c>
      <c r="B32" s="33">
        <f>IF(ISERROR(TER_rest_ele_kWh/1000),0,TER_rest_ele_kWh/1000)</f>
        <v>2178.7952313999999</v>
      </c>
      <c r="C32" s="39">
        <f>IF(ISERROR(B32*3.6/1000000/'E Balans VL '!Z8*100),0,B32*3.6/1000000/'E Balans VL '!Z8*100)</f>
        <v>1.8065246418778439E-2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6577.8905352759994</v>
      </c>
      <c r="C5" s="17">
        <f>IF(ISERROR('Eigen informatie GS &amp; warmtenet'!B59),0,'Eigen informatie GS &amp; warmtenet'!B59)</f>
        <v>0</v>
      </c>
      <c r="D5" s="30">
        <f>SUM(D6:D15)</f>
        <v>5302.7937387688999</v>
      </c>
      <c r="E5" s="17">
        <f>SUM(E6:E15)</f>
        <v>747.15852185771814</v>
      </c>
      <c r="F5" s="17">
        <f>SUM(F6:F15)</f>
        <v>2747.3147924982882</v>
      </c>
      <c r="G5" s="18"/>
      <c r="H5" s="17"/>
      <c r="I5" s="17"/>
      <c r="J5" s="17">
        <f>SUM(J6:J15)</f>
        <v>32.574666324123534</v>
      </c>
      <c r="K5" s="17"/>
      <c r="L5" s="17"/>
      <c r="M5" s="17"/>
      <c r="N5" s="17">
        <f>SUM(N6:N15)</f>
        <v>1624.4748613449276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58.491526866000001</v>
      </c>
      <c r="C8" s="33"/>
      <c r="D8" s="37">
        <f>IF( ISERROR(IND_metaal_Gas_kWH/1000),0,IND_metaal_Gas_kWH/1000)*0.902</f>
        <v>0</v>
      </c>
      <c r="E8" s="33">
        <f>C30*'E Balans VL '!I18/100/3.6*1000000</f>
        <v>2.1047020855024603</v>
      </c>
      <c r="F8" s="33">
        <f>C30*'E Balans VL '!L18/100/3.6*1000000+C30*'E Balans VL '!N18/100/3.6*1000000</f>
        <v>25.541353691081419</v>
      </c>
      <c r="G8" s="34"/>
      <c r="H8" s="33"/>
      <c r="I8" s="33"/>
      <c r="J8" s="40">
        <f>C30*'E Balans VL '!D18/100/3.6*1000000+C30*'E Balans VL '!E18/100/3.6*1000000</f>
        <v>0</v>
      </c>
      <c r="K8" s="33"/>
      <c r="L8" s="33"/>
      <c r="M8" s="33"/>
      <c r="N8" s="33">
        <f>C30*'E Balans VL '!Y18/100/3.6*1000000</f>
        <v>2.931555577319604</v>
      </c>
      <c r="O8" s="33"/>
      <c r="P8" s="33"/>
      <c r="R8" s="32"/>
    </row>
    <row r="9" spans="1:18">
      <c r="A9" s="6" t="s">
        <v>33</v>
      </c>
      <c r="B9" s="37">
        <f t="shared" si="0"/>
        <v>2016.9021288000001</v>
      </c>
      <c r="C9" s="33"/>
      <c r="D9" s="37">
        <f>IF( ISERROR(IND_andere_gas_kWh/1000),0,IND_andere_gas_kWh/1000)*0.902</f>
        <v>3228.5508504457998</v>
      </c>
      <c r="E9" s="33">
        <f>C31*'E Balans VL '!I19/100/3.6*1000000</f>
        <v>514.6677895809438</v>
      </c>
      <c r="F9" s="33">
        <f>C31*'E Balans VL '!L19/100/3.6*1000000+C31*'E Balans VL '!N19/100/3.6*1000000</f>
        <v>1736.4011366392433</v>
      </c>
      <c r="G9" s="34"/>
      <c r="H9" s="33"/>
      <c r="I9" s="33"/>
      <c r="J9" s="40">
        <f>C31*'E Balans VL '!D19/100/3.6*1000000+C31*'E Balans VL '!E19/100/3.6*1000000</f>
        <v>0</v>
      </c>
      <c r="K9" s="33"/>
      <c r="L9" s="33"/>
      <c r="M9" s="33"/>
      <c r="N9" s="33">
        <f>C31*'E Balans VL '!Y19/100/3.6*1000000</f>
        <v>630.75436735990922</v>
      </c>
      <c r="O9" s="33"/>
      <c r="P9" s="33"/>
      <c r="R9" s="32"/>
    </row>
    <row r="10" spans="1:18">
      <c r="A10" s="6" t="s">
        <v>41</v>
      </c>
      <c r="B10" s="37">
        <f t="shared" si="0"/>
        <v>484.46283051</v>
      </c>
      <c r="C10" s="33"/>
      <c r="D10" s="37">
        <f>IF( ISERROR(IND_voed_gas_kWh/1000),0,IND_voed_gas_kWh/1000)*0.902</f>
        <v>678.74036374210004</v>
      </c>
      <c r="E10" s="33">
        <f>C32*'E Balans VL '!I20/100/3.6*1000000</f>
        <v>12.315710373544306</v>
      </c>
      <c r="F10" s="33">
        <f>C32*'E Balans VL '!L20/100/3.6*1000000+C32*'E Balans VL '!N20/100/3.6*1000000</f>
        <v>109.62666613015362</v>
      </c>
      <c r="G10" s="34"/>
      <c r="H10" s="33"/>
      <c r="I10" s="33"/>
      <c r="J10" s="40">
        <f>C32*'E Balans VL '!D20/100/3.6*1000000+C32*'E Balans VL '!E20/100/3.6*1000000</f>
        <v>0</v>
      </c>
      <c r="K10" s="33"/>
      <c r="L10" s="33"/>
      <c r="M10" s="33"/>
      <c r="N10" s="33">
        <f>C32*'E Balans VL '!Y20/100/3.6*1000000</f>
        <v>181.68669332279592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4018.0340490999997</v>
      </c>
      <c r="C15" s="33"/>
      <c r="D15" s="37">
        <f>IF( ISERROR(IND_rest_gas_kWh/1000),0,IND_rest_gas_kWh/1000)*0.902</f>
        <v>1395.502524581</v>
      </c>
      <c r="E15" s="33">
        <f>C37*'E Balans VL '!I15/100/3.6*1000000</f>
        <v>218.07031981772747</v>
      </c>
      <c r="F15" s="33">
        <f>C37*'E Balans VL '!L15/100/3.6*1000000+C37*'E Balans VL '!N15/100/3.6*1000000</f>
        <v>875.74563603780973</v>
      </c>
      <c r="G15" s="34"/>
      <c r="H15" s="33"/>
      <c r="I15" s="33"/>
      <c r="J15" s="40">
        <f>C37*'E Balans VL '!D15/100/3.6*1000000+C37*'E Balans VL '!E15/100/3.6*1000000</f>
        <v>32.574666324123534</v>
      </c>
      <c r="K15" s="33"/>
      <c r="L15" s="33"/>
      <c r="M15" s="33"/>
      <c r="N15" s="33">
        <f>C37*'E Balans VL '!Y15/100/3.6*1000000</f>
        <v>809.10224508490285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6577.8905352759994</v>
      </c>
      <c r="C18" s="21">
        <f>C5+C16</f>
        <v>0</v>
      </c>
      <c r="D18" s="21">
        <f>MAX((D5+D16),0)</f>
        <v>5302.7937387688999</v>
      </c>
      <c r="E18" s="21">
        <f>MAX((E5+E16),0)</f>
        <v>747.15852185771814</v>
      </c>
      <c r="F18" s="21">
        <f>MAX((F5+F16),0)</f>
        <v>2747.3147924982882</v>
      </c>
      <c r="G18" s="21"/>
      <c r="H18" s="21"/>
      <c r="I18" s="21"/>
      <c r="J18" s="21">
        <f>MAX((J5+J16),0)</f>
        <v>32.574666324123534</v>
      </c>
      <c r="K18" s="21"/>
      <c r="L18" s="21">
        <f>MAX((L5+L16),0)</f>
        <v>0</v>
      </c>
      <c r="M18" s="21"/>
      <c r="N18" s="21">
        <f>MAX((N5+N16),0)</f>
        <v>1624.4748613449276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0.20977011756742933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1379.8448709305271</v>
      </c>
      <c r="C22" s="23">
        <f ca="1">C18*C20</f>
        <v>0</v>
      </c>
      <c r="D22" s="23">
        <f>D18*D20</f>
        <v>1071.1643352313179</v>
      </c>
      <c r="E22" s="23">
        <f>E18*E20</f>
        <v>169.60498446170203</v>
      </c>
      <c r="F22" s="23">
        <f>F18*F20</f>
        <v>733.53304959704303</v>
      </c>
      <c r="G22" s="23"/>
      <c r="H22" s="23"/>
      <c r="I22" s="23"/>
      <c r="J22" s="23">
        <f>J18*J20</f>
        <v>11.531431878739731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58.491526866000001</v>
      </c>
      <c r="C30" s="39">
        <f>IF(ISERROR(B30*3.6/1000000/'E Balans VL '!Z18*100),0,B30*3.6/1000000/'E Balans VL '!Z18*100)</f>
        <v>1.2393100517619908E-2</v>
      </c>
      <c r="D30" s="237" t="s">
        <v>660</v>
      </c>
    </row>
    <row r="31" spans="1:18">
      <c r="A31" s="6" t="s">
        <v>33</v>
      </c>
      <c r="B31" s="37">
        <f>IF( ISERROR(IND_ander_ele_kWh/1000),0,IND_ander_ele_kWh/1000)</f>
        <v>2016.9021288000001</v>
      </c>
      <c r="C31" s="39">
        <f>IF(ISERROR(B31*3.6/1000000/'E Balans VL '!Z19*100),0,B31*3.6/1000000/'E Balans VL '!Z19*100)</f>
        <v>8.4895990310539002E-2</v>
      </c>
      <c r="D31" s="237" t="s">
        <v>660</v>
      </c>
    </row>
    <row r="32" spans="1:18">
      <c r="A32" s="171" t="s">
        <v>41</v>
      </c>
      <c r="B32" s="37">
        <f>IF( ISERROR(IND_voed_ele_kWh/1000),0,IND_voed_ele_kWh/1000)</f>
        <v>484.46283051</v>
      </c>
      <c r="C32" s="39">
        <f>IF(ISERROR(B32*3.6/1000000/'E Balans VL '!Z20*100),0,B32*3.6/1000000/'E Balans VL '!Z20*100)</f>
        <v>8.0934997156635768E-2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4018.0340490999997</v>
      </c>
      <c r="C37" s="39">
        <f>IF(ISERROR(B37*3.6/1000000/'E Balans VL '!Z15*100),0,B37*3.6/1000000/'E Balans VL '!Z15*100)</f>
        <v>3.2439144732478734E-2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92.038400691000007</v>
      </c>
      <c r="C5" s="17">
        <f>'Eigen informatie GS &amp; warmtenet'!B60</f>
        <v>0</v>
      </c>
      <c r="D5" s="30">
        <f>IF(ISERROR(SUM(LB_lb_gas_kWh,LB_rest_gas_kWh)/1000),0,SUM(LB_lb_gas_kWh,LB_rest_gas_kWh)/1000)*0.902</f>
        <v>34.1925157959</v>
      </c>
      <c r="E5" s="17">
        <f>B17*'E Balans VL '!I25/3.6*1000000/100</f>
        <v>2.3733169672189427</v>
      </c>
      <c r="F5" s="17">
        <f>B17*('E Balans VL '!L25/3.6*1000000+'E Balans VL '!N25/3.6*1000000)/100</f>
        <v>336.41788238756322</v>
      </c>
      <c r="G5" s="18"/>
      <c r="H5" s="17"/>
      <c r="I5" s="17"/>
      <c r="J5" s="17">
        <f>('E Balans VL '!D25+'E Balans VL '!E25)/3.6*1000000*landbouw!B17/100</f>
        <v>13.250143914420132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92.038400691000007</v>
      </c>
      <c r="C8" s="21">
        <f>C5+C6</f>
        <v>0</v>
      </c>
      <c r="D8" s="21">
        <f>MAX((D5+D6),0)</f>
        <v>34.1925157959</v>
      </c>
      <c r="E8" s="21">
        <f>MAX((E5+E6),0)</f>
        <v>2.3733169672189427</v>
      </c>
      <c r="F8" s="21">
        <f>MAX((F5+F6),0)</f>
        <v>336.41788238756322</v>
      </c>
      <c r="G8" s="21"/>
      <c r="H8" s="21"/>
      <c r="I8" s="21"/>
      <c r="J8" s="21">
        <f>MAX((J5+J6),0)</f>
        <v>13.250143914420132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0.20977011756742933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19.306906133669241</v>
      </c>
      <c r="C12" s="23">
        <f ca="1">C8*C10</f>
        <v>0</v>
      </c>
      <c r="D12" s="23">
        <f>D8*D10</f>
        <v>6.9068881907718005</v>
      </c>
      <c r="E12" s="23">
        <f>E8*E10</f>
        <v>0.5387429515587</v>
      </c>
      <c r="F12" s="23">
        <f>F8*F10</f>
        <v>89.823574597479393</v>
      </c>
      <c r="G12" s="23"/>
      <c r="H12" s="23"/>
      <c r="I12" s="23"/>
      <c r="J12" s="23">
        <f>J8*J10</f>
        <v>4.6905509457047261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1.2978024146127103E-2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24.312705258948696</v>
      </c>
      <c r="C26" s="247">
        <f>B26*'GWP N2O_CH4'!B5</f>
        <v>510.56681043792264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3.5794622084662771</v>
      </c>
      <c r="C27" s="247">
        <f>B27*'GWP N2O_CH4'!B5</f>
        <v>75.168706377791821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0.27975781065996669</v>
      </c>
      <c r="C28" s="247">
        <f>B28*'GWP N2O_CH4'!B4</f>
        <v>86.724921304589671</v>
      </c>
      <c r="D28" s="50"/>
    </row>
    <row r="29" spans="1:4">
      <c r="A29" s="41" t="s">
        <v>277</v>
      </c>
      <c r="B29" s="247">
        <f>B34*'ha_N2O bodem landbouw'!B4</f>
        <v>3.3613445153974419</v>
      </c>
      <c r="C29" s="247">
        <f>B29*'GWP N2O_CH4'!B4</f>
        <v>1042.0167997732069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7.5648517673888253E-4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2.7749584258429683E-5</v>
      </c>
      <c r="C5" s="463" t="s">
        <v>211</v>
      </c>
      <c r="D5" s="448">
        <f>SUM(D6:D11)</f>
        <v>6.3042387599957037E-5</v>
      </c>
      <c r="E5" s="448">
        <f>SUM(E6:E11)</f>
        <v>2.4272202528690827E-4</v>
      </c>
      <c r="F5" s="461" t="s">
        <v>211</v>
      </c>
      <c r="G5" s="448">
        <f>SUM(G6:G11)</f>
        <v>8.3183115125454135E-2</v>
      </c>
      <c r="H5" s="448">
        <f>SUM(H6:H11)</f>
        <v>1.6926844517615981E-2</v>
      </c>
      <c r="I5" s="463" t="s">
        <v>211</v>
      </c>
      <c r="J5" s="463" t="s">
        <v>211</v>
      </c>
      <c r="K5" s="463" t="s">
        <v>211</v>
      </c>
      <c r="L5" s="463" t="s">
        <v>211</v>
      </c>
      <c r="M5" s="448">
        <f>SUM(M6:M11)</f>
        <v>3.1278573806364203E-3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2.2588182285100017E-5</v>
      </c>
      <c r="C6" s="449"/>
      <c r="D6" s="892">
        <f>vkm_2011_GW_PW*SUMIFS(TableVerdeelsleutelVkm[CNG],TableVerdeelsleutelVkm[Voertuigtype],"Lichte voertuigen")*SUMIFS(TableECFTransport[EnergieConsumptieFactor (PJ per km)],TableECFTransport[Index],CONCATENATE($A6,"_CNG_CNG"))</f>
        <v>4.488311386716715E-5</v>
      </c>
      <c r="E6" s="892">
        <f>vkm_2011_GW_PW*SUMIFS(TableVerdeelsleutelVkm[LPG],TableVerdeelsleutelVkm[Voertuigtype],"Lichte voertuigen")*SUMIFS(TableECFTransport[EnergieConsumptieFactor (PJ per km)],TableECFTransport[Index],CONCATENATE($A6,"_LPG_LPG"))</f>
        <v>1.7663114245749153E-4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4.199682510849178E-2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1.2151209202471022E-2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1.6873027501555545E-3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2.6253155198983438E-2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8.4808904936205572E-6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8.2719675099554503E-4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5.1614019733296666E-6</v>
      </c>
      <c r="C8" s="449"/>
      <c r="D8" s="451">
        <f>vkm_2011_NGW_PW*SUMIFS(TableVerdeelsleutelVkm[CNG],TableVerdeelsleutelVkm[Voertuigtype],"Lichte voertuigen")*SUMIFS(TableECFTransport[EnergieConsumptieFactor (PJ per km)],TableECFTransport[Index],CONCATENATE($A8,"_CNG_CNG"))</f>
        <v>1.8159273732789894E-5</v>
      </c>
      <c r="E8" s="451">
        <f>vkm_2011_NGW_PW*SUMIFS(TableVerdeelsleutelVkm[LPG],TableVerdeelsleutelVkm[Voertuigtype],"Lichte voertuigen")*SUMIFS(TableECFTransport[EnergieConsumptieFactor (PJ per km)],TableECFTransport[Index],CONCATENATE($A8,"_LPG_LPG"))</f>
        <v>6.609088282941672E-5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1.4674033870488162E-2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4.7670752671149352E-3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6.0519414133737082E-4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2.5910094749076294E-4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7.9157536402658655E-8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8.1637381479495763E-6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7.708217849563801</v>
      </c>
      <c r="C14" s="21"/>
      <c r="D14" s="21">
        <f t="shared" ref="D14:M14" si="0">((D5)*10^9/3600)+D12</f>
        <v>17.511774333321398</v>
      </c>
      <c r="E14" s="21">
        <f t="shared" si="0"/>
        <v>67.422784801918965</v>
      </c>
      <c r="F14" s="21"/>
      <c r="G14" s="21">
        <f t="shared" si="0"/>
        <v>23106.420868181704</v>
      </c>
      <c r="H14" s="21">
        <f t="shared" si="0"/>
        <v>4701.9012548933279</v>
      </c>
      <c r="I14" s="21"/>
      <c r="J14" s="21"/>
      <c r="K14" s="21"/>
      <c r="L14" s="21"/>
      <c r="M14" s="21">
        <f t="shared" si="0"/>
        <v>868.8492723990056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0.20977011756742933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1.6169537645383558</v>
      </c>
      <c r="C18" s="23"/>
      <c r="D18" s="23">
        <f t="shared" ref="D18:M18" si="1">D14*D16</f>
        <v>3.5373784153309225</v>
      </c>
      <c r="E18" s="23">
        <f t="shared" si="1"/>
        <v>15.304972150035606</v>
      </c>
      <c r="F18" s="23"/>
      <c r="G18" s="23">
        <f t="shared" si="1"/>
        <v>6169.4143718045152</v>
      </c>
      <c r="H18" s="23">
        <f t="shared" si="1"/>
        <v>1170.7734124684387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1.2565129188477342E-3</v>
      </c>
      <c r="C50" s="321">
        <f t="shared" ref="C50:P50" si="2">SUM(C51:C52)</f>
        <v>0</v>
      </c>
      <c r="D50" s="321">
        <f t="shared" si="2"/>
        <v>0</v>
      </c>
      <c r="E50" s="321">
        <f t="shared" si="2"/>
        <v>0</v>
      </c>
      <c r="F50" s="321">
        <f t="shared" si="2"/>
        <v>0</v>
      </c>
      <c r="G50" s="321">
        <f t="shared" si="2"/>
        <v>5.0745686355131419E-3</v>
      </c>
      <c r="H50" s="321">
        <f t="shared" si="2"/>
        <v>0</v>
      </c>
      <c r="I50" s="321">
        <f t="shared" si="2"/>
        <v>0</v>
      </c>
      <c r="J50" s="321">
        <f t="shared" si="2"/>
        <v>0</v>
      </c>
      <c r="K50" s="321">
        <f t="shared" si="2"/>
        <v>0</v>
      </c>
      <c r="L50" s="321">
        <f t="shared" si="2"/>
        <v>0</v>
      </c>
      <c r="M50" s="321">
        <f t="shared" si="2"/>
        <v>1.574017663395613E-4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5.0745686355131419E-3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1.574017663395613E-4</v>
      </c>
      <c r="N51" s="323"/>
      <c r="O51" s="323"/>
      <c r="P51" s="326"/>
    </row>
    <row r="52" spans="1:18">
      <c r="A52" s="4" t="s">
        <v>330</v>
      </c>
      <c r="B52" s="893">
        <f>vkm_2011_tram*SUMIFS(TableECFTransport[EnergieConsumptieFactor (PJ per km)],TableECFTransport[Index],"Tram_gemiddeld_Electric_Electric")</f>
        <v>1.2565129188477342E-3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349.03136634659279</v>
      </c>
      <c r="C54" s="21">
        <f t="shared" ref="C54:P54" si="3">(C50)*10^9/3600</f>
        <v>0</v>
      </c>
      <c r="D54" s="21">
        <f t="shared" si="3"/>
        <v>0</v>
      </c>
      <c r="E54" s="21">
        <f t="shared" si="3"/>
        <v>0</v>
      </c>
      <c r="F54" s="21">
        <f t="shared" si="3"/>
        <v>0</v>
      </c>
      <c r="G54" s="21">
        <f t="shared" si="3"/>
        <v>1409.6023987536505</v>
      </c>
      <c r="H54" s="21">
        <f t="shared" si="3"/>
        <v>0</v>
      </c>
      <c r="I54" s="21">
        <f t="shared" si="3"/>
        <v>0</v>
      </c>
      <c r="J54" s="21">
        <f t="shared" si="3"/>
        <v>0</v>
      </c>
      <c r="K54" s="21">
        <f t="shared" si="3"/>
        <v>0</v>
      </c>
      <c r="L54" s="21">
        <f t="shared" si="3"/>
        <v>0</v>
      </c>
      <c r="M54" s="21">
        <f t="shared" si="3"/>
        <v>43.72271287210036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0.20977011756742933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73.216350753245266</v>
      </c>
      <c r="C58" s="23">
        <f t="shared" ref="C58:P58" ca="1" si="4">C54*C56</f>
        <v>0</v>
      </c>
      <c r="D58" s="23">
        <f t="shared" si="4"/>
        <v>0</v>
      </c>
      <c r="E58" s="23">
        <f t="shared" si="4"/>
        <v>0</v>
      </c>
      <c r="F58" s="23">
        <f t="shared" si="4"/>
        <v>0</v>
      </c>
      <c r="G58" s="23">
        <f t="shared" si="4"/>
        <v>376.36384046722469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19026.389357669999</v>
      </c>
      <c r="D10" s="1012">
        <f ca="1">tertiair!C16</f>
        <v>0</v>
      </c>
      <c r="E10" s="1012">
        <f ca="1">tertiair!D16</f>
        <v>12727.677333519281</v>
      </c>
      <c r="F10" s="1012">
        <f>tertiair!E16</f>
        <v>441.59110400713598</v>
      </c>
      <c r="G10" s="1012">
        <f ca="1">tertiair!F16</f>
        <v>5503.9881706974566</v>
      </c>
      <c r="H10" s="1012">
        <f>tertiair!G16</f>
        <v>0</v>
      </c>
      <c r="I10" s="1012">
        <f>tertiair!H16</f>
        <v>0</v>
      </c>
      <c r="J10" s="1012">
        <f>tertiair!I16</f>
        <v>0</v>
      </c>
      <c r="K10" s="1012">
        <f>tertiair!J16</f>
        <v>0</v>
      </c>
      <c r="L10" s="1012">
        <f>tertiair!K16</f>
        <v>0</v>
      </c>
      <c r="M10" s="1012">
        <f ca="1">tertiair!L16</f>
        <v>0</v>
      </c>
      <c r="N10" s="1012">
        <f>tertiair!M16</f>
        <v>0</v>
      </c>
      <c r="O10" s="1012">
        <f ca="1">tertiair!N16</f>
        <v>592.14892119829801</v>
      </c>
      <c r="P10" s="1012">
        <f>tertiair!O16</f>
        <v>4.6900000000000004</v>
      </c>
      <c r="Q10" s="1013">
        <f>tertiair!P16</f>
        <v>19.066666666666666</v>
      </c>
      <c r="R10" s="700">
        <f ca="1">SUM(C10:Q10)</f>
        <v>38315.551553758844</v>
      </c>
      <c r="S10" s="67"/>
    </row>
    <row r="11" spans="1:19" s="473" customFormat="1">
      <c r="A11" s="809" t="s">
        <v>225</v>
      </c>
      <c r="B11" s="814"/>
      <c r="C11" s="1012">
        <f>huishoudens!B8</f>
        <v>35877.999743443528</v>
      </c>
      <c r="D11" s="1012">
        <f>huishoudens!C8</f>
        <v>0</v>
      </c>
      <c r="E11" s="1012">
        <f>huishoudens!D8</f>
        <v>60149.985145712002</v>
      </c>
      <c r="F11" s="1012">
        <f>huishoudens!E8</f>
        <v>1491.1810022199097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4778.0078416878287</v>
      </c>
      <c r="P11" s="1012">
        <f>huishoudens!O8</f>
        <v>245.44333333333333</v>
      </c>
      <c r="Q11" s="1013">
        <f>huishoudens!P8</f>
        <v>591.06666666666661</v>
      </c>
      <c r="R11" s="700">
        <f>SUM(C11:Q11)</f>
        <v>103133.68373306326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6577.8905352759994</v>
      </c>
      <c r="D13" s="1012">
        <f>industrie!C18</f>
        <v>0</v>
      </c>
      <c r="E13" s="1012">
        <f>industrie!D18</f>
        <v>5302.7937387688999</v>
      </c>
      <c r="F13" s="1012">
        <f>industrie!E18</f>
        <v>747.15852185771814</v>
      </c>
      <c r="G13" s="1012">
        <f>industrie!F18</f>
        <v>2747.3147924982882</v>
      </c>
      <c r="H13" s="1012">
        <f>industrie!G18</f>
        <v>0</v>
      </c>
      <c r="I13" s="1012">
        <f>industrie!H18</f>
        <v>0</v>
      </c>
      <c r="J13" s="1012">
        <f>industrie!I18</f>
        <v>0</v>
      </c>
      <c r="K13" s="1012">
        <f>industrie!J18</f>
        <v>32.574666324123534</v>
      </c>
      <c r="L13" s="1012">
        <f>industrie!K18</f>
        <v>0</v>
      </c>
      <c r="M13" s="1012">
        <f>industrie!L18</f>
        <v>0</v>
      </c>
      <c r="N13" s="1012">
        <f>industrie!M18</f>
        <v>0</v>
      </c>
      <c r="O13" s="1012">
        <f>industrie!N18</f>
        <v>1624.4748613449276</v>
      </c>
      <c r="P13" s="1012">
        <f>industrie!O18</f>
        <v>0</v>
      </c>
      <c r="Q13" s="1013">
        <f>industrie!P18</f>
        <v>0</v>
      </c>
      <c r="R13" s="700">
        <f>SUM(C13:Q13)</f>
        <v>17032.207116069956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61482.279636389525</v>
      </c>
      <c r="D16" s="732">
        <f t="shared" ref="D16:R16" ca="1" si="0">SUM(D9:D15)</f>
        <v>0</v>
      </c>
      <c r="E16" s="732">
        <f t="shared" ca="1" si="0"/>
        <v>78180.456218000181</v>
      </c>
      <c r="F16" s="732">
        <f t="shared" si="0"/>
        <v>2679.9306280847641</v>
      </c>
      <c r="G16" s="732">
        <f t="shared" ca="1" si="0"/>
        <v>8251.3029631957452</v>
      </c>
      <c r="H16" s="732">
        <f t="shared" si="0"/>
        <v>0</v>
      </c>
      <c r="I16" s="732">
        <f t="shared" si="0"/>
        <v>0</v>
      </c>
      <c r="J16" s="732">
        <f t="shared" si="0"/>
        <v>0</v>
      </c>
      <c r="K16" s="732">
        <f t="shared" si="0"/>
        <v>32.574666324123534</v>
      </c>
      <c r="L16" s="732">
        <f t="shared" si="0"/>
        <v>0</v>
      </c>
      <c r="M16" s="732">
        <f t="shared" ca="1" si="0"/>
        <v>0</v>
      </c>
      <c r="N16" s="732">
        <f t="shared" si="0"/>
        <v>0</v>
      </c>
      <c r="O16" s="732">
        <f t="shared" ca="1" si="0"/>
        <v>6994.631624231054</v>
      </c>
      <c r="P16" s="732">
        <f t="shared" si="0"/>
        <v>250.13333333333333</v>
      </c>
      <c r="Q16" s="732">
        <f t="shared" si="0"/>
        <v>610.13333333333333</v>
      </c>
      <c r="R16" s="732">
        <f t="shared" ca="1" si="0"/>
        <v>158481.44240289205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349.03136634659279</v>
      </c>
      <c r="D19" s="1012">
        <f>transport!C54</f>
        <v>0</v>
      </c>
      <c r="E19" s="1012">
        <f>transport!D54</f>
        <v>0</v>
      </c>
      <c r="F19" s="1012">
        <f>transport!E54</f>
        <v>0</v>
      </c>
      <c r="G19" s="1012">
        <f>transport!F54</f>
        <v>0</v>
      </c>
      <c r="H19" s="1012">
        <f>transport!G54</f>
        <v>1409.6023987536505</v>
      </c>
      <c r="I19" s="1012">
        <f>transport!H54</f>
        <v>0</v>
      </c>
      <c r="J19" s="1012">
        <f>transport!I54</f>
        <v>0</v>
      </c>
      <c r="K19" s="1012">
        <f>transport!J54</f>
        <v>0</v>
      </c>
      <c r="L19" s="1012">
        <f>transport!K54</f>
        <v>0</v>
      </c>
      <c r="M19" s="1012">
        <f>transport!L54</f>
        <v>0</v>
      </c>
      <c r="N19" s="1012">
        <f>transport!M54</f>
        <v>43.72271287210036</v>
      </c>
      <c r="O19" s="1012">
        <f>transport!N54</f>
        <v>0</v>
      </c>
      <c r="P19" s="1012">
        <f>transport!O54</f>
        <v>0</v>
      </c>
      <c r="Q19" s="1013">
        <f>transport!P54</f>
        <v>0</v>
      </c>
      <c r="R19" s="700">
        <f>SUM(C19:Q19)</f>
        <v>1802.3564779723436</v>
      </c>
      <c r="S19" s="67"/>
    </row>
    <row r="20" spans="1:19" s="473" customFormat="1">
      <c r="A20" s="809" t="s">
        <v>307</v>
      </c>
      <c r="B20" s="814"/>
      <c r="C20" s="1012">
        <f>transport!B14</f>
        <v>7.708217849563801</v>
      </c>
      <c r="D20" s="1012">
        <f>transport!C14</f>
        <v>0</v>
      </c>
      <c r="E20" s="1012">
        <f>transport!D14</f>
        <v>17.511774333321398</v>
      </c>
      <c r="F20" s="1012">
        <f>transport!E14</f>
        <v>67.422784801918965</v>
      </c>
      <c r="G20" s="1012">
        <f>transport!F14</f>
        <v>0</v>
      </c>
      <c r="H20" s="1012">
        <f>transport!G14</f>
        <v>23106.420868181704</v>
      </c>
      <c r="I20" s="1012">
        <f>transport!H14</f>
        <v>4701.9012548933279</v>
      </c>
      <c r="J20" s="1012">
        <f>transport!I14</f>
        <v>0</v>
      </c>
      <c r="K20" s="1012">
        <f>transport!J14</f>
        <v>0</v>
      </c>
      <c r="L20" s="1012">
        <f>transport!K14</f>
        <v>0</v>
      </c>
      <c r="M20" s="1012">
        <f>transport!L14</f>
        <v>0</v>
      </c>
      <c r="N20" s="1012">
        <f>transport!M14</f>
        <v>868.8492723990056</v>
      </c>
      <c r="O20" s="1012">
        <f>transport!N14</f>
        <v>0</v>
      </c>
      <c r="P20" s="1012">
        <f>transport!O14</f>
        <v>0</v>
      </c>
      <c r="Q20" s="1013">
        <f>transport!P14</f>
        <v>0</v>
      </c>
      <c r="R20" s="700">
        <f>SUM(C20:Q20)</f>
        <v>28769.814172458842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356.73958419615661</v>
      </c>
      <c r="D22" s="812">
        <f t="shared" ref="D22:R22" si="1">SUM(D18:D21)</f>
        <v>0</v>
      </c>
      <c r="E22" s="812">
        <f t="shared" si="1"/>
        <v>17.511774333321398</v>
      </c>
      <c r="F22" s="812">
        <f t="shared" si="1"/>
        <v>67.422784801918965</v>
      </c>
      <c r="G22" s="812">
        <f t="shared" si="1"/>
        <v>0</v>
      </c>
      <c r="H22" s="812">
        <f t="shared" si="1"/>
        <v>24516.023266935354</v>
      </c>
      <c r="I22" s="812">
        <f t="shared" si="1"/>
        <v>4701.9012548933279</v>
      </c>
      <c r="J22" s="812">
        <f t="shared" si="1"/>
        <v>0</v>
      </c>
      <c r="K22" s="812">
        <f t="shared" si="1"/>
        <v>0</v>
      </c>
      <c r="L22" s="812">
        <f t="shared" si="1"/>
        <v>0</v>
      </c>
      <c r="M22" s="812">
        <f t="shared" si="1"/>
        <v>0</v>
      </c>
      <c r="N22" s="812">
        <f t="shared" si="1"/>
        <v>912.57198527110597</v>
      </c>
      <c r="O22" s="812">
        <f t="shared" si="1"/>
        <v>0</v>
      </c>
      <c r="P22" s="812">
        <f t="shared" si="1"/>
        <v>0</v>
      </c>
      <c r="Q22" s="812">
        <f t="shared" si="1"/>
        <v>0</v>
      </c>
      <c r="R22" s="812">
        <f t="shared" si="1"/>
        <v>30572.170650431184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92.038400691000007</v>
      </c>
      <c r="D24" s="1012">
        <f>+landbouw!C8</f>
        <v>0</v>
      </c>
      <c r="E24" s="1012">
        <f>+landbouw!D8</f>
        <v>34.1925157959</v>
      </c>
      <c r="F24" s="1012">
        <f>+landbouw!E8</f>
        <v>2.3733169672189427</v>
      </c>
      <c r="G24" s="1012">
        <f>+landbouw!F8</f>
        <v>336.41788238756322</v>
      </c>
      <c r="H24" s="1012">
        <f>+landbouw!G8</f>
        <v>0</v>
      </c>
      <c r="I24" s="1012">
        <f>+landbouw!H8</f>
        <v>0</v>
      </c>
      <c r="J24" s="1012">
        <f>+landbouw!I8</f>
        <v>0</v>
      </c>
      <c r="K24" s="1012">
        <f>+landbouw!J8</f>
        <v>13.250143914420132</v>
      </c>
      <c r="L24" s="1012">
        <f>+landbouw!K8</f>
        <v>0</v>
      </c>
      <c r="M24" s="1012">
        <f>+landbouw!L8</f>
        <v>0</v>
      </c>
      <c r="N24" s="1012">
        <f>+landbouw!M8</f>
        <v>0</v>
      </c>
      <c r="O24" s="1012">
        <f>+landbouw!N8</f>
        <v>0</v>
      </c>
      <c r="P24" s="1012">
        <f>+landbouw!O8</f>
        <v>0</v>
      </c>
      <c r="Q24" s="1013">
        <f>+landbouw!P8</f>
        <v>0</v>
      </c>
      <c r="R24" s="700">
        <f>SUM(C24:Q24)</f>
        <v>478.2722597561023</v>
      </c>
      <c r="S24" s="67"/>
    </row>
    <row r="25" spans="1:19" s="473" customFormat="1" ht="15" thickBot="1">
      <c r="A25" s="831" t="s">
        <v>848</v>
      </c>
      <c r="B25" s="1015"/>
      <c r="C25" s="1016">
        <f>IF(Onbekend_ele_kWh="---",0,Onbekend_ele_kWh)/1000+IF(REST_rest_ele_kWh="---",0,REST_rest_ele_kWh)/1000</f>
        <v>2279.4078282</v>
      </c>
      <c r="D25" s="1016"/>
      <c r="E25" s="1016">
        <f>IF(onbekend_gas_kWh="---",0,onbekend_gas_kWh)/1000+IF(REST_rest_gas_kWh="---",0,REST_rest_gas_kWh)/1000</f>
        <v>3065.4849002999999</v>
      </c>
      <c r="F25" s="1016"/>
      <c r="G25" s="1016"/>
      <c r="H25" s="1016"/>
      <c r="I25" s="1016"/>
      <c r="J25" s="1016"/>
      <c r="K25" s="1016"/>
      <c r="L25" s="1016"/>
      <c r="M25" s="1016"/>
      <c r="N25" s="1016"/>
      <c r="O25" s="1016"/>
      <c r="P25" s="1016"/>
      <c r="Q25" s="1017"/>
      <c r="R25" s="700">
        <f>SUM(C25:Q25)</f>
        <v>5344.8927285</v>
      </c>
      <c r="S25" s="67"/>
    </row>
    <row r="26" spans="1:19" s="473" customFormat="1" ht="15.75" thickBot="1">
      <c r="A26" s="705" t="s">
        <v>849</v>
      </c>
      <c r="B26" s="817"/>
      <c r="C26" s="812">
        <f>SUM(C24:C25)</f>
        <v>2371.4462288909999</v>
      </c>
      <c r="D26" s="812">
        <f t="shared" ref="D26:R26" si="2">SUM(D24:D25)</f>
        <v>0</v>
      </c>
      <c r="E26" s="812">
        <f t="shared" si="2"/>
        <v>3099.6774160958998</v>
      </c>
      <c r="F26" s="812">
        <f t="shared" si="2"/>
        <v>2.3733169672189427</v>
      </c>
      <c r="G26" s="812">
        <f t="shared" si="2"/>
        <v>336.41788238756322</v>
      </c>
      <c r="H26" s="812">
        <f t="shared" si="2"/>
        <v>0</v>
      </c>
      <c r="I26" s="812">
        <f t="shared" si="2"/>
        <v>0</v>
      </c>
      <c r="J26" s="812">
        <f t="shared" si="2"/>
        <v>0</v>
      </c>
      <c r="K26" s="812">
        <f t="shared" si="2"/>
        <v>13.250143914420132</v>
      </c>
      <c r="L26" s="812">
        <f t="shared" si="2"/>
        <v>0</v>
      </c>
      <c r="M26" s="812">
        <f t="shared" si="2"/>
        <v>0</v>
      </c>
      <c r="N26" s="812">
        <f t="shared" si="2"/>
        <v>0</v>
      </c>
      <c r="O26" s="812">
        <f t="shared" si="2"/>
        <v>0</v>
      </c>
      <c r="P26" s="812">
        <f t="shared" si="2"/>
        <v>0</v>
      </c>
      <c r="Q26" s="812">
        <f t="shared" si="2"/>
        <v>0</v>
      </c>
      <c r="R26" s="812">
        <f t="shared" si="2"/>
        <v>5823.1649882561023</v>
      </c>
      <c r="S26" s="67"/>
    </row>
    <row r="27" spans="1:19" s="473" customFormat="1" ht="17.25" thickTop="1" thickBot="1">
      <c r="A27" s="706" t="s">
        <v>116</v>
      </c>
      <c r="B27" s="805"/>
      <c r="C27" s="707">
        <f ca="1">C22+C16+C26</f>
        <v>64210.46544947668</v>
      </c>
      <c r="D27" s="707">
        <f t="shared" ref="D27:R27" ca="1" si="3">D22+D16+D26</f>
        <v>0</v>
      </c>
      <c r="E27" s="707">
        <f t="shared" ca="1" si="3"/>
        <v>81297.645408429409</v>
      </c>
      <c r="F27" s="707">
        <f t="shared" si="3"/>
        <v>2749.7267298539023</v>
      </c>
      <c r="G27" s="707">
        <f t="shared" ca="1" si="3"/>
        <v>8587.7208455833079</v>
      </c>
      <c r="H27" s="707">
        <f t="shared" si="3"/>
        <v>24516.023266935354</v>
      </c>
      <c r="I27" s="707">
        <f t="shared" si="3"/>
        <v>4701.9012548933279</v>
      </c>
      <c r="J27" s="707">
        <f t="shared" si="3"/>
        <v>0</v>
      </c>
      <c r="K27" s="707">
        <f t="shared" si="3"/>
        <v>45.824810238543662</v>
      </c>
      <c r="L27" s="707">
        <f t="shared" si="3"/>
        <v>0</v>
      </c>
      <c r="M27" s="707">
        <f t="shared" ca="1" si="3"/>
        <v>0</v>
      </c>
      <c r="N27" s="707">
        <f t="shared" si="3"/>
        <v>912.57198527110597</v>
      </c>
      <c r="O27" s="707">
        <f t="shared" ca="1" si="3"/>
        <v>6994.631624231054</v>
      </c>
      <c r="P27" s="707">
        <f t="shared" si="3"/>
        <v>250.13333333333333</v>
      </c>
      <c r="Q27" s="707">
        <f t="shared" si="3"/>
        <v>610.13333333333333</v>
      </c>
      <c r="R27" s="707">
        <f t="shared" ca="1" si="3"/>
        <v>194876.77804157932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3991.1679324421225</v>
      </c>
      <c r="D40" s="1012">
        <f ca="1">tertiair!C20</f>
        <v>0</v>
      </c>
      <c r="E40" s="1012">
        <f ca="1">tertiair!D20</f>
        <v>2570.990821370895</v>
      </c>
      <c r="F40" s="1012">
        <f>tertiair!E20</f>
        <v>100.24118060961987</v>
      </c>
      <c r="G40" s="1012">
        <f ca="1">tertiair!F20</f>
        <v>1469.5648415762209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8131.9647759988575</v>
      </c>
    </row>
    <row r="41" spans="1:18">
      <c r="A41" s="822" t="s">
        <v>225</v>
      </c>
      <c r="B41" s="829"/>
      <c r="C41" s="1012">
        <f ca="1">huishoudens!B12</f>
        <v>7526.1322242663482</v>
      </c>
      <c r="D41" s="1012">
        <f ca="1">huishoudens!C12</f>
        <v>0</v>
      </c>
      <c r="E41" s="1012">
        <f>huishoudens!D12</f>
        <v>12150.296999433825</v>
      </c>
      <c r="F41" s="1012">
        <f>huishoudens!E12</f>
        <v>338.49808750391952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20014.92731120409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1379.8448709305271</v>
      </c>
      <c r="D43" s="1012">
        <f ca="1">industrie!C22</f>
        <v>0</v>
      </c>
      <c r="E43" s="1012">
        <f>industrie!D22</f>
        <v>1071.1643352313179</v>
      </c>
      <c r="F43" s="1012">
        <f>industrie!E22</f>
        <v>169.60498446170203</v>
      </c>
      <c r="G43" s="1012">
        <f>industrie!F22</f>
        <v>733.53304959704303</v>
      </c>
      <c r="H43" s="1012">
        <f>industrie!G22</f>
        <v>0</v>
      </c>
      <c r="I43" s="1012">
        <f>industrie!H22</f>
        <v>0</v>
      </c>
      <c r="J43" s="1012">
        <f>industrie!I22</f>
        <v>0</v>
      </c>
      <c r="K43" s="1012">
        <f>industrie!J22</f>
        <v>11.531431878739731</v>
      </c>
      <c r="L43" s="1012">
        <f>industrie!K22</f>
        <v>0</v>
      </c>
      <c r="M43" s="1012">
        <f>industrie!L22</f>
        <v>0</v>
      </c>
      <c r="N43" s="1012">
        <f>industrie!M22</f>
        <v>0</v>
      </c>
      <c r="O43" s="1012">
        <f>industrie!N22</f>
        <v>0</v>
      </c>
      <c r="P43" s="1012">
        <f>industrie!O22</f>
        <v>0</v>
      </c>
      <c r="Q43" s="774">
        <f>industrie!P22</f>
        <v>0</v>
      </c>
      <c r="R43" s="849">
        <f t="shared" ca="1" si="4"/>
        <v>3365.6786720993296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12897.145027638997</v>
      </c>
      <c r="D46" s="732">
        <f t="shared" ref="D46:Q46" ca="1" si="5">SUM(D39:D45)</f>
        <v>0</v>
      </c>
      <c r="E46" s="732">
        <f t="shared" ca="1" si="5"/>
        <v>15792.452156036039</v>
      </c>
      <c r="F46" s="732">
        <f t="shared" si="5"/>
        <v>608.3442525752414</v>
      </c>
      <c r="G46" s="732">
        <f t="shared" ca="1" si="5"/>
        <v>2203.0978911732641</v>
      </c>
      <c r="H46" s="732">
        <f t="shared" si="5"/>
        <v>0</v>
      </c>
      <c r="I46" s="732">
        <f t="shared" si="5"/>
        <v>0</v>
      </c>
      <c r="J46" s="732">
        <f t="shared" si="5"/>
        <v>0</v>
      </c>
      <c r="K46" s="732">
        <f t="shared" si="5"/>
        <v>11.531431878739731</v>
      </c>
      <c r="L46" s="732">
        <f t="shared" si="5"/>
        <v>0</v>
      </c>
      <c r="M46" s="732">
        <f t="shared" ca="1" si="5"/>
        <v>0</v>
      </c>
      <c r="N46" s="732">
        <f t="shared" si="5"/>
        <v>0</v>
      </c>
      <c r="O46" s="732">
        <f t="shared" ca="1" si="5"/>
        <v>0</v>
      </c>
      <c r="P46" s="732">
        <f t="shared" si="5"/>
        <v>0</v>
      </c>
      <c r="Q46" s="732">
        <f t="shared" si="5"/>
        <v>0</v>
      </c>
      <c r="R46" s="732">
        <f ca="1">SUM(R39:R45)</f>
        <v>31512.570759302278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73.216350753245266</v>
      </c>
      <c r="D49" s="1012">
        <f ca="1">transport!C58</f>
        <v>0</v>
      </c>
      <c r="E49" s="1012">
        <f>transport!D58</f>
        <v>0</v>
      </c>
      <c r="F49" s="1012">
        <f>transport!E58</f>
        <v>0</v>
      </c>
      <c r="G49" s="1012">
        <f>transport!F58</f>
        <v>0</v>
      </c>
      <c r="H49" s="1012">
        <f>transport!G58</f>
        <v>376.36384046722469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449.58019122046994</v>
      </c>
    </row>
    <row r="50" spans="1:18">
      <c r="A50" s="825" t="s">
        <v>307</v>
      </c>
      <c r="B50" s="835"/>
      <c r="C50" s="703">
        <f ca="1">transport!B18</f>
        <v>1.6169537645383558</v>
      </c>
      <c r="D50" s="703">
        <f>transport!C18</f>
        <v>0</v>
      </c>
      <c r="E50" s="703">
        <f>transport!D18</f>
        <v>3.5373784153309225</v>
      </c>
      <c r="F50" s="703">
        <f>transport!E18</f>
        <v>15.304972150035606</v>
      </c>
      <c r="G50" s="703">
        <f>transport!F18</f>
        <v>0</v>
      </c>
      <c r="H50" s="703">
        <f>transport!G18</f>
        <v>6169.4143718045152</v>
      </c>
      <c r="I50" s="703">
        <f>transport!H18</f>
        <v>1170.7734124684387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7360.6470886028583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74.833304517783617</v>
      </c>
      <c r="D52" s="732">
        <f t="shared" ref="D52:Q52" ca="1" si="6">SUM(D48:D51)</f>
        <v>0</v>
      </c>
      <c r="E52" s="732">
        <f t="shared" si="6"/>
        <v>3.5373784153309225</v>
      </c>
      <c r="F52" s="732">
        <f t="shared" si="6"/>
        <v>15.304972150035606</v>
      </c>
      <c r="G52" s="732">
        <f t="shared" si="6"/>
        <v>0</v>
      </c>
      <c r="H52" s="732">
        <f t="shared" si="6"/>
        <v>6545.7782122717399</v>
      </c>
      <c r="I52" s="732">
        <f t="shared" si="6"/>
        <v>1170.7734124684387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7810.227279823328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19.306906133669241</v>
      </c>
      <c r="D54" s="703">
        <f ca="1">+landbouw!C12</f>
        <v>0</v>
      </c>
      <c r="E54" s="703">
        <f>+landbouw!D12</f>
        <v>6.9068881907718005</v>
      </c>
      <c r="F54" s="703">
        <f>+landbouw!E12</f>
        <v>0.5387429515587</v>
      </c>
      <c r="G54" s="703">
        <f>+landbouw!F12</f>
        <v>89.823574597479393</v>
      </c>
      <c r="H54" s="703">
        <f>+landbouw!G12</f>
        <v>0</v>
      </c>
      <c r="I54" s="703">
        <f>+landbouw!H12</f>
        <v>0</v>
      </c>
      <c r="J54" s="703">
        <f>+landbouw!I12</f>
        <v>0</v>
      </c>
      <c r="K54" s="703">
        <f>+landbouw!J12</f>
        <v>4.6905509457047261</v>
      </c>
      <c r="L54" s="703">
        <f>+landbouw!K12</f>
        <v>0</v>
      </c>
      <c r="M54" s="703">
        <f>+landbouw!L12</f>
        <v>0</v>
      </c>
      <c r="N54" s="703">
        <f>+landbouw!M12</f>
        <v>0</v>
      </c>
      <c r="O54" s="703">
        <f>+landbouw!N12</f>
        <v>0</v>
      </c>
      <c r="P54" s="703">
        <f>+landbouw!O12</f>
        <v>0</v>
      </c>
      <c r="Q54" s="704">
        <f>+landbouw!P12</f>
        <v>0</v>
      </c>
      <c r="R54" s="731">
        <f ca="1">SUM(C54:Q54)</f>
        <v>121.26666281918386</v>
      </c>
    </row>
    <row r="55" spans="1:18" ht="15" thickBot="1">
      <c r="A55" s="825" t="s">
        <v>848</v>
      </c>
      <c r="B55" s="835"/>
      <c r="C55" s="703">
        <f ca="1">C25*'EF ele_warmte'!B12</f>
        <v>478.15164810563277</v>
      </c>
      <c r="D55" s="703"/>
      <c r="E55" s="703">
        <f>E25*EF_CO2_aardgas</f>
        <v>619.22794986060001</v>
      </c>
      <c r="F55" s="703"/>
      <c r="G55" s="703"/>
      <c r="H55" s="703"/>
      <c r="I55" s="703"/>
      <c r="J55" s="703"/>
      <c r="K55" s="703"/>
      <c r="L55" s="703"/>
      <c r="M55" s="703"/>
      <c r="N55" s="703"/>
      <c r="O55" s="703"/>
      <c r="P55" s="703"/>
      <c r="Q55" s="704"/>
      <c r="R55" s="731">
        <f ca="1">SUM(C55:Q55)</f>
        <v>1097.3795979662327</v>
      </c>
    </row>
    <row r="56" spans="1:18" ht="15.75" thickBot="1">
      <c r="A56" s="823" t="s">
        <v>849</v>
      </c>
      <c r="B56" s="836"/>
      <c r="C56" s="732">
        <f ca="1">SUM(C54:C55)</f>
        <v>497.45855423930203</v>
      </c>
      <c r="D56" s="732">
        <f t="shared" ref="D56:Q56" ca="1" si="7">SUM(D54:D55)</f>
        <v>0</v>
      </c>
      <c r="E56" s="732">
        <f t="shared" si="7"/>
        <v>626.13483805137184</v>
      </c>
      <c r="F56" s="732">
        <f t="shared" si="7"/>
        <v>0.5387429515587</v>
      </c>
      <c r="G56" s="732">
        <f t="shared" si="7"/>
        <v>89.823574597479393</v>
      </c>
      <c r="H56" s="732">
        <f t="shared" si="7"/>
        <v>0</v>
      </c>
      <c r="I56" s="732">
        <f t="shared" si="7"/>
        <v>0</v>
      </c>
      <c r="J56" s="732">
        <f t="shared" si="7"/>
        <v>0</v>
      </c>
      <c r="K56" s="732">
        <f t="shared" si="7"/>
        <v>4.6905509457047261</v>
      </c>
      <c r="L56" s="732">
        <f t="shared" si="7"/>
        <v>0</v>
      </c>
      <c r="M56" s="732">
        <f t="shared" si="7"/>
        <v>0</v>
      </c>
      <c r="N56" s="732">
        <f t="shared" si="7"/>
        <v>0</v>
      </c>
      <c r="O56" s="732">
        <f t="shared" si="7"/>
        <v>0</v>
      </c>
      <c r="P56" s="732">
        <f t="shared" si="7"/>
        <v>0</v>
      </c>
      <c r="Q56" s="733">
        <f t="shared" si="7"/>
        <v>0</v>
      </c>
      <c r="R56" s="734">
        <f ca="1">SUM(R54:R55)</f>
        <v>1218.6462607854166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13469.436886396083</v>
      </c>
      <c r="D61" s="740">
        <f t="shared" ref="D61:Q61" ca="1" si="8">D46+D52+D56</f>
        <v>0</v>
      </c>
      <c r="E61" s="740">
        <f t="shared" ca="1" si="8"/>
        <v>16422.124372502742</v>
      </c>
      <c r="F61" s="740">
        <f t="shared" si="8"/>
        <v>624.18796767683568</v>
      </c>
      <c r="G61" s="740">
        <f t="shared" ca="1" si="8"/>
        <v>2292.9214657707435</v>
      </c>
      <c r="H61" s="740">
        <f t="shared" si="8"/>
        <v>6545.7782122717399</v>
      </c>
      <c r="I61" s="740">
        <f t="shared" si="8"/>
        <v>1170.7734124684387</v>
      </c>
      <c r="J61" s="740">
        <f t="shared" si="8"/>
        <v>0</v>
      </c>
      <c r="K61" s="740">
        <f t="shared" si="8"/>
        <v>16.221982824444456</v>
      </c>
      <c r="L61" s="740">
        <f t="shared" si="8"/>
        <v>0</v>
      </c>
      <c r="M61" s="740">
        <f t="shared" ca="1" si="8"/>
        <v>0</v>
      </c>
      <c r="N61" s="740">
        <f t="shared" si="8"/>
        <v>0</v>
      </c>
      <c r="O61" s="740">
        <f t="shared" ca="1" si="8"/>
        <v>0</v>
      </c>
      <c r="P61" s="740">
        <f t="shared" si="8"/>
        <v>0</v>
      </c>
      <c r="Q61" s="740">
        <f t="shared" si="8"/>
        <v>0</v>
      </c>
      <c r="R61" s="740">
        <f ca="1">R46+R52+R56</f>
        <v>40541.444299911025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0.20977011756742933</v>
      </c>
      <c r="D63" s="781">
        <f t="shared" ca="1" si="9"/>
        <v>0</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3262.7872304898742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3262.7872304898742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3262.7872304898742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3262.7872304898742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35877.999743443528</v>
      </c>
      <c r="C4" s="477">
        <f>huishoudens!C8</f>
        <v>0</v>
      </c>
      <c r="D4" s="477">
        <f>huishoudens!D8</f>
        <v>60149.985145712002</v>
      </c>
      <c r="E4" s="477">
        <f>huishoudens!E8</f>
        <v>1491.1810022199097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4778.0078416878287</v>
      </c>
      <c r="O4" s="477">
        <f>huishoudens!O8</f>
        <v>245.44333333333333</v>
      </c>
      <c r="P4" s="478">
        <f>huishoudens!P8</f>
        <v>591.06666666666661</v>
      </c>
      <c r="Q4" s="479">
        <f>SUM(B4:P4)</f>
        <v>103133.68373306326</v>
      </c>
    </row>
    <row r="5" spans="1:17">
      <c r="A5" s="476" t="s">
        <v>156</v>
      </c>
      <c r="B5" s="477">
        <f ca="1">tertiair!B16</f>
        <v>17386.55535767</v>
      </c>
      <c r="C5" s="477">
        <f ca="1">tertiair!C16</f>
        <v>0</v>
      </c>
      <c r="D5" s="477">
        <f ca="1">tertiair!D16</f>
        <v>12727.677333519281</v>
      </c>
      <c r="E5" s="477">
        <f>tertiair!E16</f>
        <v>441.59110400713598</v>
      </c>
      <c r="F5" s="477">
        <f ca="1">tertiair!F16</f>
        <v>5503.9881706974566</v>
      </c>
      <c r="G5" s="477">
        <f>tertiair!G16</f>
        <v>0</v>
      </c>
      <c r="H5" s="477">
        <f>tertiair!H16</f>
        <v>0</v>
      </c>
      <c r="I5" s="477">
        <f>tertiair!I16</f>
        <v>0</v>
      </c>
      <c r="J5" s="477">
        <f>tertiair!J16</f>
        <v>0</v>
      </c>
      <c r="K5" s="477">
        <f>tertiair!K16</f>
        <v>0</v>
      </c>
      <c r="L5" s="477">
        <f ca="1">tertiair!L16</f>
        <v>0</v>
      </c>
      <c r="M5" s="477">
        <f>tertiair!M16</f>
        <v>0</v>
      </c>
      <c r="N5" s="477">
        <f ca="1">tertiair!N16</f>
        <v>592.14892119829801</v>
      </c>
      <c r="O5" s="477">
        <f>tertiair!O16</f>
        <v>4.6900000000000004</v>
      </c>
      <c r="P5" s="478">
        <f>tertiair!P16</f>
        <v>19.066666666666666</v>
      </c>
      <c r="Q5" s="476">
        <f t="shared" ref="Q5:Q14" ca="1" si="0">SUM(B5:P5)</f>
        <v>36675.717553758841</v>
      </c>
    </row>
    <row r="6" spans="1:17">
      <c r="A6" s="476" t="s">
        <v>194</v>
      </c>
      <c r="B6" s="477">
        <f>'openbare verlichting'!B8</f>
        <v>1639.8340000000001</v>
      </c>
      <c r="C6" s="477"/>
      <c r="D6" s="477"/>
      <c r="E6" s="477"/>
      <c r="F6" s="477"/>
      <c r="G6" s="477"/>
      <c r="H6" s="477"/>
      <c r="I6" s="477"/>
      <c r="J6" s="477"/>
      <c r="K6" s="477"/>
      <c r="L6" s="477"/>
      <c r="M6" s="477"/>
      <c r="N6" s="477"/>
      <c r="O6" s="477"/>
      <c r="P6" s="478"/>
      <c r="Q6" s="476">
        <f t="shared" si="0"/>
        <v>1639.8340000000001</v>
      </c>
    </row>
    <row r="7" spans="1:17">
      <c r="A7" s="476" t="s">
        <v>112</v>
      </c>
      <c r="B7" s="477">
        <f>landbouw!B8</f>
        <v>92.038400691000007</v>
      </c>
      <c r="C7" s="477">
        <f>landbouw!C8</f>
        <v>0</v>
      </c>
      <c r="D7" s="477">
        <f>landbouw!D8</f>
        <v>34.1925157959</v>
      </c>
      <c r="E7" s="477">
        <f>landbouw!E8</f>
        <v>2.3733169672189427</v>
      </c>
      <c r="F7" s="477">
        <f>landbouw!F8</f>
        <v>336.41788238756322</v>
      </c>
      <c r="G7" s="477">
        <f>landbouw!G8</f>
        <v>0</v>
      </c>
      <c r="H7" s="477">
        <f>landbouw!H8</f>
        <v>0</v>
      </c>
      <c r="I7" s="477">
        <f>landbouw!I8</f>
        <v>0</v>
      </c>
      <c r="J7" s="477">
        <f>landbouw!J8</f>
        <v>13.250143914420132</v>
      </c>
      <c r="K7" s="477">
        <f>landbouw!K8</f>
        <v>0</v>
      </c>
      <c r="L7" s="477">
        <f>landbouw!L8</f>
        <v>0</v>
      </c>
      <c r="M7" s="477">
        <f>landbouw!M8</f>
        <v>0</v>
      </c>
      <c r="N7" s="477">
        <f>landbouw!N8</f>
        <v>0</v>
      </c>
      <c r="O7" s="477">
        <f>landbouw!O8</f>
        <v>0</v>
      </c>
      <c r="P7" s="478">
        <f>landbouw!P8</f>
        <v>0</v>
      </c>
      <c r="Q7" s="476">
        <f t="shared" si="0"/>
        <v>478.2722597561023</v>
      </c>
    </row>
    <row r="8" spans="1:17">
      <c r="A8" s="476" t="s">
        <v>638</v>
      </c>
      <c r="B8" s="477">
        <f>industrie!B18</f>
        <v>6577.8905352759994</v>
      </c>
      <c r="C8" s="477">
        <f>industrie!C18</f>
        <v>0</v>
      </c>
      <c r="D8" s="477">
        <f>industrie!D18</f>
        <v>5302.7937387688999</v>
      </c>
      <c r="E8" s="477">
        <f>industrie!E18</f>
        <v>747.15852185771814</v>
      </c>
      <c r="F8" s="477">
        <f>industrie!F18</f>
        <v>2747.3147924982882</v>
      </c>
      <c r="G8" s="477">
        <f>industrie!G18</f>
        <v>0</v>
      </c>
      <c r="H8" s="477">
        <f>industrie!H18</f>
        <v>0</v>
      </c>
      <c r="I8" s="477">
        <f>industrie!I18</f>
        <v>0</v>
      </c>
      <c r="J8" s="477">
        <f>industrie!J18</f>
        <v>32.574666324123534</v>
      </c>
      <c r="K8" s="477">
        <f>industrie!K18</f>
        <v>0</v>
      </c>
      <c r="L8" s="477">
        <f>industrie!L18</f>
        <v>0</v>
      </c>
      <c r="M8" s="477">
        <f>industrie!M18</f>
        <v>0</v>
      </c>
      <c r="N8" s="477">
        <f>industrie!N18</f>
        <v>1624.4748613449276</v>
      </c>
      <c r="O8" s="477">
        <f>industrie!O18</f>
        <v>0</v>
      </c>
      <c r="P8" s="478">
        <f>industrie!P18</f>
        <v>0</v>
      </c>
      <c r="Q8" s="476">
        <f t="shared" si="0"/>
        <v>17032.207116069956</v>
      </c>
    </row>
    <row r="9" spans="1:17" s="482" customFormat="1">
      <c r="A9" s="480" t="s">
        <v>564</v>
      </c>
      <c r="B9" s="481">
        <f>transport!B14</f>
        <v>7.708217849563801</v>
      </c>
      <c r="C9" s="481">
        <f>transport!C14</f>
        <v>0</v>
      </c>
      <c r="D9" s="481">
        <f>transport!D14</f>
        <v>17.511774333321398</v>
      </c>
      <c r="E9" s="481">
        <f>transport!E14</f>
        <v>67.422784801918965</v>
      </c>
      <c r="F9" s="481">
        <f>transport!F14</f>
        <v>0</v>
      </c>
      <c r="G9" s="481">
        <f>transport!G14</f>
        <v>23106.420868181704</v>
      </c>
      <c r="H9" s="481">
        <f>transport!H14</f>
        <v>4701.9012548933279</v>
      </c>
      <c r="I9" s="481">
        <f>transport!I14</f>
        <v>0</v>
      </c>
      <c r="J9" s="481">
        <f>transport!J14</f>
        <v>0</v>
      </c>
      <c r="K9" s="481">
        <f>transport!K14</f>
        <v>0</v>
      </c>
      <c r="L9" s="481">
        <f>transport!L14</f>
        <v>0</v>
      </c>
      <c r="M9" s="481">
        <f>transport!M14</f>
        <v>868.8492723990056</v>
      </c>
      <c r="N9" s="481">
        <f>transport!N14</f>
        <v>0</v>
      </c>
      <c r="O9" s="481">
        <f>transport!O14</f>
        <v>0</v>
      </c>
      <c r="P9" s="481">
        <f>transport!P14</f>
        <v>0</v>
      </c>
      <c r="Q9" s="480">
        <f>SUM(B9:P9)</f>
        <v>28769.814172458842</v>
      </c>
    </row>
    <row r="10" spans="1:17">
      <c r="A10" s="476" t="s">
        <v>554</v>
      </c>
      <c r="B10" s="477">
        <f>transport!B54</f>
        <v>349.03136634659279</v>
      </c>
      <c r="C10" s="477">
        <f>transport!C54</f>
        <v>0</v>
      </c>
      <c r="D10" s="477">
        <f>transport!D54</f>
        <v>0</v>
      </c>
      <c r="E10" s="477">
        <f>transport!E54</f>
        <v>0</v>
      </c>
      <c r="F10" s="477">
        <f>transport!F54</f>
        <v>0</v>
      </c>
      <c r="G10" s="477">
        <f>transport!G54</f>
        <v>1409.6023987536505</v>
      </c>
      <c r="H10" s="477">
        <f>transport!H54</f>
        <v>0</v>
      </c>
      <c r="I10" s="477">
        <f>transport!I54</f>
        <v>0</v>
      </c>
      <c r="J10" s="477">
        <f>transport!J54</f>
        <v>0</v>
      </c>
      <c r="K10" s="477">
        <f>transport!K54</f>
        <v>0</v>
      </c>
      <c r="L10" s="477">
        <f>transport!L54</f>
        <v>0</v>
      </c>
      <c r="M10" s="477">
        <f>transport!M54</f>
        <v>43.72271287210036</v>
      </c>
      <c r="N10" s="477">
        <f>transport!N54</f>
        <v>0</v>
      </c>
      <c r="O10" s="477">
        <f>transport!O54</f>
        <v>0</v>
      </c>
      <c r="P10" s="478">
        <f>transport!P54</f>
        <v>0</v>
      </c>
      <c r="Q10" s="476">
        <f t="shared" si="0"/>
        <v>1802.3564779723436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2279.4078282</v>
      </c>
      <c r="C14" s="484"/>
      <c r="D14" s="484">
        <f>'SEAP template'!E25</f>
        <v>3065.4849002999999</v>
      </c>
      <c r="E14" s="484"/>
      <c r="F14" s="484"/>
      <c r="G14" s="484"/>
      <c r="H14" s="484"/>
      <c r="I14" s="484"/>
      <c r="J14" s="484"/>
      <c r="K14" s="484"/>
      <c r="L14" s="484"/>
      <c r="M14" s="484"/>
      <c r="N14" s="484"/>
      <c r="O14" s="484"/>
      <c r="P14" s="485"/>
      <c r="Q14" s="476">
        <f t="shared" si="0"/>
        <v>5344.8927285</v>
      </c>
    </row>
    <row r="15" spans="1:17" s="486" customFormat="1">
      <c r="A15" s="1038" t="s">
        <v>558</v>
      </c>
      <c r="B15" s="978">
        <f ca="1">SUM(B4:B14)</f>
        <v>64210.46544947668</v>
      </c>
      <c r="C15" s="978">
        <f t="shared" ref="C15:Q15" ca="1" si="1">SUM(C4:C14)</f>
        <v>0</v>
      </c>
      <c r="D15" s="978">
        <f t="shared" ca="1" si="1"/>
        <v>81297.645408429409</v>
      </c>
      <c r="E15" s="978">
        <f t="shared" si="1"/>
        <v>2749.7267298539018</v>
      </c>
      <c r="F15" s="978">
        <f t="shared" ca="1" si="1"/>
        <v>8587.7208455833079</v>
      </c>
      <c r="G15" s="978">
        <f t="shared" si="1"/>
        <v>24516.023266935354</v>
      </c>
      <c r="H15" s="978">
        <f t="shared" si="1"/>
        <v>4701.9012548933279</v>
      </c>
      <c r="I15" s="978">
        <f t="shared" si="1"/>
        <v>0</v>
      </c>
      <c r="J15" s="978">
        <f t="shared" si="1"/>
        <v>45.824810238543662</v>
      </c>
      <c r="K15" s="978">
        <f t="shared" si="1"/>
        <v>0</v>
      </c>
      <c r="L15" s="978">
        <f t="shared" ca="1" si="1"/>
        <v>0</v>
      </c>
      <c r="M15" s="978">
        <f t="shared" si="1"/>
        <v>912.57198527110597</v>
      </c>
      <c r="N15" s="978">
        <f t="shared" ca="1" si="1"/>
        <v>6994.631624231054</v>
      </c>
      <c r="O15" s="978">
        <f t="shared" si="1"/>
        <v>250.13333333333333</v>
      </c>
      <c r="P15" s="978">
        <f t="shared" si="1"/>
        <v>610.13333333333333</v>
      </c>
      <c r="Q15" s="978">
        <f t="shared" ca="1" si="1"/>
        <v>194876.77804157935</v>
      </c>
    </row>
    <row r="17" spans="1:17">
      <c r="A17" s="487" t="s">
        <v>559</v>
      </c>
      <c r="B17" s="786">
        <f ca="1">huishoudens!B10</f>
        <v>0.20977011756742933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7526.1322242663482</v>
      </c>
      <c r="C22" s="477">
        <f t="shared" ref="C22:C32" ca="1" si="3">C4*$C$17</f>
        <v>0</v>
      </c>
      <c r="D22" s="477">
        <f t="shared" ref="D22:D32" si="4">D4*$D$17</f>
        <v>12150.296999433825</v>
      </c>
      <c r="E22" s="477">
        <f t="shared" ref="E22:E32" si="5">E4*$E$17</f>
        <v>338.49808750391952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20014.92731120409</v>
      </c>
    </row>
    <row r="23" spans="1:17">
      <c r="A23" s="476" t="s">
        <v>156</v>
      </c>
      <c r="B23" s="477">
        <f t="shared" ca="1" si="2"/>
        <v>3647.1797614710545</v>
      </c>
      <c r="C23" s="477">
        <f t="shared" ca="1" si="3"/>
        <v>0</v>
      </c>
      <c r="D23" s="477">
        <f t="shared" ca="1" si="4"/>
        <v>2570.990821370895</v>
      </c>
      <c r="E23" s="477">
        <f t="shared" si="5"/>
        <v>100.24118060961987</v>
      </c>
      <c r="F23" s="477">
        <f t="shared" ca="1" si="6"/>
        <v>1469.5648415762209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7787.9766050277894</v>
      </c>
    </row>
    <row r="24" spans="1:17">
      <c r="A24" s="476" t="s">
        <v>194</v>
      </c>
      <c r="B24" s="477">
        <f t="shared" ca="1" si="2"/>
        <v>343.98817097106792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343.98817097106792</v>
      </c>
    </row>
    <row r="25" spans="1:17">
      <c r="A25" s="476" t="s">
        <v>112</v>
      </c>
      <c r="B25" s="477">
        <f t="shared" ca="1" si="2"/>
        <v>19.306906133669241</v>
      </c>
      <c r="C25" s="477">
        <f t="shared" ca="1" si="3"/>
        <v>0</v>
      </c>
      <c r="D25" s="477">
        <f t="shared" si="4"/>
        <v>6.9068881907718005</v>
      </c>
      <c r="E25" s="477">
        <f t="shared" si="5"/>
        <v>0.5387429515587</v>
      </c>
      <c r="F25" s="477">
        <f t="shared" si="6"/>
        <v>89.823574597479393</v>
      </c>
      <c r="G25" s="477">
        <f t="shared" si="7"/>
        <v>0</v>
      </c>
      <c r="H25" s="477">
        <f t="shared" si="8"/>
        <v>0</v>
      </c>
      <c r="I25" s="477">
        <f t="shared" si="9"/>
        <v>0</v>
      </c>
      <c r="J25" s="477">
        <f t="shared" si="10"/>
        <v>4.6905509457047261</v>
      </c>
      <c r="K25" s="477">
        <f t="shared" si="11"/>
        <v>0</v>
      </c>
      <c r="L25" s="477">
        <f t="shared" si="12"/>
        <v>0</v>
      </c>
      <c r="M25" s="477">
        <f t="shared" si="13"/>
        <v>0</v>
      </c>
      <c r="N25" s="477">
        <f t="shared" si="14"/>
        <v>0</v>
      </c>
      <c r="O25" s="477">
        <f t="shared" si="15"/>
        <v>0</v>
      </c>
      <c r="P25" s="478">
        <f t="shared" si="16"/>
        <v>0</v>
      </c>
      <c r="Q25" s="476">
        <f t="shared" ca="1" si="17"/>
        <v>121.26666281918386</v>
      </c>
    </row>
    <row r="26" spans="1:17">
      <c r="A26" s="476" t="s">
        <v>638</v>
      </c>
      <c r="B26" s="477">
        <f t="shared" ca="1" si="2"/>
        <v>1379.8448709305271</v>
      </c>
      <c r="C26" s="477">
        <f t="shared" ca="1" si="3"/>
        <v>0</v>
      </c>
      <c r="D26" s="477">
        <f t="shared" si="4"/>
        <v>1071.1643352313179</v>
      </c>
      <c r="E26" s="477">
        <f t="shared" si="5"/>
        <v>169.60498446170203</v>
      </c>
      <c r="F26" s="477">
        <f t="shared" si="6"/>
        <v>733.53304959704303</v>
      </c>
      <c r="G26" s="477">
        <f t="shared" si="7"/>
        <v>0</v>
      </c>
      <c r="H26" s="477">
        <f t="shared" si="8"/>
        <v>0</v>
      </c>
      <c r="I26" s="477">
        <f t="shared" si="9"/>
        <v>0</v>
      </c>
      <c r="J26" s="477">
        <f t="shared" si="10"/>
        <v>11.531431878739731</v>
      </c>
      <c r="K26" s="477">
        <f t="shared" si="11"/>
        <v>0</v>
      </c>
      <c r="L26" s="477">
        <f t="shared" si="12"/>
        <v>0</v>
      </c>
      <c r="M26" s="477">
        <f t="shared" si="13"/>
        <v>0</v>
      </c>
      <c r="N26" s="477">
        <f t="shared" si="14"/>
        <v>0</v>
      </c>
      <c r="O26" s="477">
        <f t="shared" si="15"/>
        <v>0</v>
      </c>
      <c r="P26" s="478">
        <f t="shared" si="16"/>
        <v>0</v>
      </c>
      <c r="Q26" s="476">
        <f t="shared" ca="1" si="17"/>
        <v>3365.6786720993296</v>
      </c>
    </row>
    <row r="27" spans="1:17" s="482" customFormat="1">
      <c r="A27" s="480" t="s">
        <v>564</v>
      </c>
      <c r="B27" s="780">
        <f t="shared" ca="1" si="2"/>
        <v>1.6169537645383558</v>
      </c>
      <c r="C27" s="481">
        <f t="shared" ca="1" si="3"/>
        <v>0</v>
      </c>
      <c r="D27" s="481">
        <f t="shared" si="4"/>
        <v>3.5373784153309225</v>
      </c>
      <c r="E27" s="481">
        <f t="shared" si="5"/>
        <v>15.304972150035606</v>
      </c>
      <c r="F27" s="481">
        <f t="shared" si="6"/>
        <v>0</v>
      </c>
      <c r="G27" s="481">
        <f t="shared" si="7"/>
        <v>6169.4143718045152</v>
      </c>
      <c r="H27" s="481">
        <f t="shared" si="8"/>
        <v>1170.7734124684387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7360.6470886028583</v>
      </c>
    </row>
    <row r="28" spans="1:17">
      <c r="A28" s="476" t="s">
        <v>554</v>
      </c>
      <c r="B28" s="477">
        <f t="shared" ca="1" si="2"/>
        <v>73.216350753245266</v>
      </c>
      <c r="C28" s="477">
        <f t="shared" ca="1" si="3"/>
        <v>0</v>
      </c>
      <c r="D28" s="477">
        <f t="shared" si="4"/>
        <v>0</v>
      </c>
      <c r="E28" s="477">
        <f t="shared" si="5"/>
        <v>0</v>
      </c>
      <c r="F28" s="477">
        <f t="shared" si="6"/>
        <v>0</v>
      </c>
      <c r="G28" s="477">
        <f t="shared" si="7"/>
        <v>376.36384046722469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449.58019122046994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478.15164810563277</v>
      </c>
      <c r="C32" s="477">
        <f t="shared" ca="1" si="3"/>
        <v>0</v>
      </c>
      <c r="D32" s="477">
        <f t="shared" si="4"/>
        <v>619.22794986060001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1097.3795979662327</v>
      </c>
    </row>
    <row r="33" spans="1:17" s="486" customFormat="1">
      <c r="A33" s="1038" t="s">
        <v>558</v>
      </c>
      <c r="B33" s="978">
        <f ca="1">SUM(B22:B32)</f>
        <v>13469.436886396084</v>
      </c>
      <c r="C33" s="978">
        <f t="shared" ref="C33:Q33" ca="1" si="18">SUM(C22:C32)</f>
        <v>0</v>
      </c>
      <c r="D33" s="978">
        <f t="shared" ca="1" si="18"/>
        <v>16422.124372502742</v>
      </c>
      <c r="E33" s="978">
        <f t="shared" si="18"/>
        <v>624.1879676768358</v>
      </c>
      <c r="F33" s="978">
        <f t="shared" ca="1" si="18"/>
        <v>2292.9214657707435</v>
      </c>
      <c r="G33" s="978">
        <f t="shared" si="18"/>
        <v>6545.7782122717399</v>
      </c>
      <c r="H33" s="978">
        <f t="shared" si="18"/>
        <v>1170.7734124684387</v>
      </c>
      <c r="I33" s="978">
        <f t="shared" si="18"/>
        <v>0</v>
      </c>
      <c r="J33" s="978">
        <f t="shared" si="18"/>
        <v>16.221982824444456</v>
      </c>
      <c r="K33" s="978">
        <f t="shared" si="18"/>
        <v>0</v>
      </c>
      <c r="L33" s="978">
        <f t="shared" ca="1" si="18"/>
        <v>0</v>
      </c>
      <c r="M33" s="978">
        <f t="shared" si="18"/>
        <v>0</v>
      </c>
      <c r="N33" s="978">
        <f t="shared" ca="1" si="18"/>
        <v>0</v>
      </c>
      <c r="O33" s="978">
        <f t="shared" si="18"/>
        <v>0</v>
      </c>
      <c r="P33" s="978">
        <f t="shared" si="18"/>
        <v>0</v>
      </c>
      <c r="Q33" s="978">
        <f t="shared" ca="1" si="18"/>
        <v>40541.444299911018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3262.7872304898742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3262.7872304898742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0.20977011756742933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0.20977011756742933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2019-08-12T08:24:38Z</dcterms:modified>
</cp:coreProperties>
</file>