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N13"/>
  <c r="L13"/>
  <c r="K13"/>
  <c r="J13"/>
  <c r="I13"/>
  <c r="F13"/>
  <c r="E13"/>
  <c r="D13"/>
  <c r="C13"/>
  <c r="B13"/>
  <c r="M8"/>
  <c r="K8"/>
  <c r="I8"/>
  <c r="H8"/>
  <c r="G8"/>
  <c r="B12"/>
  <c r="P17"/>
  <c r="P32" s="1"/>
  <c r="O17"/>
  <c r="M4"/>
  <c r="L4"/>
  <c r="K4"/>
  <c r="I4"/>
  <c r="H4"/>
  <c r="G4"/>
  <c r="P11"/>
  <c r="P29" s="1"/>
  <c r="O11"/>
  <c r="N11"/>
  <c r="M11"/>
  <c r="L11"/>
  <c r="K11"/>
  <c r="J11"/>
  <c r="I11"/>
  <c r="H11"/>
  <c r="G11"/>
  <c r="F11"/>
  <c r="E11"/>
  <c r="D11"/>
  <c r="C11"/>
  <c r="B11"/>
  <c r="Q11" s="1"/>
  <c r="O32"/>
  <c r="P31"/>
  <c r="O31"/>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J56"/>
  <c r="H56"/>
  <c r="I56"/>
  <c r="Q52"/>
  <c r="P52"/>
  <c r="R44"/>
  <c r="E25"/>
  <c r="E55" s="1"/>
  <c r="C25"/>
  <c r="B14" i="48" s="1"/>
  <c r="N26" i="14"/>
  <c r="L26"/>
  <c r="J26"/>
  <c r="I26"/>
  <c r="D22"/>
  <c r="P22"/>
  <c r="M22"/>
  <c r="R12"/>
  <c r="N19" i="59" l="1"/>
  <c r="N20" s="1"/>
  <c r="N90" i="14"/>
  <c r="H10" i="59"/>
  <c r="L18"/>
  <c r="L20" s="1"/>
  <c r="L90" i="14"/>
  <c r="K18" i="59"/>
  <c r="K20" s="1"/>
  <c r="K90" i="14"/>
  <c r="L78"/>
  <c r="L8" i="59"/>
  <c r="L10" s="1"/>
  <c r="H90" i="14"/>
  <c r="H18" i="59"/>
  <c r="H78" i="14"/>
  <c r="H8" i="59"/>
  <c r="E20"/>
  <c r="K10"/>
  <c r="H20"/>
  <c r="C98" i="18"/>
  <c r="F101" s="1"/>
  <c r="D13" i="15"/>
  <c r="O90" i="14"/>
  <c r="B10" i="18"/>
  <c r="G20"/>
  <c r="C13" i="15"/>
  <c r="O78" i="14"/>
  <c r="O9" i="59"/>
  <c r="O10" s="1"/>
  <c r="R9" i="14"/>
  <c r="P25" i="48"/>
  <c r="R25" i="14"/>
  <c r="G78"/>
  <c r="N10" i="59"/>
  <c r="B8" i="18"/>
  <c r="O19"/>
  <c r="L13" i="15"/>
  <c r="N13"/>
  <c r="Q77" i="14"/>
  <c r="P9" i="59" s="1"/>
  <c r="O9" i="18"/>
  <c r="O18"/>
  <c r="G88" i="14"/>
  <c r="F89"/>
  <c r="I101" i="18"/>
  <c r="H8" s="1"/>
  <c r="H101"/>
  <c r="D101"/>
  <c r="G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C89" l="1"/>
  <c r="C19" i="59" s="1"/>
  <c r="F19"/>
  <c r="E101" i="18"/>
  <c r="E8" s="1"/>
  <c r="E10" s="1"/>
  <c r="G90" i="14"/>
  <c r="G18" i="59"/>
  <c r="G20" s="1"/>
  <c r="C101" i="18"/>
  <c r="B89" i="14"/>
  <c r="B19" i="59" s="1"/>
  <c r="Q89" i="14"/>
  <c r="P19" i="59" s="1"/>
  <c r="C20" i="18"/>
  <c r="D87" i="14"/>
  <c r="D17" i="59" s="1"/>
  <c r="D20" s="1"/>
  <c r="D76" i="14"/>
  <c r="D8" i="59" s="1"/>
  <c r="D10" s="1"/>
  <c r="C10" i="18"/>
  <c r="J17"/>
  <c r="J8"/>
  <c r="F87" i="14"/>
  <c r="E20" i="18"/>
  <c r="F76" i="14"/>
  <c r="F8" i="59" s="1"/>
  <c r="F10" s="1"/>
  <c r="I17" i="18"/>
  <c r="O17" s="1"/>
  <c r="O20" s="1"/>
  <c r="H20"/>
  <c r="M87" i="14"/>
  <c r="I8" i="18"/>
  <c r="M76" i="14"/>
  <c r="H10" i="18"/>
  <c r="H14" i="15"/>
  <c r="H16" s="1"/>
  <c r="G14"/>
  <c r="G16" s="1"/>
  <c r="F90" i="14" l="1"/>
  <c r="F17" i="59"/>
  <c r="F20" s="1"/>
  <c r="M78" i="14"/>
  <c r="M8" i="59"/>
  <c r="M10" s="1"/>
  <c r="I10" i="14"/>
  <c r="I16" s="1"/>
  <c r="H5" i="48"/>
  <c r="G5"/>
  <c r="H10" i="14"/>
  <c r="H16" s="1"/>
  <c r="M90"/>
  <c r="M17" i="59"/>
  <c r="M20" s="1"/>
  <c r="O8" i="18"/>
  <c r="O1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F32" i="48"/>
  <c r="F31"/>
  <c r="F29"/>
  <c r="F27"/>
  <c r="F30"/>
  <c r="F28"/>
  <c r="F24"/>
  <c r="N32"/>
  <c r="N31"/>
  <c r="N27"/>
  <c r="N29"/>
  <c r="N24"/>
  <c r="N28"/>
  <c r="N30"/>
  <c r="J28"/>
  <c r="J27"/>
  <c r="J32"/>
  <c r="J29"/>
  <c r="J30"/>
  <c r="J24"/>
  <c r="J31"/>
  <c r="P4"/>
  <c r="Q11" i="14"/>
  <c r="O4" i="48"/>
  <c r="P11" i="14"/>
  <c r="I27" i="48"/>
  <c r="I32"/>
  <c r="I24"/>
  <c r="I28"/>
  <c r="I22"/>
  <c r="I30"/>
  <c r="I29"/>
  <c r="I31"/>
  <c r="I25"/>
  <c r="I26"/>
  <c r="D4"/>
  <c r="D22" s="1"/>
  <c r="E11" i="14"/>
  <c r="H32" i="48"/>
  <c r="H28"/>
  <c r="H25"/>
  <c r="H29"/>
  <c r="H26"/>
  <c r="H22"/>
  <c r="H24"/>
  <c r="H30"/>
  <c r="H23"/>
  <c r="N46" i="14"/>
  <c r="G32" i="48"/>
  <c r="G25"/>
  <c r="G29"/>
  <c r="G26"/>
  <c r="G24"/>
  <c r="G22"/>
  <c r="G30"/>
  <c r="G23"/>
  <c r="B4"/>
  <c r="C11" i="14"/>
  <c r="B10" i="48"/>
  <c r="C19" i="14"/>
  <c r="E31" i="48"/>
  <c r="E29"/>
  <c r="E32"/>
  <c r="E28"/>
  <c r="E24"/>
  <c r="E30"/>
  <c r="M29"/>
  <c r="M32"/>
  <c r="M22"/>
  <c r="M26"/>
  <c r="M25"/>
  <c r="M24"/>
  <c r="M30"/>
  <c r="M23"/>
  <c r="L10" i="14"/>
  <c r="L16" s="1"/>
  <c r="L27" s="1"/>
  <c r="K5" i="48"/>
  <c r="D29"/>
  <c r="D30"/>
  <c r="D28"/>
  <c r="D24"/>
  <c r="D31"/>
  <c r="D32"/>
  <c r="L29"/>
  <c r="L28"/>
  <c r="L32"/>
  <c r="L27"/>
  <c r="L22"/>
  <c r="L30"/>
  <c r="L31"/>
  <c r="L24"/>
  <c r="P5"/>
  <c r="P23" s="1"/>
  <c r="Q10" i="14"/>
  <c r="K28" i="48"/>
  <c r="K27"/>
  <c r="K32"/>
  <c r="K25"/>
  <c r="K26"/>
  <c r="K24"/>
  <c r="K31"/>
  <c r="K29"/>
  <c r="K30"/>
  <c r="K22"/>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J63" s="1"/>
  <c r="M12" i="22"/>
  <c r="M13" i="48"/>
  <c r="M31" s="1"/>
  <c r="N18" i="14"/>
  <c r="O22" i="48"/>
  <c r="H18" i="14"/>
  <c r="G13" i="48"/>
  <c r="H13"/>
  <c r="H31" s="1"/>
  <c r="I18" i="14"/>
  <c r="J46"/>
  <c r="J61" s="1"/>
  <c r="P8" i="48"/>
  <c r="P26" s="1"/>
  <c r="Q13" i="14"/>
  <c r="F20"/>
  <c r="F22" s="1"/>
  <c r="E9" i="48"/>
  <c r="E27" s="1"/>
  <c r="K23"/>
  <c r="K33" s="1"/>
  <c r="K15"/>
  <c r="E20" i="14"/>
  <c r="E22" s="1"/>
  <c r="D9" i="48"/>
  <c r="D27" s="1"/>
  <c r="O5"/>
  <c r="O23" s="1"/>
  <c r="P10" i="14"/>
  <c r="J7" i="48"/>
  <c r="J25" s="1"/>
  <c r="K24" i="14"/>
  <c r="K26" s="1"/>
  <c r="C20"/>
  <c r="B9" i="48"/>
  <c r="P15"/>
  <c r="P22"/>
  <c r="P33" s="1"/>
  <c r="Q16" i="14"/>
  <c r="Q27" s="1"/>
  <c r="Q63"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G10" i="48"/>
  <c r="H19" i="14"/>
  <c r="R19" s="1"/>
  <c r="E12" i="13"/>
  <c r="F41" i="14" s="1"/>
  <c r="F11"/>
  <c r="E4" i="48"/>
  <c r="R18" i="14"/>
  <c r="G31" i="48"/>
  <c r="Q13"/>
  <c r="I23"/>
  <c r="I33" s="1"/>
  <c r="I15"/>
  <c r="P16" i="14"/>
  <c r="P27" s="1"/>
  <c r="K11"/>
  <c r="J4" i="48"/>
  <c r="E7"/>
  <c r="E25" s="1"/>
  <c r="F24" i="14"/>
  <c r="F26" s="1"/>
  <c r="M9" i="48"/>
  <c r="N20" i="14"/>
  <c r="O22" i="16"/>
  <c r="P43" i="14" s="1"/>
  <c r="P46" s="1"/>
  <c r="P61" s="1"/>
  <c r="P63" s="1"/>
  <c r="O8" i="48"/>
  <c r="O26" s="1"/>
  <c r="O33" s="1"/>
  <c r="P13" i="14"/>
  <c r="I20"/>
  <c r="I22" s="1"/>
  <c r="I27" s="1"/>
  <c r="H9" i="48"/>
  <c r="M10"/>
  <c r="M28" s="1"/>
  <c r="N19" i="14"/>
  <c r="G14" i="22"/>
  <c r="C22" i="14"/>
  <c r="N22"/>
  <c r="N27" s="1"/>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I63" l="1"/>
  <c r="J5" i="48"/>
  <c r="J23" s="1"/>
  <c r="K10" i="14"/>
  <c r="H20"/>
  <c r="R20" s="1"/>
  <c r="R22" s="1"/>
  <c r="G9" i="48"/>
  <c r="G28"/>
  <c r="Q10"/>
  <c r="J22"/>
  <c r="H27"/>
  <c r="H33" s="1"/>
  <c r="H15"/>
  <c r="M27"/>
  <c r="M33" s="1"/>
  <c r="M15"/>
  <c r="E22"/>
  <c r="Q4"/>
  <c r="E5"/>
  <c r="E23" s="1"/>
  <c r="F10" i="14"/>
  <c r="R11"/>
  <c r="J20" i="15"/>
  <c r="K40" i="14" s="1"/>
  <c r="O15" i="48"/>
  <c r="Q7"/>
  <c r="E20" i="15"/>
  <c r="F40" i="14" s="1"/>
  <c r="J18" i="16"/>
  <c r="E18"/>
  <c r="F18"/>
  <c r="F22" s="1"/>
  <c r="G43" i="14" s="1"/>
  <c r="N18" i="16"/>
  <c r="G18" i="22"/>
  <c r="H50" i="14" s="1"/>
  <c r="H52" s="1"/>
  <c r="H61" s="1"/>
  <c r="H18" i="22"/>
  <c r="I50" i="14" s="1"/>
  <c r="I52" s="1"/>
  <c r="I61" s="1"/>
  <c r="E8" i="48" l="1"/>
  <c r="E26" s="1"/>
  <c r="F13" i="14"/>
  <c r="F16" s="1"/>
  <c r="F27" s="1"/>
  <c r="K16"/>
  <c r="K27" s="1"/>
  <c r="J22" i="16"/>
  <c r="K43" i="14" s="1"/>
  <c r="J8" i="48"/>
  <c r="K13" i="14"/>
  <c r="G27" i="48"/>
  <c r="G33" s="1"/>
  <c r="G15"/>
  <c r="Q9"/>
  <c r="F46" i="14"/>
  <c r="F61" s="1"/>
  <c r="K46"/>
  <c r="K61" s="1"/>
  <c r="K63" s="1"/>
  <c r="H63"/>
  <c r="E22" i="16"/>
  <c r="F43" i="14" s="1"/>
  <c r="H22"/>
  <c r="H27" s="1"/>
  <c r="E33" i="48"/>
  <c r="N8"/>
  <c r="N26" s="1"/>
  <c r="O13" i="14"/>
  <c r="N22" i="16"/>
  <c r="O43" i="14" s="1"/>
  <c r="G13"/>
  <c r="F8" i="48"/>
  <c r="J26" l="1"/>
  <c r="J33" s="1"/>
  <c r="J15"/>
  <c r="E15"/>
  <c r="F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<sst xmlns="http://schemas.openxmlformats.org/spreadsheetml/2006/main" count="2392" uniqueCount="890">
  <si>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</si>
  <si>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</si>
  <si>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</si>
  <si>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</si>
  <si>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</si>
  <si>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</si>
  <si>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</si>
  <si>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</si>
  <si>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</si>
  <si>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</si>
  <si>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</si>
  <si>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</si>
  <si>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</si>
  <si>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</si>
  <si>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</si>
  <si>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</si>
  <si>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</si>
  <si>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</si>
  <si>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</si>
  <si>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</si>
  <si>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</si>
  <si>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</si>
  <si>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</si>
  <si>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</si>
  <si>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</si>
  <si>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</si>
  <si>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</si>
  <si>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</si>
  <si>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</si>
  <si>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</si>
  <si>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</si>
  <si>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</si>
  <si>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</si>
  <si>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</si>
  <si>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</si>
  <si>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</si>
  <si>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</si>
  <si>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</si>
  <si>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</si>
  <si>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</si>
  <si>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</si>
  <si>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</si>
  <si>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</si>
  <si>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</si>
  <si>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</si>
  <si>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</si>
  <si>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</si>
  <si>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</si>
  <si>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</si>
  <si>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</si>
  <si>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</si>
  <si>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</si>
  <si>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</si>
  <si>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</si>
  <si>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</si>
  <si>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</si>
  <si>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</si>
  <si>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</si>
  <si>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</si>
  <si>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</si>
  <si>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</si>
  <si>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</si>
  <si>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</si>
  <si>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</si>
  <si>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</si>
  <si>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</si>
  <si>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</si>
  <si>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</si>
  <si>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</si>
  <si>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</si>
  <si>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</si>
  <si>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</si>
  <si>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</si>
  <si>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</si>
  <si>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</si>
  <si>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</si>
  <si>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</si>
  <si>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</si>
  <si>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</si>
  <si>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</si>
  <si>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</si>
  <si>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</si>
  <si>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</si>
  <si>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</si>
  <si>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</si>
  <si>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</si>
  <si>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</si>
  <si>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</si>
  <si>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</si>
  <si>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</si>
  <si>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</si>
  <si>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</si>
  <si>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</si>
  <si>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</si>
  <si>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</si>
  <si>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</si>
  <si>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</si>
  <si>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</si>
  <si>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</si>
  <si>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</si>
  <si>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</si>
  <si>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</si>
  <si>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</si>
  <si>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</si>
  <si>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</si>
  <si>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</si>
  <si>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</si>
  <si>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</si>
  <si>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</si>
  <si>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</si>
  <si>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</si>
  <si>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</si>
  <si>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</si>
  <si>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</si>
  <si>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</si>
  <si>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</si>
  <si>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</si>
  <si>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</si>
  <si>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</si>
  <si>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</si>
  <si>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</si>
  <si>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</si>
  <si>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</si>
  <si>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</si>
  <si>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</si>
  <si>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</si>
  <si>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</si>
  <si>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</si>
  <si>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</si>
  <si>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</si>
  <si>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</si>
  <si>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</si>
  <si>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</si>
  <si>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</si>
  <si>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</si>
  <si>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</si>
  <si>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</si>
  <si>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</si>
  <si>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</si>
  <si>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</si>
  <si>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</si>
  <si>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</si>
  <si>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</si>
  <si>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</si>
  <si>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</si>
  <si>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</si>
  <si>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</si>
  <si>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</si>
  <si>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</si>
  <si>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</si>
  <si>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</si>
  <si>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</si>
  <si>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</si>
  <si>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</si>
  <si>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</si>
  <si>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</si>
  <si>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</si>
  <si>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</si>
  <si>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</si>
  <si>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</si>
  <si>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</si>
  <si>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</si>
  <si>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</si>
  <si>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</si>
  <si>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</si>
  <si>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</si>
  <si>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</si>
  <si>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</si>
  <si>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</si>
  <si>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</si>
  <si>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</si>
  <si>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</si>
  <si>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</si>
  <si>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</si>
  <si>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</si>
  <si>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</si>
  <si>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</si>
  <si>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</si>
  <si>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</si>
  <si>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</si>
  <si>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</si>
  <si>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</si>
  <si>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</si>
  <si>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</si>
  <si>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</si>
  <si>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</si>
  <si>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</si>
  <si>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</si>
  <si>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</si>
  <si>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</si>
  <si>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</si>
  <si>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</si>
  <si>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</si>
  <si>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</si>
  <si>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</si>
  <si>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</si>
  <si>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</si>
  <si>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</si>
  <si>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</si>
  <si>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</si>
  <si>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</si>
  <si>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</si>
  <si>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</si>
  <si>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</si>
  <si>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</si>
  <si>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</si>
  <si>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</si>
  <si>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</si>
  <si>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</si>
  <si>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</si>
  <si>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</si>
  <si>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</si>
  <si>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</si>
  <si>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</si>
  <si>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</si>
  <si>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</si>
  <si>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</si>
  <si>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</si>
  <si>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</si>
  <si>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</si>
  <si>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</si>
  <si>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</si>
  <si>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</si>
  <si>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</si>
  <si>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</si>
  <si>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</si>
  <si>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</si>
  <si>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</si>
  <si>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</si>
  <si>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</si>
  <si>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</si>
  <si>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</si>
  <si>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</si>
  <si>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</si>
  <si>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</si>
  <si>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</si>
  <si>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</si>
  <si>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</si>
  <si>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</si>
  <si>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</si>
  <si>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</si>
  <si>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</si>
  <si>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</si>
  <si>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</si>
  <si>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</si>
  <si>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</si>
  <si>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</si>
  <si>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</si>
  <si>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</si>
  <si>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</si>
  <si>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</si>
  <si>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</si>
  <si>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</si>
  <si>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</si>
  <si>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</si>
  <si>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</si>
  <si>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</si>
  <si>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</si>
  <si>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</si>
  <si>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</si>
  <si>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</si>
  <si>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</si>
  <si>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</si>
  <si>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</si>
  <si>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</si>
  <si>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</si>
  <si>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</si>
  <si>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</si>
  <si>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</si>
  <si>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</si>
  <si>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</si>
  <si>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</si>
  <si>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</si>
  <si>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</si>
  <si>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</si>
  <si>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</si>
  <si>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</si>
  <si>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</si>
  <si>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</si>
  <si>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</si>
  <si>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</si>
  <si>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</si>
  <si>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</si>
  <si>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</si>
  <si>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</si>
  <si>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</si>
  <si>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</si>
  <si>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</si>
  <si>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</si>
  <si>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</si>
  <si>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</si>
  <si>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</si>
  <si>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</si>
  <si>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</si>
  <si>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</si>
  <si>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</si>
  <si>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</si>
  <si>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</si>
  <si>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</si>
  <si>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</si>
  <si>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</si>
  <si>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</si>
  <si>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</si>
  <si>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</si>
  <si>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</si>
  <si>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</si>
  <si>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</si>
  <si>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</si>
  <si>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</si>
  <si>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</si>
  <si>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</si>
  <si>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</si>
  <si>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</si>
  <si>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</si>
  <si>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</si>
  <si>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</si>
  <si>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</si>
  <si>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</si>
  <si>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</si>
  <si>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</si>
  <si>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</si>
  <si>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</si>
  <si>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</si>
  <si>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</si>
  <si>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</si>
  <si>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</si>
  <si>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</si>
  <si>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</si>
  <si>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</si>
  <si>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</si>
  <si>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</si>
  <si>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</si>
  <si>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</si>
  <si>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</si>
  <si>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</si>
  <si>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</si>
  <si>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</si>
  <si>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</si>
  <si>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</si>
  <si>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</si>
  <si>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</si>
  <si>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</si>
  <si>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</si>
  <si>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</si>
  <si>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</si>
  <si>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</si>
  <si>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</si>
  <si>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</si>
  <si>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</si>
  <si>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</si>
  <si>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</si>
  <si>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</si>
  <si>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</si>
  <si>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</si>
  <si>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</si>
  <si>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</si>
  <si>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</si>
  <si>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</si>
  <si>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</si>
  <si>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</si>
  <si>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</si>
  <si>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</si>
  <si>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</si>
  <si>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</si>
  <si>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</si>
  <si>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</si>
  <si>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</si>
  <si>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</si>
  <si>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</si>
  <si>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</si>
  <si>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</si>
  <si>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</si>
  <si>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</si>
  <si>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</si>
  <si>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</si>
  <si>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</si>
  <si>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</si>
  <si>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</si>
  <si>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</si>
  <si>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</si>
  <si>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</si>
  <si>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</si>
  <si>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</si>
  <si>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</si>
  <si>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</si>
  <si>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</si>
  <si>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</si>
  <si>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</si>
  <si>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</si>
  <si>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</si>
  <si>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</si>
  <si>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</si>
  <si>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</si>
  <si>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</si>
  <si>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</si>
  <si>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</si>
  <si>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</si>
  <si>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</si>
  <si>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</si>
  <si>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</si>
  <si>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</si>
  <si>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</si>
  <si>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</si>
  <si>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</si>
  <si>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</si>
  <si>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</si>
  <si>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</si>
  <si>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</si>
  <si>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</si>
  <si>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</si>
  <si>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</si>
  <si>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</si>
  <si>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</si>
  <si>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</si>
  <si>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</si>
  <si>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</si>
  <si>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</si>
  <si>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</si>
  <si>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</si>
  <si>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</si>
  <si>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</si>
  <si>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</si>
  <si>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</si>
  <si>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</si>
  <si>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</si>
  <si>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</si>
  <si>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</si>
  <si>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</si>
  <si>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</si>
  <si>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</si>
  <si>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</si>
  <si>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</si>
  <si>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</si>
  <si>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</si>
  <si>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</si>
  <si>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</si>
  <si>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</si>
  <si>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</si>
  <si>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</si>
  <si>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</si>
  <si>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</si>
  <si>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</si>
  <si>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</si>
  <si>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</si>
  <si>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</si>
  <si>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</si>
  <si>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</si>
  <si>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</si>
  <si>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</si>
  <si>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</si>
  <si>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</si>
  <si>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</si>
  <si>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</si>
  <si>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</si>
  <si>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</si>
  <si>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</si>
  <si>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</si>
  <si>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</si>
  <si>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</si>
  <si>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</si>
  <si>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</si>
  <si>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</si>
  <si>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</si>
  <si>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</si>
  <si>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</si>
  <si>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</si>
  <si>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</si>
  <si>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</si>
  <si>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</si>
  <si>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</si>
  <si>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</si>
  <si>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</si>
  <si>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</si>
  <si>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</si>
  <si>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</si>
  <si>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</si>
  <si>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</si>
  <si>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</si>
  <si>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</si>
  <si>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</si>
  <si>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</si>
  <si>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</si>
  <si>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</si>
  <si>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</si>
  <si>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</si>
  <si>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</si>
  <si>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</si>
  <si>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</si>
  <si>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</si>
  <si>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</si>
  <si>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</si>
  <si>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</si>
  <si>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</si>
  <si>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</si>
  <si>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</si>
  <si>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</si>
  <si>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</si>
  <si>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</si>
  <si>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</si>
  <si>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</si>
  <si>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</si>
  <si>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</si>
  <si>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</si>
  <si>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</si>
  <si>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</si>
  <si>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</si>
  <si>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</si>
  <si>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</si>
  <si>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</si>
  <si>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</si>
  <si>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</si>
  <si>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</si>
  <si>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</si>
  <si>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</si>
  <si>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</si>
  <si>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</si>
  <si>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</si>
  <si>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</si>
  <si>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</si>
  <si>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</si>
  <si>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</si>
  <si>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</si>
  <si>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</si>
  <si>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</si>
  <si>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</si>
  <si>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</si>
  <si>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</si>
  <si>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</si>
  <si>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</si>
  <si>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</si>
  <si>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</si>
  <si>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</si>
  <si>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</si>
  <si>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</si>
  <si>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</si>
  <si>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</si>
  <si>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</si>
  <si>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</si>
  <si>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</si>
  <si>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</si>
  <si>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</si>
  <si>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</si>
  <si>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</si>
  <si>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</si>
  <si>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</si>
  <si>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</si>
  <si>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</si>
  <si>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</si>
  <si>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</si>
  <si>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</si>
  <si>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</si>
  <si>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</si>
  <si>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</si>
  <si>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</si>
  <si>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</si>
  <si>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</si>
  <si>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</si>
  <si>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</si>
  <si>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</si>
  <si>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</si>
  <si>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</si>
  <si>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</si>
  <si>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</si>
  <si>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</si>
  <si>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</si>
  <si>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</si>
  <si>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</si>
  <si>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</si>
  <si>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</si>
  <si>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</si>
  <si>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</si>
  <si>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</si>
  <si>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</si>
  <si>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</si>
  <si>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</si>
  <si>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</si>
  <si>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</si>
  <si>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</si>
  <si>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</si>
  <si>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</si>
  <si>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</si>
  <si>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</si>
  <si>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</si>
  <si>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</si>
  <si>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</si>
  <si>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</si>
  <si>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</si>
  <si>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</si>
  <si>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</si>
  <si>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</si>
  <si>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</si>
  <si>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</si>
  <si>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</si>
  <si>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</si>
  <si>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</si>
  <si>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</si>
  <si>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</si>
  <si>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</si>
  <si>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</si>
  <si>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</si>
  <si>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</si>
  <si>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</si>
  <si>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</si>
  <si>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</si>
  <si>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</si>
  <si>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</si>
  <si>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</si>
  <si>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</si>
  <si>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</si>
  <si>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</si>
  <si>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</si>
  <si>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</si>
  <si>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</si>
  <si>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</si>
  <si>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</si>
  <si>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</si>
  <si>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</si>
  <si>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</si>
  <si>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</si>
  <si>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</si>
  <si>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</si>
  <si>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</si>
  <si>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</si>
  <si>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</si>
  <si>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</si>
  <si>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</si>
  <si>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</si>
  <si>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</si>
  <si>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</si>
  <si>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</si>
  <si>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</si>
  <si>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</si>
  <si>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</si>
  <si>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</si>
  <si>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</si>
  <si>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</si>
  <si>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</si>
  <si>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</si>
  <si>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</si>
  <si>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</si>
  <si>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</si>
  <si>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</si>
  <si>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</si>
  <si>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</si>
  <si>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</si>
  <si>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</si>
  <si>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</si>
  <si>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</si>
  <si>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</si>
  <si>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</si>
  <si>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</si>
  <si>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</si>
  <si>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</si>
  <si>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</si>
  <si>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</si>
  <si>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</si>
  <si>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</si>
  <si>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</si>
  <si>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</si>
  <si>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</si>
  <si>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</si>
  <si>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</si>
  <si>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</si>
  <si>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</si>
  <si>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</si>
  <si>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</si>
  <si>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</si>
  <si>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</si>
  <si>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</si>
  <si>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</si>
  <si>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</si>
  <si>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</si>
  <si>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</si>
  <si>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</si>
  <si>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</si>
  <si>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</si>
  <si>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</si>
  <si>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</si>
  <si>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</si>
  <si>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</si>
  <si>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</si>
  <si>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</si>
  <si>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</si>
  <si>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</si>
  <si>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</si>
  <si>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</si>
  <si>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</si>
  <si>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</si>
  <si>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</si>
  <si>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</si>
  <si>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</si>
  <si>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</si>
  <si>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</si>
  <si>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</si>
  <si>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</si>
  <si>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</si>
  <si>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</si>
  <si>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</si>
  <si>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</si>
  <si>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</si>
  <si>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</si>
  <si>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</si>
  <si>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</si>
  <si>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</si>
  <si>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</si>
  <si>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</si>
  <si>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</si>
  <si>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</si>
  <si>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</si>
  <si>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</si>
  <si>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</si>
  <si>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</si>
  <si>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</si>
  <si>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</si>
  <si>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</si>
  <si>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</si>
  <si>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</si>
  <si>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</si>
  <si>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</si>
  <si>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</si>
  <si>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</si>
  <si>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</si>
  <si>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</si>
  <si>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</si>
  <si>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</si>
  <si>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</si>
  <si>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</si>
  <si>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</si>
  <si>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</si>
  <si>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</si>
  <si>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</si>
  <si>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</si>
  <si>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</si>
  <si>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</si>
  <si>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</si>
  <si>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</si>
  <si>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</si>
  <si>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</si>
  <si>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</si>
  <si>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</si>
  <si>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</si>
  <si>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</si>
  <si>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</si>
  <si>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</si>
  <si>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</si>
  <si>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</si>
  <si>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</si>
  <si>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</si>
  <si>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</si>
  <si>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</si>
  <si>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</si>
  <si>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</si>
  <si>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</si>
  <si>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</si>
  <si>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</si>
  <si>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</si>
  <si>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</si>
  <si>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</si>
  <si>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</si>
  <si>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</si>
  <si>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</si>
  <si>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</si>
  <si>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</si>
  <si>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</si>
  <si>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</si>
  <si>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</si>
  <si>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</si>
  <si>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</si>
  <si>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</si>
  <si>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</si>
  <si>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</si>
  <si>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</si>
  <si>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</si>
  <si>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</si>
  <si>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</si>
  <si>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</si>
  <si>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</si>
  <si>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</si>
  <si>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</si>
  <si>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</si>
  <si>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</si>
  <si>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</si>
  <si>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</si>
  <si>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</si>
  <si>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</si>
  <si>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</si>
  <si>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</si>
  <si>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</si>
  <si>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</si>
  <si>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</si>
  <si>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</si>
  <si>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</si>
  <si>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</si>
  <si>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</si>
  <si>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</si>
  <si>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</si>
  <si>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</si>
  <si>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</si>
  <si>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</si>
  <si>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</si>
  <si>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</si>
  <si>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</si>
  <si>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</si>
  <si>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</si>
  <si>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</si>
  <si>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</si>
  <si>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</si>
  <si>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</si>
  <si>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</si>
  <si>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</si>
  <si>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</si>
  <si>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</si>
  <si>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</si>
  <si>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</si>
  <si>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</si>
  <si>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</si>
  <si>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</si>
  <si>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</si>
  <si>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</si>
  <si>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</si>
  <si>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</si>
  <si>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</si>
  <si>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</si>
  <si>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</si>
  <si>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</si>
  <si>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</si>
  <si>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</si>
  <si>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</si>
  <si>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</si>
  <si>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</si>
  <si>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</si>
  <si>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</si>
  <si>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</si>
  <si>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</si>
  <si>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</si>
  <si>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</si>
  <si>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</si>
  <si>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</si>
  <si>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</si>
  <si>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</si>
  <si>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</si>
  <si>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</si>
  <si>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</si>
  <si>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</si>
  <si>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</si>
  <si>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</si>
  <si>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</si>
  <si>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</si>
  <si>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</si>
  <si>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</si>
  <si>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</si>
  <si>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</si>
  <si>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</si>
  <si>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</si>
  <si>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</si>
  <si>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</si>
  <si>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</si>
  <si>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</si>
  <si>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</si>
  <si>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</si>
  <si>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</si>
  <si>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</si>
  <si>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</si>
  <si>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</si>
  <si>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</si>
  <si>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</si>
  <si>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</si>
  <si>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</si>
  <si>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</si>
  <si>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</si>
  <si>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</si>
  <si>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</si>
  <si>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</si>
  <si>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</si>
  <si>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</si>
  <si>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</si>
  <si>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</si>
  <si>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</si>
  <si>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</si>
  <si>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</si>
  <si>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</si>
  <si>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</si>
  <si>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34041</t>
  </si>
  <si>
    <t>WEVELGEM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</si>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</sst>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219766.83172146298</c:v>
                </c:pt>
                <c:pt idx="1">
                  <c:v>111143.62724105702</c:v>
                </c:pt>
                <c:pt idx="2">
                  <c:v>2500.5250000000001</c:v>
                </c:pt>
                <c:pt idx="3">
                  <c:v>17279.891986559265</c:v>
                </c:pt>
                <c:pt idx="4">
                  <c:v>260969.51579537115</c:v>
                </c:pt>
                <c:pt idx="5">
                  <c:v>254684.31210890188</c:v>
                </c:pt>
                <c:pt idx="6">
                  <c:v>1436.7093150171238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219766.83172146298</c:v>
                </c:pt>
                <c:pt idx="1">
                  <c:v>111143.62724105702</c:v>
                </c:pt>
                <c:pt idx="2">
                  <c:v>2500.5250000000001</c:v>
                </c:pt>
                <c:pt idx="3">
                  <c:v>17279.891986559265</c:v>
                </c:pt>
                <c:pt idx="4">
                  <c:v>260969.51579537115</c:v>
                </c:pt>
                <c:pt idx="5">
                  <c:v>254684.31210890188</c:v>
                </c:pt>
                <c:pt idx="6">
                  <c:v>1436.7093150171238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40327.185138260873</c:v>
                </c:pt>
                <c:pt idx="2">
                  <c:v>22616.251636018609</c:v>
                </c:pt>
                <c:pt idx="3">
                  <c:v>504.61199689907778</c:v>
                </c:pt>
                <c:pt idx="4">
                  <c:v>4410.6906554610705</c:v>
                </c:pt>
                <c:pt idx="5">
                  <c:v>51924.02951708925</c:v>
                </c:pt>
                <c:pt idx="6">
                  <c:v>65273.820129298823</c:v>
                </c:pt>
                <c:pt idx="7">
                  <c:v>372.06089064958229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65024"/>
        <c:axId val="184124160"/>
      </c:barChart>
      <c:catAx>
        <c:axId val="184065024"/>
        <c:scaling>
          <c:orientation val="minMax"/>
        </c:scaling>
        <c:axPos val="b"/>
        <c:numFmt formatCode="General" sourceLinked="0"/>
        <c:tickLblPos val="nextTo"/>
        <c:crossAx val="184124160"/>
        <c:crosses val="autoZero"/>
        <c:auto val="1"/>
        <c:lblAlgn val="ctr"/>
        <c:lblOffset val="100"/>
      </c:catAx>
      <c:valAx>
        <c:axId val="184124160"/>
        <c:scaling>
          <c:orientation val="minMax"/>
        </c:scaling>
        <c:axPos val="l"/>
        <c:majorGridlines/>
        <c:numFmt formatCode="#,##0" sourceLinked="1"/>
        <c:tickLblPos val="nextTo"/>
        <c:crossAx val="1840650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40327.185138260873</c:v>
                </c:pt>
                <c:pt idx="2">
                  <c:v>22616.251636018609</c:v>
                </c:pt>
                <c:pt idx="3">
                  <c:v>504.61199689907778</c:v>
                </c:pt>
                <c:pt idx="4">
                  <c:v>4410.6906554610705</c:v>
                </c:pt>
                <c:pt idx="5">
                  <c:v>51924.02951708925</c:v>
                </c:pt>
                <c:pt idx="6">
                  <c:v>65273.820129298823</c:v>
                </c:pt>
                <c:pt idx="7">
                  <c:v>372.06089064958229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34041</v>
      </c>
      <c r="B6" s="415"/>
      <c r="C6" s="416"/>
    </row>
    <row r="7" spans="1:7" s="413" customFormat="1" ht="15.75" customHeight="1">
      <c r="A7" s="417" t="str">
        <f>txtMunicipality</f>
        <v>WEVELGEM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0.20180242025137832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0.20180242025137832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13032</v>
      </c>
      <c r="C9" s="342">
        <v>12915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1882.84</v>
      </c>
    </row>
    <row r="15" spans="1:6">
      <c r="A15" s="348" t="s">
        <v>184</v>
      </c>
      <c r="B15" s="334">
        <v>26</v>
      </c>
    </row>
    <row r="16" spans="1:6">
      <c r="A16" s="348" t="s">
        <v>6</v>
      </c>
      <c r="B16" s="334">
        <v>910</v>
      </c>
    </row>
    <row r="17" spans="1:6">
      <c r="A17" s="348" t="s">
        <v>7</v>
      </c>
      <c r="B17" s="334">
        <v>417</v>
      </c>
    </row>
    <row r="18" spans="1:6">
      <c r="A18" s="348" t="s">
        <v>8</v>
      </c>
      <c r="B18" s="334">
        <v>860</v>
      </c>
    </row>
    <row r="19" spans="1:6">
      <c r="A19" s="348" t="s">
        <v>9</v>
      </c>
      <c r="B19" s="334">
        <v>950</v>
      </c>
    </row>
    <row r="20" spans="1:6">
      <c r="A20" s="348" t="s">
        <v>10</v>
      </c>
      <c r="B20" s="334">
        <v>705</v>
      </c>
    </row>
    <row r="21" spans="1:6">
      <c r="A21" s="348" t="s">
        <v>11</v>
      </c>
      <c r="B21" s="334">
        <v>4649</v>
      </c>
    </row>
    <row r="22" spans="1:6">
      <c r="A22" s="348" t="s">
        <v>12</v>
      </c>
      <c r="B22" s="334">
        <v>29261</v>
      </c>
    </row>
    <row r="23" spans="1:6">
      <c r="A23" s="348" t="s">
        <v>13</v>
      </c>
      <c r="B23" s="334">
        <v>226</v>
      </c>
    </row>
    <row r="24" spans="1:6">
      <c r="A24" s="348" t="s">
        <v>14</v>
      </c>
      <c r="B24" s="334">
        <v>30</v>
      </c>
    </row>
    <row r="25" spans="1:6">
      <c r="A25" s="348" t="s">
        <v>15</v>
      </c>
      <c r="B25" s="334">
        <v>1353</v>
      </c>
    </row>
    <row r="26" spans="1:6">
      <c r="A26" s="348" t="s">
        <v>16</v>
      </c>
      <c r="B26" s="334">
        <v>56</v>
      </c>
    </row>
    <row r="27" spans="1:6">
      <c r="A27" s="348" t="s">
        <v>17</v>
      </c>
      <c r="B27" s="334">
        <v>0</v>
      </c>
    </row>
    <row r="28" spans="1:6" s="356" customFormat="1">
      <c r="A28" s="355" t="s">
        <v>18</v>
      </c>
      <c r="B28" s="355">
        <v>30969</v>
      </c>
    </row>
    <row r="29" spans="1:6">
      <c r="A29" s="355" t="s">
        <v>884</v>
      </c>
      <c r="B29" s="355">
        <v>103</v>
      </c>
      <c r="C29" s="356"/>
      <c r="D29" s="356"/>
      <c r="E29" s="356"/>
      <c r="F29" s="356"/>
    </row>
    <row r="30" spans="1:6">
      <c r="A30" s="355" t="s">
        <v>885</v>
      </c>
      <c r="B30" s="341">
        <v>24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42516</v>
      </c>
    </row>
    <row r="36" spans="1:6">
      <c r="A36" s="348" t="s">
        <v>25</v>
      </c>
      <c r="B36" s="348" t="s">
        <v>27</v>
      </c>
      <c r="C36" s="334">
        <v>0</v>
      </c>
      <c r="D36" s="334">
        <v>0</v>
      </c>
      <c r="E36" s="334">
        <v>6</v>
      </c>
      <c r="F36" s="334">
        <v>53574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10142</v>
      </c>
      <c r="D39" s="334">
        <v>149209340.75999999</v>
      </c>
      <c r="E39" s="334">
        <v>13055</v>
      </c>
      <c r="F39" s="334">
        <v>45091462</v>
      </c>
    </row>
    <row r="40" spans="1:6">
      <c r="A40" s="348" t="s">
        <v>30</v>
      </c>
      <c r="B40" s="348" t="s">
        <v>29</v>
      </c>
      <c r="C40" s="334">
        <v>0</v>
      </c>
      <c r="D40" s="334">
        <v>0</v>
      </c>
      <c r="E40" s="334">
        <v>0</v>
      </c>
      <c r="F40" s="334">
        <v>1397</v>
      </c>
    </row>
    <row r="41" spans="1:6">
      <c r="A41" s="348" t="s">
        <v>32</v>
      </c>
      <c r="B41" s="348" t="s">
        <v>33</v>
      </c>
      <c r="C41" s="334">
        <v>154</v>
      </c>
      <c r="D41" s="334">
        <v>12834999.312000001</v>
      </c>
      <c r="E41" s="334">
        <v>347</v>
      </c>
      <c r="F41" s="334">
        <v>23415597</v>
      </c>
    </row>
    <row r="42" spans="1:6">
      <c r="A42" s="348" t="s">
        <v>32</v>
      </c>
      <c r="B42" s="348" t="s">
        <v>34</v>
      </c>
      <c r="C42" s="334">
        <v>0</v>
      </c>
      <c r="D42" s="334">
        <v>0</v>
      </c>
      <c r="E42" s="334">
        <v>4</v>
      </c>
      <c r="F42" s="334">
        <v>4296659</v>
      </c>
    </row>
    <row r="43" spans="1:6">
      <c r="A43" s="348" t="s">
        <v>32</v>
      </c>
      <c r="B43" s="348" t="s">
        <v>35</v>
      </c>
      <c r="C43" s="334">
        <v>0</v>
      </c>
      <c r="D43" s="334">
        <v>0</v>
      </c>
      <c r="E43" s="334">
        <v>0</v>
      </c>
      <c r="F43" s="334">
        <v>0</v>
      </c>
    </row>
    <row r="44" spans="1:6">
      <c r="A44" s="348" t="s">
        <v>32</v>
      </c>
      <c r="B44" s="348" t="s">
        <v>36</v>
      </c>
      <c r="C44" s="334">
        <v>13</v>
      </c>
      <c r="D44" s="334">
        <v>582388.93891000003</v>
      </c>
      <c r="E44" s="334">
        <v>72</v>
      </c>
      <c r="F44" s="334">
        <v>15812879</v>
      </c>
    </row>
    <row r="45" spans="1:6">
      <c r="A45" s="348" t="s">
        <v>32</v>
      </c>
      <c r="B45" s="348" t="s">
        <v>37</v>
      </c>
      <c r="C45" s="334">
        <v>0</v>
      </c>
      <c r="D45" s="334">
        <v>0</v>
      </c>
      <c r="E45" s="334">
        <v>9</v>
      </c>
      <c r="F45" s="334">
        <v>531015</v>
      </c>
    </row>
    <row r="46" spans="1:6">
      <c r="A46" s="348" t="s">
        <v>32</v>
      </c>
      <c r="B46" s="348" t="s">
        <v>38</v>
      </c>
      <c r="C46" s="334">
        <v>0</v>
      </c>
      <c r="D46" s="334">
        <v>0</v>
      </c>
      <c r="E46" s="334">
        <v>3</v>
      </c>
      <c r="F46" s="334">
        <v>5891436</v>
      </c>
    </row>
    <row r="47" spans="1:6">
      <c r="A47" s="348" t="s">
        <v>32</v>
      </c>
      <c r="B47" s="348" t="s">
        <v>39</v>
      </c>
      <c r="C47" s="334">
        <v>4</v>
      </c>
      <c r="D47" s="334">
        <v>128992.11919</v>
      </c>
      <c r="E47" s="334">
        <v>14</v>
      </c>
      <c r="F47" s="334">
        <v>2315199</v>
      </c>
    </row>
    <row r="48" spans="1:6">
      <c r="A48" s="348" t="s">
        <v>32</v>
      </c>
      <c r="B48" s="348" t="s">
        <v>29</v>
      </c>
      <c r="C48" s="334">
        <v>72</v>
      </c>
      <c r="D48" s="334">
        <v>76438753.324000001</v>
      </c>
      <c r="E48" s="334">
        <v>1</v>
      </c>
      <c r="F48" s="334">
        <v>1242168</v>
      </c>
    </row>
    <row r="49" spans="1:6">
      <c r="A49" s="348" t="s">
        <v>32</v>
      </c>
      <c r="B49" s="348" t="s">
        <v>40</v>
      </c>
      <c r="C49" s="334">
        <v>7</v>
      </c>
      <c r="D49" s="334">
        <v>39363248.056999996</v>
      </c>
      <c r="E49" s="334">
        <v>36</v>
      </c>
      <c r="F49" s="334">
        <v>15481013</v>
      </c>
    </row>
    <row r="50" spans="1:6">
      <c r="A50" s="348" t="s">
        <v>32</v>
      </c>
      <c r="B50" s="348" t="s">
        <v>41</v>
      </c>
      <c r="C50" s="334">
        <v>21</v>
      </c>
      <c r="D50" s="334">
        <v>1639023.2089</v>
      </c>
      <c r="E50" s="334">
        <v>54</v>
      </c>
      <c r="F50" s="334">
        <v>13141762</v>
      </c>
    </row>
    <row r="51" spans="1:6">
      <c r="A51" s="348" t="s">
        <v>42</v>
      </c>
      <c r="B51" s="348" t="s">
        <v>43</v>
      </c>
      <c r="C51" s="334">
        <v>4</v>
      </c>
      <c r="D51" s="334">
        <v>96509.891925000004</v>
      </c>
      <c r="E51" s="334">
        <v>93</v>
      </c>
      <c r="F51" s="334">
        <v>3540180</v>
      </c>
    </row>
    <row r="52" spans="1:6">
      <c r="A52" s="348" t="s">
        <v>42</v>
      </c>
      <c r="B52" s="348" t="s">
        <v>29</v>
      </c>
      <c r="C52" s="334">
        <v>7</v>
      </c>
      <c r="D52" s="334">
        <v>123818.88184</v>
      </c>
      <c r="E52" s="334">
        <v>0</v>
      </c>
      <c r="F52" s="334">
        <v>0</v>
      </c>
    </row>
    <row r="53" spans="1:6">
      <c r="A53" s="348" t="s">
        <v>44</v>
      </c>
      <c r="B53" s="348" t="s">
        <v>45</v>
      </c>
      <c r="C53" s="334">
        <v>205</v>
      </c>
      <c r="D53" s="334">
        <v>3977521.3036000002</v>
      </c>
      <c r="E53" s="334">
        <v>2</v>
      </c>
      <c r="F53" s="334">
        <v>10867</v>
      </c>
    </row>
    <row r="54" spans="1:6">
      <c r="A54" s="348" t="s">
        <v>46</v>
      </c>
      <c r="B54" s="348" t="s">
        <v>47</v>
      </c>
      <c r="C54" s="334">
        <v>0</v>
      </c>
      <c r="D54" s="334">
        <v>0</v>
      </c>
      <c r="E54" s="334">
        <v>153</v>
      </c>
      <c r="F54" s="334">
        <v>2500525</v>
      </c>
    </row>
    <row r="55" spans="1:6">
      <c r="A55" s="348" t="s">
        <v>46</v>
      </c>
      <c r="B55" s="348" t="s">
        <v>29</v>
      </c>
      <c r="C55" s="334">
        <v>0</v>
      </c>
      <c r="D55" s="334">
        <v>0</v>
      </c>
      <c r="E55" s="334">
        <v>0</v>
      </c>
      <c r="F55" s="334">
        <v>0</v>
      </c>
    </row>
    <row r="56" spans="1:6">
      <c r="A56" s="348" t="s">
        <v>48</v>
      </c>
      <c r="B56" s="348" t="s">
        <v>29</v>
      </c>
      <c r="C56" s="334">
        <v>0</v>
      </c>
      <c r="D56" s="334">
        <v>0</v>
      </c>
      <c r="E56" s="334">
        <v>287</v>
      </c>
      <c r="F56" s="334">
        <v>1461241</v>
      </c>
    </row>
    <row r="57" spans="1:6">
      <c r="A57" s="348" t="s">
        <v>49</v>
      </c>
      <c r="B57" s="348" t="s">
        <v>50</v>
      </c>
      <c r="C57" s="334">
        <v>147</v>
      </c>
      <c r="D57" s="334">
        <v>13716127.539000001</v>
      </c>
      <c r="E57" s="334">
        <v>160</v>
      </c>
      <c r="F57" s="334">
        <v>3386928</v>
      </c>
    </row>
    <row r="58" spans="1:6">
      <c r="A58" s="348" t="s">
        <v>49</v>
      </c>
      <c r="B58" s="348" t="s">
        <v>51</v>
      </c>
      <c r="C58" s="334">
        <v>43</v>
      </c>
      <c r="D58" s="334">
        <v>997553.47618999996</v>
      </c>
      <c r="E58" s="334">
        <v>45</v>
      </c>
      <c r="F58" s="334">
        <v>1185784</v>
      </c>
    </row>
    <row r="59" spans="1:6">
      <c r="A59" s="348" t="s">
        <v>49</v>
      </c>
      <c r="B59" s="348" t="s">
        <v>52</v>
      </c>
      <c r="C59" s="334">
        <v>247</v>
      </c>
      <c r="D59" s="334">
        <v>12106716.271</v>
      </c>
      <c r="E59" s="334">
        <v>500</v>
      </c>
      <c r="F59" s="334">
        <v>23004584</v>
      </c>
    </row>
    <row r="60" spans="1:6">
      <c r="A60" s="348" t="s">
        <v>49</v>
      </c>
      <c r="B60" s="348" t="s">
        <v>53</v>
      </c>
      <c r="C60" s="334">
        <v>90</v>
      </c>
      <c r="D60" s="334">
        <v>6810976.5795999998</v>
      </c>
      <c r="E60" s="334">
        <v>125</v>
      </c>
      <c r="F60" s="334">
        <v>3887319</v>
      </c>
    </row>
    <row r="61" spans="1:6">
      <c r="A61" s="348" t="s">
        <v>49</v>
      </c>
      <c r="B61" s="348" t="s">
        <v>54</v>
      </c>
      <c r="C61" s="334">
        <v>240</v>
      </c>
      <c r="D61" s="334">
        <v>9193384.5734000001</v>
      </c>
      <c r="E61" s="334">
        <v>601</v>
      </c>
      <c r="F61" s="334">
        <v>15259765</v>
      </c>
    </row>
    <row r="62" spans="1:6">
      <c r="A62" s="348" t="s">
        <v>49</v>
      </c>
      <c r="B62" s="348" t="s">
        <v>55</v>
      </c>
      <c r="C62" s="334">
        <v>16</v>
      </c>
      <c r="D62" s="334">
        <v>1447364.0475999999</v>
      </c>
      <c r="E62" s="334">
        <v>32</v>
      </c>
      <c r="F62" s="334">
        <v>517305</v>
      </c>
    </row>
    <row r="63" spans="1:6">
      <c r="A63" s="348" t="s">
        <v>49</v>
      </c>
      <c r="B63" s="348" t="s">
        <v>29</v>
      </c>
      <c r="C63" s="334">
        <v>101</v>
      </c>
      <c r="D63" s="334">
        <v>9535270.5479000006</v>
      </c>
      <c r="E63" s="334">
        <v>2</v>
      </c>
      <c r="F63" s="334">
        <v>68780.398612999998</v>
      </c>
    </row>
    <row r="64" spans="1:6">
      <c r="A64" s="348" t="s">
        <v>56</v>
      </c>
      <c r="B64" s="348" t="s">
        <v>57</v>
      </c>
      <c r="C64" s="334">
        <v>0</v>
      </c>
      <c r="D64" s="334">
        <v>0</v>
      </c>
      <c r="E64" s="334">
        <v>5</v>
      </c>
      <c r="F64" s="334">
        <v>92920</v>
      </c>
    </row>
    <row r="65" spans="1:6">
      <c r="A65" s="348" t="s">
        <v>56</v>
      </c>
      <c r="B65" s="348" t="s">
        <v>29</v>
      </c>
      <c r="C65" s="334">
        <v>4</v>
      </c>
      <c r="D65" s="334">
        <v>192501.51856999999</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13</v>
      </c>
      <c r="F68" s="334">
        <v>290951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32780646</v>
      </c>
      <c r="E73" s="475">
        <v>35492148.702712014</v>
      </c>
    </row>
    <row r="74" spans="1:6">
      <c r="A74" s="348" t="s">
        <v>64</v>
      </c>
      <c r="B74" s="348" t="s">
        <v>667</v>
      </c>
      <c r="C74" s="1294" t="s">
        <v>669</v>
      </c>
      <c r="D74" s="475">
        <v>3737923.7323854067</v>
      </c>
      <c r="E74" s="475">
        <v>3977247.6198758073</v>
      </c>
    </row>
    <row r="75" spans="1:6">
      <c r="A75" s="348" t="s">
        <v>65</v>
      </c>
      <c r="B75" s="348" t="s">
        <v>666</v>
      </c>
      <c r="C75" s="1294" t="s">
        <v>670</v>
      </c>
      <c r="D75" s="475">
        <v>48496651</v>
      </c>
      <c r="E75" s="475">
        <v>49826706.985528462</v>
      </c>
    </row>
    <row r="76" spans="1:6">
      <c r="A76" s="348" t="s">
        <v>65</v>
      </c>
      <c r="B76" s="348" t="s">
        <v>667</v>
      </c>
      <c r="C76" s="1294" t="s">
        <v>671</v>
      </c>
      <c r="D76" s="475">
        <v>1274134.7323854067</v>
      </c>
      <c r="E76" s="475">
        <v>1297694.6002283203</v>
      </c>
    </row>
    <row r="77" spans="1:6">
      <c r="A77" s="348" t="s">
        <v>66</v>
      </c>
      <c r="B77" s="348" t="s">
        <v>666</v>
      </c>
      <c r="C77" s="1294" t="s">
        <v>672</v>
      </c>
      <c r="D77" s="475">
        <v>150266727</v>
      </c>
      <c r="E77" s="475">
        <v>163060732.56795597</v>
      </c>
    </row>
    <row r="78" spans="1:6">
      <c r="A78" s="341" t="s">
        <v>66</v>
      </c>
      <c r="B78" s="341" t="s">
        <v>667</v>
      </c>
      <c r="C78" s="341" t="s">
        <v>673</v>
      </c>
      <c r="D78" s="1295">
        <v>28925976</v>
      </c>
      <c r="E78" s="1295">
        <v>30628446.584893487</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385880.53522918676</v>
      </c>
      <c r="C83" s="475">
        <v>385880.53522918676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6333.7201859623701</v>
      </c>
    </row>
    <row r="92" spans="1:6">
      <c r="A92" s="341" t="s">
        <v>69</v>
      </c>
      <c r="B92" s="342">
        <v>10034.765615637767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7206</v>
      </c>
    </row>
    <row r="98" spans="1:6">
      <c r="A98" s="348" t="s">
        <v>72</v>
      </c>
      <c r="B98" s="334">
        <v>0</v>
      </c>
    </row>
    <row r="99" spans="1:6">
      <c r="A99" s="348" t="s">
        <v>73</v>
      </c>
      <c r="B99" s="334">
        <v>187</v>
      </c>
    </row>
    <row r="100" spans="1:6">
      <c r="A100" s="348" t="s">
        <v>74</v>
      </c>
      <c r="B100" s="334">
        <v>935</v>
      </c>
    </row>
    <row r="101" spans="1:6">
      <c r="A101" s="348" t="s">
        <v>75</v>
      </c>
      <c r="B101" s="334">
        <v>152</v>
      </c>
    </row>
    <row r="102" spans="1:6">
      <c r="A102" s="348" t="s">
        <v>76</v>
      </c>
      <c r="B102" s="334">
        <v>190</v>
      </c>
    </row>
    <row r="103" spans="1:6">
      <c r="A103" s="348" t="s">
        <v>77</v>
      </c>
      <c r="B103" s="334">
        <v>354</v>
      </c>
    </row>
    <row r="104" spans="1:6">
      <c r="A104" s="348" t="s">
        <v>78</v>
      </c>
      <c r="B104" s="334">
        <v>2758</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12</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283</v>
      </c>
    </row>
    <row r="130" spans="1:6">
      <c r="A130" s="348" t="s">
        <v>295</v>
      </c>
      <c r="B130" s="334">
        <v>4</v>
      </c>
    </row>
    <row r="131" spans="1:6">
      <c r="A131" s="348" t="s">
        <v>296</v>
      </c>
      <c r="B131" s="334">
        <v>9</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188431.84450963681</v>
      </c>
      <c r="C3" s="43" t="s">
        <v>170</v>
      </c>
      <c r="D3" s="43"/>
      <c r="E3" s="154"/>
      <c r="F3" s="43"/>
      <c r="G3" s="43"/>
      <c r="H3" s="43"/>
      <c r="I3" s="43"/>
      <c r="J3" s="43"/>
      <c r="K3" s="96"/>
    </row>
    <row r="4" spans="1:11">
      <c r="A4" s="383" t="s">
        <v>171</v>
      </c>
      <c r="B4" s="49">
        <f>IF(ISERROR('SEAP template'!B78+'SEAP template'!C78),0,'SEAP template'!B78+'SEAP template'!C78)</f>
        <v>16368.485801600138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0.20180242025137832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2500.5250000000001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2500.5250000000001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0.20180242025137832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504.61199689907778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45092.858999999997</v>
      </c>
      <c r="C5" s="17">
        <f>IF(ISERROR('Eigen informatie GS &amp; warmtenet'!B57),0,'Eigen informatie GS &amp; warmtenet'!B57)</f>
        <v>0</v>
      </c>
      <c r="D5" s="30">
        <f>(SUM(HH_hh_gas_kWh,HH_rest_gas_kWh)/1000)*0.902</f>
        <v>134586.82536552</v>
      </c>
      <c r="E5" s="17">
        <f>B46*B57</f>
        <v>9254.5366481760266</v>
      </c>
      <c r="F5" s="17">
        <f>B51*B62</f>
        <v>0</v>
      </c>
      <c r="G5" s="18"/>
      <c r="H5" s="17"/>
      <c r="I5" s="17"/>
      <c r="J5" s="17">
        <f>B50*B61+C50*C61</f>
        <v>1869.6566393036983</v>
      </c>
      <c r="K5" s="17"/>
      <c r="L5" s="17"/>
      <c r="M5" s="17"/>
      <c r="N5" s="17">
        <f>B48*B59+C48*C59</f>
        <v>21364.123882500924</v>
      </c>
      <c r="O5" s="17">
        <f>B69*B70*B71</f>
        <v>464.31000000000006</v>
      </c>
      <c r="P5" s="17">
        <f>B77*B78*B79/1000-B77*B78*B79/1000/B80</f>
        <v>800.8</v>
      </c>
    </row>
    <row r="6" spans="1:16">
      <c r="A6" s="16" t="s">
        <v>624</v>
      </c>
      <c r="B6" s="788">
        <f>kWh_PV_kleiner_dan_10kW</f>
        <v>6333.7201859623701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51426.579185962364</v>
      </c>
      <c r="C8" s="21">
        <f>C5</f>
        <v>0</v>
      </c>
      <c r="D8" s="21">
        <f>D5</f>
        <v>134586.82536552</v>
      </c>
      <c r="E8" s="21">
        <f>E5</f>
        <v>9254.5366481760266</v>
      </c>
      <c r="F8" s="21">
        <f>F5</f>
        <v>0</v>
      </c>
      <c r="G8" s="21"/>
      <c r="H8" s="21"/>
      <c r="I8" s="21"/>
      <c r="J8" s="21">
        <f>J5</f>
        <v>1869.6566393036983</v>
      </c>
      <c r="K8" s="21"/>
      <c r="L8" s="21">
        <f>L5</f>
        <v>0</v>
      </c>
      <c r="M8" s="21">
        <f>M5</f>
        <v>0</v>
      </c>
      <c r="N8" s="21">
        <f>N5</f>
        <v>21364.123882500924</v>
      </c>
      <c r="O8" s="21">
        <f>O5</f>
        <v>464.31000000000006</v>
      </c>
      <c r="P8" s="21">
        <f>P5</f>
        <v>800.8</v>
      </c>
    </row>
    <row r="9" spans="1:16">
      <c r="B9" s="19"/>
      <c r="C9" s="19"/>
      <c r="D9" s="258"/>
      <c r="E9" s="19"/>
      <c r="F9" s="19"/>
      <c r="G9" s="19"/>
      <c r="H9" s="19"/>
      <c r="I9" s="19"/>
      <c r="J9" s="19"/>
      <c r="K9" s="19"/>
      <c r="L9" s="19"/>
      <c r="M9" s="19"/>
      <c r="N9" s="19"/>
      <c r="O9" s="19"/>
      <c r="P9" s="19"/>
    </row>
    <row r="10" spans="1:16">
      <c r="A10" s="24" t="s">
        <v>214</v>
      </c>
      <c r="B10" s="25">
        <f ca="1">'EF ele_warmte'!B12</f>
        <v>0.20180242025137832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10378.008144976362</v>
      </c>
      <c r="C12" s="23">
        <f ca="1">C10*C8</f>
        <v>0</v>
      </c>
      <c r="D12" s="23">
        <f>D8*D10</f>
        <v>27186.538723835041</v>
      </c>
      <c r="E12" s="23">
        <f>E10*E8</f>
        <v>2100.779819135958</v>
      </c>
      <c r="F12" s="23">
        <f>F10*F8</f>
        <v>0</v>
      </c>
      <c r="G12" s="23"/>
      <c r="H12" s="23"/>
      <c r="I12" s="23"/>
      <c r="J12" s="23">
        <f>J10*J8</f>
        <v>661.85845031350914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7206</v>
      </c>
      <c r="C18" s="166" t="s">
        <v>111</v>
      </c>
      <c r="D18" s="228"/>
      <c r="E18" s="15"/>
    </row>
    <row r="19" spans="1:7">
      <c r="A19" s="171" t="s">
        <v>72</v>
      </c>
      <c r="B19" s="37">
        <f>aantalw2001_ander</f>
        <v>0</v>
      </c>
      <c r="C19" s="166" t="s">
        <v>111</v>
      </c>
      <c r="D19" s="229"/>
      <c r="E19" s="15"/>
    </row>
    <row r="20" spans="1:7">
      <c r="A20" s="171" t="s">
        <v>73</v>
      </c>
      <c r="B20" s="37">
        <f>aantalw2001_propaan</f>
        <v>187</v>
      </c>
      <c r="C20" s="167">
        <f>IF(ISERROR(B20/SUM($B$20,$B$21,$B$22)*100),0,B20/SUM($B$20,$B$21,$B$22)*100)</f>
        <v>14.678178963893249</v>
      </c>
      <c r="D20" s="229"/>
      <c r="E20" s="15"/>
    </row>
    <row r="21" spans="1:7">
      <c r="A21" s="171" t="s">
        <v>74</v>
      </c>
      <c r="B21" s="37">
        <f>aantalw2001_elektriciteit</f>
        <v>935</v>
      </c>
      <c r="C21" s="167">
        <f>IF(ISERROR(B21/SUM($B$20,$B$21,$B$22)*100),0,B21/SUM($B$20,$B$21,$B$22)*100)</f>
        <v>73.39089481946624</v>
      </c>
      <c r="D21" s="229"/>
      <c r="E21" s="15"/>
    </row>
    <row r="22" spans="1:7">
      <c r="A22" s="171" t="s">
        <v>75</v>
      </c>
      <c r="B22" s="37">
        <f>aantalw2001_hout</f>
        <v>152</v>
      </c>
      <c r="C22" s="167">
        <f>IF(ISERROR(B22/SUM($B$20,$B$21,$B$22)*100),0,B22/SUM($B$20,$B$21,$B$22)*100)</f>
        <v>11.930926216640502</v>
      </c>
      <c r="D22" s="229"/>
      <c r="E22" s="15"/>
    </row>
    <row r="23" spans="1:7">
      <c r="A23" s="171" t="s">
        <v>76</v>
      </c>
      <c r="B23" s="37">
        <f>aantalw2001_niet_gespec</f>
        <v>190</v>
      </c>
      <c r="C23" s="166" t="s">
        <v>111</v>
      </c>
      <c r="D23" s="228"/>
      <c r="E23" s="15"/>
    </row>
    <row r="24" spans="1:7">
      <c r="A24" s="171" t="s">
        <v>77</v>
      </c>
      <c r="B24" s="37">
        <f>aantalw2001_steenkool</f>
        <v>354</v>
      </c>
      <c r="C24" s="166" t="s">
        <v>111</v>
      </c>
      <c r="D24" s="229"/>
      <c r="E24" s="15"/>
    </row>
    <row r="25" spans="1:7">
      <c r="A25" s="171" t="s">
        <v>78</v>
      </c>
      <c r="B25" s="37">
        <f>aantalw2001_stookolie</f>
        <v>2758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13032</v>
      </c>
      <c r="C28" s="36"/>
      <c r="D28" s="228"/>
    </row>
    <row r="29" spans="1:7" s="15" customFormat="1">
      <c r="A29" s="230" t="s">
        <v>699</v>
      </c>
      <c r="B29" s="37">
        <f>SUM(HH_hh_gas_aantal,HH_rest_gas_aantal)</f>
        <v>10142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10142</v>
      </c>
      <c r="C32" s="167">
        <f>IF(ISERROR(B32/SUM($B$32,$B$34,$B$35,$B$36,$B$38,$B$39)*100),0,B32/SUM($B$32,$B$34,$B$35,$B$36,$B$38,$B$39)*100)</f>
        <v>78.075442648190929</v>
      </c>
      <c r="D32" s="233"/>
      <c r="G32" s="15"/>
    </row>
    <row r="33" spans="1:7">
      <c r="A33" s="171" t="s">
        <v>72</v>
      </c>
      <c r="B33" s="34" t="s">
        <v>111</v>
      </c>
      <c r="C33" s="167"/>
      <c r="D33" s="233"/>
      <c r="G33" s="15"/>
    </row>
    <row r="34" spans="1:7">
      <c r="A34" s="171" t="s">
        <v>73</v>
      </c>
      <c r="B34" s="33">
        <f>IF((($B$28-$B$32-$B$39-$B$77-$B$38)*C20/100)&lt;0,0,($B$28-$B$32-$B$39-$B$77-$B$38)*C20/100)</f>
        <v>409.16891679748818</v>
      </c>
      <c r="C34" s="167">
        <f>IF(ISERROR(B34/SUM($B$32,$B$34,$B$35,$B$36,$B$38,$B$39)*100),0,B34/SUM($B$32,$B$34,$B$35,$B$36,$B$38,$B$39)*100)</f>
        <v>3.1498761878174615</v>
      </c>
      <c r="D34" s="233"/>
      <c r="G34" s="15"/>
    </row>
    <row r="35" spans="1:7">
      <c r="A35" s="171" t="s">
        <v>74</v>
      </c>
      <c r="B35" s="33">
        <f>IF((($B$28-$B$32-$B$39-$B$77-$B$38)*C21/100)&lt;0,0,($B$28-$B$32-$B$39-$B$77-$B$38)*C21/100)</f>
        <v>2045.844583987441</v>
      </c>
      <c r="C35" s="167">
        <f>IF(ISERROR(B35/SUM($B$32,$B$34,$B$35,$B$36,$B$38,$B$39)*100),0,B35/SUM($B$32,$B$34,$B$35,$B$36,$B$38,$B$39)*100)</f>
        <v>15.749380939087306</v>
      </c>
      <c r="D35" s="233"/>
      <c r="G35" s="15"/>
    </row>
    <row r="36" spans="1:7">
      <c r="A36" s="171" t="s">
        <v>75</v>
      </c>
      <c r="B36" s="33">
        <f>IF((($B$28-$B$32-$B$39-$B$77-$B$38)*C22/100)&lt;0,0,($B$28-$B$32-$B$39-$B$77-$B$38)*C22/100)</f>
        <v>332.58649921507066</v>
      </c>
      <c r="C36" s="167">
        <f>IF(ISERROR(B36/SUM($B$32,$B$34,$B$35,$B$36,$B$38,$B$39)*100),0,B36/SUM($B$32,$B$34,$B$35,$B$36,$B$38,$B$39)*100)</f>
        <v>2.5603271687072415</v>
      </c>
      <c r="D36" s="233"/>
      <c r="G36" s="15"/>
    </row>
    <row r="37" spans="1:7">
      <c r="A37" s="171" t="s">
        <v>76</v>
      </c>
      <c r="B37" s="34" t="s">
        <v>111</v>
      </c>
      <c r="C37" s="167"/>
      <c r="D37" s="173"/>
      <c r="G37" s="15"/>
    </row>
    <row r="38" spans="1:7">
      <c r="A38" s="171" t="s">
        <v>77</v>
      </c>
      <c r="B38" s="33">
        <f>IF((B24-(B29-B18)*0.1)&lt;0,0,B24-(B29-B18)*0.1)</f>
        <v>60.399999999999977</v>
      </c>
      <c r="C38" s="167">
        <f>IF(ISERROR(B38/SUM($B$32,$B$34,$B$35,$B$36,$B$38,$B$39)*100),0,B38/SUM($B$32,$B$34,$B$35,$B$36,$B$38,$B$39)*100)</f>
        <v>0.46497305619707452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10142</v>
      </c>
      <c r="C44" s="34" t="s">
        <v>111</v>
      </c>
      <c r="D44" s="174"/>
    </row>
    <row r="45" spans="1:7">
      <c r="A45" s="171" t="s">
        <v>72</v>
      </c>
      <c r="B45" s="33" t="str">
        <f t="shared" si="0"/>
        <v>-</v>
      </c>
      <c r="C45" s="34" t="s">
        <v>111</v>
      </c>
      <c r="D45" s="174"/>
    </row>
    <row r="46" spans="1:7">
      <c r="A46" s="171" t="s">
        <v>73</v>
      </c>
      <c r="B46" s="33">
        <f t="shared" si="0"/>
        <v>409.16891679748818</v>
      </c>
      <c r="C46" s="34" t="s">
        <v>111</v>
      </c>
      <c r="D46" s="174"/>
    </row>
    <row r="47" spans="1:7">
      <c r="A47" s="171" t="s">
        <v>74</v>
      </c>
      <c r="B47" s="33">
        <f t="shared" si="0"/>
        <v>2045.844583987441</v>
      </c>
      <c r="C47" s="34" t="s">
        <v>111</v>
      </c>
      <c r="D47" s="174"/>
    </row>
    <row r="48" spans="1:7">
      <c r="A48" s="171" t="s">
        <v>75</v>
      </c>
      <c r="B48" s="33">
        <f t="shared" si="0"/>
        <v>332.58649921507066</v>
      </c>
      <c r="C48" s="33">
        <f>B48*10</f>
        <v>3325.8649921507067</v>
      </c>
      <c r="D48" s="234"/>
    </row>
    <row r="49" spans="1:6">
      <c r="A49" s="171" t="s">
        <v>76</v>
      </c>
      <c r="B49" s="33" t="str">
        <f t="shared" si="0"/>
        <v>-</v>
      </c>
      <c r="C49" s="34" t="s">
        <v>111</v>
      </c>
      <c r="D49" s="234"/>
    </row>
    <row r="50" spans="1:6">
      <c r="A50" s="171" t="s">
        <v>77</v>
      </c>
      <c r="B50" s="33">
        <f t="shared" si="0"/>
        <v>60.399999999999977</v>
      </c>
      <c r="C50" s="33">
        <f>B50*2</f>
        <v>120.79999999999995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297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47310.465398613</v>
      </c>
      <c r="C5" s="17">
        <f>IF(ISERROR('Eigen informatie GS &amp; warmtenet'!B58),0,'Eigen informatie GS &amp; warmtenet'!B58)</f>
        <v>0</v>
      </c>
      <c r="D5" s="30">
        <f>SUM(D6:D12)</f>
        <v>48534.268517290388</v>
      </c>
      <c r="E5" s="17">
        <f>SUM(E6:E12)</f>
        <v>1061.8425138906089</v>
      </c>
      <c r="F5" s="17">
        <f>SUM(F6:F12)</f>
        <v>11325.5607648449</v>
      </c>
      <c r="G5" s="18"/>
      <c r="H5" s="17"/>
      <c r="I5" s="17"/>
      <c r="J5" s="17">
        <f>SUM(J6:J12)</f>
        <v>0</v>
      </c>
      <c r="K5" s="17"/>
      <c r="L5" s="17"/>
      <c r="M5" s="17"/>
      <c r="N5" s="17">
        <f>SUM(N6:N12)</f>
        <v>2733.6367130847998</v>
      </c>
      <c r="O5" s="17">
        <f>B38*B39*B40</f>
        <v>6.2533333333333339</v>
      </c>
      <c r="P5" s="17">
        <f>B46*B47*B48/1000-B46*B47*B48/1000/B49</f>
        <v>171.6</v>
      </c>
      <c r="R5" s="32"/>
    </row>
    <row r="6" spans="1:18">
      <c r="A6" s="32" t="s">
        <v>54</v>
      </c>
      <c r="B6" s="37">
        <f>B26</f>
        <v>15259.764999999999</v>
      </c>
      <c r="C6" s="33"/>
      <c r="D6" s="37">
        <f>IF(ISERROR(TER_kantoor_gas_kWh/1000),0,TER_kantoor_gas_kWh/1000)*0.902</f>
        <v>8292.4328852068011</v>
      </c>
      <c r="E6" s="33">
        <f>$C$26*'E Balans VL '!I12/100/3.6*1000000</f>
        <v>199.76912115479513</v>
      </c>
      <c r="F6" s="33">
        <f>$C$26*('E Balans VL '!L12+'E Balans VL '!N12)/100/3.6*1000000</f>
        <v>3891.0823864789286</v>
      </c>
      <c r="G6" s="34"/>
      <c r="H6" s="33"/>
      <c r="I6" s="33"/>
      <c r="J6" s="33">
        <f>$C$26*('E Balans VL '!D12+'E Balans VL '!E12)/100/3.6*1000000</f>
        <v>0</v>
      </c>
      <c r="K6" s="33"/>
      <c r="L6" s="33"/>
      <c r="M6" s="33"/>
      <c r="N6" s="33">
        <f>$C$26*'E Balans VL '!Y12/100/3.6*1000000</f>
        <v>15.311151441281616</v>
      </c>
      <c r="O6" s="33"/>
      <c r="P6" s="33"/>
      <c r="R6" s="32"/>
    </row>
    <row r="7" spans="1:18">
      <c r="A7" s="32" t="s">
        <v>53</v>
      </c>
      <c r="B7" s="37">
        <f t="shared" ref="B7:B12" si="0">B27</f>
        <v>3887.319</v>
      </c>
      <c r="C7" s="33"/>
      <c r="D7" s="37">
        <f>IF(ISERROR(TER_horeca_gas_kWh/1000),0,TER_horeca_gas_kWh/1000)*0.902</f>
        <v>6143.5008747992006</v>
      </c>
      <c r="E7" s="33">
        <f>$C$27*'E Balans VL '!I9/100/3.6*1000000</f>
        <v>128.64661313174253</v>
      </c>
      <c r="F7" s="33">
        <f>$C$27*('E Balans VL '!L9+'E Balans VL '!N9)/100/3.6*1000000</f>
        <v>1671.5322719890223</v>
      </c>
      <c r="G7" s="34"/>
      <c r="H7" s="33"/>
      <c r="I7" s="33"/>
      <c r="J7" s="33">
        <f>$C$27*('E Balans VL '!D9+'E Balans VL '!E9)/100/3.6*1000000</f>
        <v>0</v>
      </c>
      <c r="K7" s="33"/>
      <c r="L7" s="33"/>
      <c r="M7" s="33"/>
      <c r="N7" s="33">
        <f>$C$27*'E Balans VL '!Y9/100/3.6*1000000</f>
        <v>0.93573413336676003</v>
      </c>
      <c r="O7" s="33"/>
      <c r="P7" s="33"/>
      <c r="R7" s="32"/>
    </row>
    <row r="8" spans="1:18">
      <c r="A8" s="6" t="s">
        <v>52</v>
      </c>
      <c r="B8" s="37">
        <f t="shared" si="0"/>
        <v>23004.583999999999</v>
      </c>
      <c r="C8" s="33"/>
      <c r="D8" s="37">
        <f>IF(ISERROR(TER_handel_gas_kWh/1000),0,TER_handel_gas_kWh/1000)*0.902</f>
        <v>10920.258076442</v>
      </c>
      <c r="E8" s="33">
        <f>$C$28*'E Balans VL '!I13/100/3.6*1000000</f>
        <v>726.0598209980576</v>
      </c>
      <c r="F8" s="33">
        <f>$C$28*('E Balans VL '!L13+'E Balans VL '!N13)/100/3.6*1000000</f>
        <v>4511.6040079742979</v>
      </c>
      <c r="G8" s="34"/>
      <c r="H8" s="33"/>
      <c r="I8" s="33"/>
      <c r="J8" s="33">
        <f>$C$28*('E Balans VL '!D13+'E Balans VL '!E13)/100/3.6*1000000</f>
        <v>0</v>
      </c>
      <c r="K8" s="33"/>
      <c r="L8" s="33"/>
      <c r="M8" s="33"/>
      <c r="N8" s="33">
        <f>$C$28*'E Balans VL '!Y13/100/3.6*1000000</f>
        <v>27.301974922846597</v>
      </c>
      <c r="O8" s="33"/>
      <c r="P8" s="33"/>
      <c r="R8" s="32"/>
    </row>
    <row r="9" spans="1:18">
      <c r="A9" s="32" t="s">
        <v>51</v>
      </c>
      <c r="B9" s="37">
        <f t="shared" si="0"/>
        <v>1185.7840000000001</v>
      </c>
      <c r="C9" s="33"/>
      <c r="D9" s="37">
        <f>IF(ISERROR(TER_gezond_gas_kWh/1000),0,TER_gezond_gas_kWh/1000)*0.902</f>
        <v>899.79323552337996</v>
      </c>
      <c r="E9" s="33">
        <f>$C$29*'E Balans VL '!I10/100/3.6*1000000</f>
        <v>0.15181504134122861</v>
      </c>
      <c r="F9" s="33">
        <f>$C$29*('E Balans VL '!L10+'E Balans VL '!N10)/100/3.6*1000000</f>
        <v>247.04850796218602</v>
      </c>
      <c r="G9" s="34"/>
      <c r="H9" s="33"/>
      <c r="I9" s="33"/>
      <c r="J9" s="33">
        <f>$C$29*('E Balans VL '!D10+'E Balans VL '!E10)/100/3.6*1000000</f>
        <v>0</v>
      </c>
      <c r="K9" s="33"/>
      <c r="L9" s="33"/>
      <c r="M9" s="33"/>
      <c r="N9" s="33">
        <f>$C$29*'E Balans VL '!Y10/100/3.6*1000000</f>
        <v>13.927593555201737</v>
      </c>
      <c r="O9" s="33"/>
      <c r="P9" s="33"/>
      <c r="R9" s="32"/>
    </row>
    <row r="10" spans="1:18">
      <c r="A10" s="32" t="s">
        <v>50</v>
      </c>
      <c r="B10" s="37">
        <f t="shared" si="0"/>
        <v>3386.9279999999999</v>
      </c>
      <c r="C10" s="33"/>
      <c r="D10" s="37">
        <f>IF(ISERROR(TER_ander_gas_kWh/1000),0,TER_ander_gas_kWh/1000)*0.902</f>
        <v>12371.947040178002</v>
      </c>
      <c r="E10" s="33">
        <f>$C$30*'E Balans VL '!I14/100/3.6*1000000</f>
        <v>5.0931432230856348</v>
      </c>
      <c r="F10" s="33">
        <f>$C$30*('E Balans VL '!L14+'E Balans VL '!N14)/100/3.6*1000000</f>
        <v>747.72452614089411</v>
      </c>
      <c r="G10" s="34"/>
      <c r="H10" s="33"/>
      <c r="I10" s="33"/>
      <c r="J10" s="33">
        <f>$C$30*('E Balans VL '!D14+'E Balans VL '!E14)/100/3.6*1000000</f>
        <v>0</v>
      </c>
      <c r="K10" s="33"/>
      <c r="L10" s="33"/>
      <c r="M10" s="33"/>
      <c r="N10" s="33">
        <f>$C$30*'E Balans VL '!Y14/100/3.6*1000000</f>
        <v>2669.1271956605206</v>
      </c>
      <c r="O10" s="33"/>
      <c r="P10" s="33"/>
      <c r="R10" s="32"/>
    </row>
    <row r="11" spans="1:18">
      <c r="A11" s="32" t="s">
        <v>55</v>
      </c>
      <c r="B11" s="37">
        <f t="shared" si="0"/>
        <v>517.30499999999995</v>
      </c>
      <c r="C11" s="33"/>
      <c r="D11" s="37">
        <f>IF(ISERROR(TER_onderwijs_gas_kWh/1000),0,TER_onderwijs_gas_kWh/1000)*0.902</f>
        <v>1305.5223709351999</v>
      </c>
      <c r="E11" s="33">
        <f>$C$31*'E Balans VL '!I11/100/3.6*1000000</f>
        <v>0.91101745500915465</v>
      </c>
      <c r="F11" s="33">
        <f>$C$31*('E Balans VL '!L11+'E Balans VL '!N11)/100/3.6*1000000</f>
        <v>238.84907911849325</v>
      </c>
      <c r="G11" s="34"/>
      <c r="H11" s="33"/>
      <c r="I11" s="33"/>
      <c r="J11" s="33">
        <f>$C$31*('E Balans VL '!D11+'E Balans VL '!E11)/100/3.6*1000000</f>
        <v>0</v>
      </c>
      <c r="K11" s="33"/>
      <c r="L11" s="33"/>
      <c r="M11" s="33"/>
      <c r="N11" s="33">
        <f>$C$31*'E Balans VL '!Y11/100/3.6*1000000</f>
        <v>0.96374636869637098</v>
      </c>
      <c r="O11" s="33"/>
      <c r="P11" s="33"/>
      <c r="R11" s="32"/>
    </row>
    <row r="12" spans="1:18">
      <c r="A12" s="32" t="s">
        <v>260</v>
      </c>
      <c r="B12" s="37">
        <f t="shared" si="0"/>
        <v>68.780398613000003</v>
      </c>
      <c r="C12" s="33"/>
      <c r="D12" s="37">
        <f>IF(ISERROR(TER_rest_gas_kWh/1000),0,TER_rest_gas_kWh/1000)*0.902</f>
        <v>8600.8140342058014</v>
      </c>
      <c r="E12" s="33">
        <f>$C$32*'E Balans VL '!I8/100/3.6*1000000</f>
        <v>1.2109828865774759</v>
      </c>
      <c r="F12" s="33">
        <f>$C$32*('E Balans VL '!L8+'E Balans VL '!N8)/100/3.6*1000000</f>
        <v>17.71998518107797</v>
      </c>
      <c r="G12" s="34"/>
      <c r="H12" s="33"/>
      <c r="I12" s="33"/>
      <c r="J12" s="33">
        <f>$C$32*('E Balans VL '!D8+'E Balans VL '!E8)/100/3.6*1000000</f>
        <v>0</v>
      </c>
      <c r="K12" s="33"/>
      <c r="L12" s="33"/>
      <c r="M12" s="33"/>
      <c r="N12" s="33">
        <f>$C$32*'E Balans VL '!Y8/100/3.6*1000000</f>
        <v>6.0693170028864287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47310.465398613</v>
      </c>
      <c r="C16" s="21">
        <f t="shared" ca="1" si="1"/>
        <v>0</v>
      </c>
      <c r="D16" s="21">
        <f t="shared" ca="1" si="1"/>
        <v>48534.268517290388</v>
      </c>
      <c r="E16" s="21">
        <f t="shared" si="1"/>
        <v>1061.8425138906089</v>
      </c>
      <c r="F16" s="21">
        <f t="shared" ca="1" si="1"/>
        <v>11325.5607648449</v>
      </c>
      <c r="G16" s="21">
        <f t="shared" si="1"/>
        <v>0</v>
      </c>
      <c r="H16" s="21">
        <f t="shared" si="1"/>
        <v>0</v>
      </c>
      <c r="I16" s="21">
        <f t="shared" si="1"/>
        <v>0</v>
      </c>
      <c r="J16" s="21">
        <f t="shared" si="1"/>
        <v>0</v>
      </c>
      <c r="K16" s="21">
        <f t="shared" si="1"/>
        <v>0</v>
      </c>
      <c r="L16" s="21">
        <f t="shared" ca="1" si="1"/>
        <v>0</v>
      </c>
      <c r="M16" s="21">
        <f t="shared" si="1"/>
        <v>0</v>
      </c>
      <c r="N16" s="21">
        <f t="shared" ca="1" si="1"/>
        <v>2733.6367130847998</v>
      </c>
      <c r="O16" s="21">
        <f>O5</f>
        <v>6.2533333333333339</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0.20180242025137832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9547.366420659193</v>
      </c>
      <c r="C20" s="23">
        <f t="shared" ref="C20:P20" ca="1" si="2">C16*C18</f>
        <v>0</v>
      </c>
      <c r="D20" s="23">
        <f t="shared" ca="1" si="2"/>
        <v>9803.9222404926586</v>
      </c>
      <c r="E20" s="23">
        <f t="shared" si="2"/>
        <v>241.03825065316823</v>
      </c>
      <c r="F20" s="23">
        <f t="shared" ca="1" si="2"/>
        <v>3023.9247242135884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15259.764999999999</v>
      </c>
      <c r="C26" s="39">
        <f>IF(ISERROR(B26*3.6/1000000/'E Balans VL '!Z12*100),0,B26*3.6/1000000/'E Balans VL '!Z12*100)</f>
        <v>0.32687602114980618</v>
      </c>
      <c r="D26" s="237" t="s">
        <v>660</v>
      </c>
      <c r="F26" s="6"/>
    </row>
    <row r="27" spans="1:18">
      <c r="A27" s="231" t="s">
        <v>53</v>
      </c>
      <c r="B27" s="33">
        <f>IF(ISERROR(TER_horeca_ele_kWh/1000),0,TER_horeca_ele_kWh/1000)</f>
        <v>3887.319</v>
      </c>
      <c r="C27" s="39">
        <f>IF(ISERROR(B27*3.6/1000000/'E Balans VL '!Z9*100),0,B27*3.6/1000000/'E Balans VL '!Z9*100)</f>
        <v>0.31194383756707711</v>
      </c>
      <c r="D27" s="237" t="s">
        <v>660</v>
      </c>
      <c r="F27" s="6"/>
    </row>
    <row r="28" spans="1:18">
      <c r="A28" s="171" t="s">
        <v>52</v>
      </c>
      <c r="B28" s="33">
        <f>IF(ISERROR(TER_handel_ele_kWh/1000),0,TER_handel_ele_kWh/1000)</f>
        <v>23004.583999999999</v>
      </c>
      <c r="C28" s="39">
        <f>IF(ISERROR(B28*3.6/1000000/'E Balans VL '!Z13*100),0,B28*3.6/1000000/'E Balans VL '!Z13*100)</f>
        <v>0.67850327896919527</v>
      </c>
      <c r="D28" s="237" t="s">
        <v>660</v>
      </c>
      <c r="F28" s="6"/>
    </row>
    <row r="29" spans="1:18">
      <c r="A29" s="231" t="s">
        <v>51</v>
      </c>
      <c r="B29" s="33">
        <f>IF(ISERROR(TER_gezond_ele_kWh/1000),0,TER_gezond_ele_kWh/1000)</f>
        <v>1185.7840000000001</v>
      </c>
      <c r="C29" s="39">
        <f>IF(ISERROR(B29*3.6/1000000/'E Balans VL '!Z10*100),0,B29*3.6/1000000/'E Balans VL '!Z10*100)</f>
        <v>0.12660993913876756</v>
      </c>
      <c r="D29" s="237" t="s">
        <v>660</v>
      </c>
      <c r="F29" s="6"/>
    </row>
    <row r="30" spans="1:18">
      <c r="A30" s="231" t="s">
        <v>50</v>
      </c>
      <c r="B30" s="33">
        <f>IF(ISERROR(TER_ander_ele_kWh/1000),0,TER_ander_ele_kWh/1000)</f>
        <v>3386.9279999999999</v>
      </c>
      <c r="C30" s="39">
        <f>IF(ISERROR(B30*3.6/1000000/'E Balans VL '!Z14*100),0,B30*3.6/1000000/'E Balans VL '!Z14*100)</f>
        <v>0.25582797176978106</v>
      </c>
      <c r="D30" s="237" t="s">
        <v>660</v>
      </c>
      <c r="F30" s="6"/>
    </row>
    <row r="31" spans="1:18">
      <c r="A31" s="231" t="s">
        <v>55</v>
      </c>
      <c r="B31" s="33">
        <f>IF(ISERROR(TER_onderwijs_ele_kWh/1000),0,TER_onderwijs_ele_kWh/1000)</f>
        <v>517.30499999999995</v>
      </c>
      <c r="C31" s="39">
        <f>IF(ISERROR(B31*3.6/1000000/'E Balans VL '!Z11*100),0,B31*3.6/1000000/'E Balans VL '!Z11*100)</f>
        <v>0.10446114847500106</v>
      </c>
      <c r="D31" s="237" t="s">
        <v>660</v>
      </c>
    </row>
    <row r="32" spans="1:18">
      <c r="A32" s="231" t="s">
        <v>260</v>
      </c>
      <c r="B32" s="33">
        <f>IF(ISERROR(TER_rest_ele_kWh/1000),0,TER_rest_ele_kWh/1000)</f>
        <v>68.780398613000003</v>
      </c>
      <c r="C32" s="39">
        <f>IF(ISERROR(B32*3.6/1000000/'E Balans VL '!Z8*100),0,B32*3.6/1000000/'E Balans VL '!Z8*100)</f>
        <v>5.7028528051589905E-4</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9</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82127.728000000003</v>
      </c>
      <c r="C5" s="17">
        <f>IF(ISERROR('Eigen informatie GS &amp; warmtenet'!B59),0,'Eigen informatie GS &amp; warmtenet'!B59)</f>
        <v>0</v>
      </c>
      <c r="D5" s="30">
        <f>SUM(D6:D15)</f>
        <v>118150.63927392001</v>
      </c>
      <c r="E5" s="17">
        <f>SUM(E6:E15)</f>
        <v>7092.8159837033209</v>
      </c>
      <c r="F5" s="17">
        <f>SUM(F6:F15)</f>
        <v>32867.573697574786</v>
      </c>
      <c r="G5" s="18"/>
      <c r="H5" s="17"/>
      <c r="I5" s="17"/>
      <c r="J5" s="17">
        <f>SUM(J6:J15)</f>
        <v>3102.583892817478</v>
      </c>
      <c r="K5" s="17"/>
      <c r="L5" s="17"/>
      <c r="M5" s="17"/>
      <c r="N5" s="17">
        <f>SUM(N6:N15)</f>
        <v>17628.174947355528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5891.4359999999997</v>
      </c>
      <c r="C7" s="33"/>
      <c r="D7" s="37">
        <f>IF( ISERROR(IND_nonf_gas_kWhh/1000),0,IND_nonf_gas_kWh/1000)*0.902</f>
        <v>0</v>
      </c>
      <c r="E7" s="33">
        <f>C29*'E Balans VL '!I17/100/3.6*1000000</f>
        <v>73.180452356558305</v>
      </c>
      <c r="F7" s="33">
        <f>C29*'E Balans VL '!L17/100/3.6*1000000+C29*'E Balans VL '!N17/100/3.6*1000000</f>
        <v>1558.9661388633458</v>
      </c>
      <c r="G7" s="34"/>
      <c r="H7" s="33"/>
      <c r="I7" s="33"/>
      <c r="J7" s="40">
        <f>C29*'E Balans VL '!D17/100/3.6*1000000+C29*'E Balans VL '!E17/100/3.6*1000000</f>
        <v>2936.9049365722208</v>
      </c>
      <c r="K7" s="33"/>
      <c r="L7" s="33"/>
      <c r="M7" s="33"/>
      <c r="N7" s="33">
        <f>C29*'E Balans VL '!Y17/100/3.6*1000000</f>
        <v>0</v>
      </c>
      <c r="O7" s="33"/>
      <c r="P7" s="33"/>
      <c r="R7" s="32"/>
    </row>
    <row r="8" spans="1:18">
      <c r="A8" s="6" t="s">
        <v>36</v>
      </c>
      <c r="B8" s="37">
        <f t="shared" si="0"/>
        <v>15812.879000000001</v>
      </c>
      <c r="C8" s="33"/>
      <c r="D8" s="37">
        <f>IF( ISERROR(IND_metaal_Gas_kWH/1000),0,IND_metaal_Gas_kWH/1000)*0.902</f>
        <v>525.31482289682003</v>
      </c>
      <c r="E8" s="33">
        <f>C30*'E Balans VL '!I18/100/3.6*1000000</f>
        <v>568.99522362176344</v>
      </c>
      <c r="F8" s="33">
        <f>C30*'E Balans VL '!L18/100/3.6*1000000+C30*'E Balans VL '!N18/100/3.6*1000000</f>
        <v>6904.9716609132138</v>
      </c>
      <c r="G8" s="34"/>
      <c r="H8" s="33"/>
      <c r="I8" s="33"/>
      <c r="J8" s="40">
        <f>C30*'E Balans VL '!D18/100/3.6*1000000+C30*'E Balans VL '!E18/100/3.6*1000000</f>
        <v>0</v>
      </c>
      <c r="K8" s="33"/>
      <c r="L8" s="33"/>
      <c r="M8" s="33"/>
      <c r="N8" s="33">
        <f>C30*'E Balans VL '!Y18/100/3.6*1000000</f>
        <v>792.53074949007873</v>
      </c>
      <c r="O8" s="33"/>
      <c r="P8" s="33"/>
      <c r="R8" s="32"/>
    </row>
    <row r="9" spans="1:18">
      <c r="A9" s="6" t="s">
        <v>33</v>
      </c>
      <c r="B9" s="37">
        <f t="shared" si="0"/>
        <v>23415.597000000002</v>
      </c>
      <c r="C9" s="33"/>
      <c r="D9" s="37">
        <f>IF( ISERROR(IND_andere_gas_kWh/1000),0,IND_andere_gas_kWh/1000)*0.902</f>
        <v>11577.169379424002</v>
      </c>
      <c r="E9" s="33">
        <f>C31*'E Balans VL '!I19/100/3.6*1000000</f>
        <v>5975.1305616789341</v>
      </c>
      <c r="F9" s="33">
        <f>C31*'E Balans VL '!L19/100/3.6*1000000+C31*'E Balans VL '!N19/100/3.6*1000000</f>
        <v>20159.069032307161</v>
      </c>
      <c r="G9" s="34"/>
      <c r="H9" s="33"/>
      <c r="I9" s="33"/>
      <c r="J9" s="40">
        <f>C31*'E Balans VL '!D19/100/3.6*1000000+C31*'E Balans VL '!E19/100/3.6*1000000</f>
        <v>0</v>
      </c>
      <c r="K9" s="33"/>
      <c r="L9" s="33"/>
      <c r="M9" s="33"/>
      <c r="N9" s="33">
        <f>C31*'E Balans VL '!Y19/100/3.6*1000000</f>
        <v>7322.8590823477489</v>
      </c>
      <c r="O9" s="33"/>
      <c r="P9" s="33"/>
      <c r="R9" s="32"/>
    </row>
    <row r="10" spans="1:18">
      <c r="A10" s="6" t="s">
        <v>41</v>
      </c>
      <c r="B10" s="37">
        <f t="shared" si="0"/>
        <v>13141.762000000001</v>
      </c>
      <c r="C10" s="33"/>
      <c r="D10" s="37">
        <f>IF( ISERROR(IND_voed_gas_kWh/1000),0,IND_voed_gas_kWh/1000)*0.902</f>
        <v>1478.3989344278</v>
      </c>
      <c r="E10" s="33">
        <f>C32*'E Balans VL '!I20/100/3.6*1000000</f>
        <v>334.08163515799293</v>
      </c>
      <c r="F10" s="33">
        <f>C32*'E Balans VL '!L20/100/3.6*1000000+C32*'E Balans VL '!N20/100/3.6*1000000</f>
        <v>2973.7834657393855</v>
      </c>
      <c r="G10" s="34"/>
      <c r="H10" s="33"/>
      <c r="I10" s="33"/>
      <c r="J10" s="40">
        <f>C32*'E Balans VL '!D20/100/3.6*1000000+C32*'E Balans VL '!E20/100/3.6*1000000</f>
        <v>0</v>
      </c>
      <c r="K10" s="33"/>
      <c r="L10" s="33"/>
      <c r="M10" s="33"/>
      <c r="N10" s="33">
        <f>C32*'E Balans VL '!Y20/100/3.6*1000000</f>
        <v>4928.5169714705044</v>
      </c>
      <c r="O10" s="33"/>
      <c r="P10" s="33"/>
      <c r="R10" s="32"/>
    </row>
    <row r="11" spans="1:18">
      <c r="A11" s="6" t="s">
        <v>40</v>
      </c>
      <c r="B11" s="37">
        <f t="shared" si="0"/>
        <v>15481.013000000001</v>
      </c>
      <c r="C11" s="33"/>
      <c r="D11" s="37">
        <f>IF( ISERROR(IND_textiel_gas_kWh/1000),0,IND_textiel_gas_kWh/1000)*0.902</f>
        <v>35505.649747413998</v>
      </c>
      <c r="E11" s="33">
        <f>C33*'E Balans VL '!I21/100/3.6*1000000</f>
        <v>42.499543883139708</v>
      </c>
      <c r="F11" s="33">
        <f>C33*'E Balans VL '!L21/100/3.6*1000000+C33*'E Balans VL '!N21/100/3.6*1000000</f>
        <v>820.73879156546946</v>
      </c>
      <c r="G11" s="34"/>
      <c r="H11" s="33"/>
      <c r="I11" s="33"/>
      <c r="J11" s="40">
        <f>C33*'E Balans VL '!D21/100/3.6*1000000+C33*'E Balans VL '!E21/100/3.6*1000000</f>
        <v>0</v>
      </c>
      <c r="K11" s="33"/>
      <c r="L11" s="33"/>
      <c r="M11" s="33"/>
      <c r="N11" s="33">
        <f>C33*'E Balans VL '!Y21/100/3.6*1000000</f>
        <v>31.114274291621264</v>
      </c>
      <c r="O11" s="33"/>
      <c r="P11" s="33"/>
      <c r="R11" s="32"/>
    </row>
    <row r="12" spans="1:18">
      <c r="A12" s="6" t="s">
        <v>37</v>
      </c>
      <c r="B12" s="37">
        <f t="shared" si="0"/>
        <v>531.01499999999999</v>
      </c>
      <c r="C12" s="33"/>
      <c r="D12" s="37">
        <f>IF( ISERROR(IND_min_gas_kWh/1000),0,IND_min_gas_kWh/1000)*0.902</f>
        <v>0</v>
      </c>
      <c r="E12" s="33">
        <f>C34*'E Balans VL '!I22/100/3.6*1000000</f>
        <v>11.282737908410517</v>
      </c>
      <c r="F12" s="33">
        <f>C34*'E Balans VL '!L22/100/3.6*1000000+C34*'E Balans VL '!N22/100/3.6*1000000</f>
        <v>86.639622612196334</v>
      </c>
      <c r="G12" s="34"/>
      <c r="H12" s="33"/>
      <c r="I12" s="33"/>
      <c r="J12" s="40">
        <f>C34*'E Balans VL '!D22/100/3.6*1000000+C34*'E Balans VL '!E22/100/3.6*1000000</f>
        <v>0.61868202959165342</v>
      </c>
      <c r="K12" s="33"/>
      <c r="L12" s="33"/>
      <c r="M12" s="33"/>
      <c r="N12" s="33">
        <f>C34*'E Balans VL '!Y22/100/3.6*1000000</f>
        <v>0</v>
      </c>
      <c r="O12" s="33"/>
      <c r="P12" s="33"/>
      <c r="R12" s="32"/>
    </row>
    <row r="13" spans="1:18">
      <c r="A13" s="6" t="s">
        <v>39</v>
      </c>
      <c r="B13" s="37">
        <f t="shared" si="0"/>
        <v>2315.1990000000001</v>
      </c>
      <c r="C13" s="33"/>
      <c r="D13" s="37">
        <f>IF( ISERROR(IND_papier_gas_kWh/1000),0,IND_papier_gas_kWh/1000)*0.902</f>
        <v>116.35089150938002</v>
      </c>
      <c r="E13" s="33">
        <f>C35*'E Balans VL '!I23/100/3.6*1000000</f>
        <v>9.9292149784383934</v>
      </c>
      <c r="F13" s="33">
        <f>C35*'E Balans VL '!L23/100/3.6*1000000+C35*'E Balans VL '!N23/100/3.6*1000000</f>
        <v>58.188136790240009</v>
      </c>
      <c r="G13" s="34"/>
      <c r="H13" s="33"/>
      <c r="I13" s="33"/>
      <c r="J13" s="40">
        <f>C35*'E Balans VL '!D23/100/3.6*1000000+C35*'E Balans VL '!E23/100/3.6*1000000</f>
        <v>154.98987470584359</v>
      </c>
      <c r="K13" s="33"/>
      <c r="L13" s="33"/>
      <c r="M13" s="33"/>
      <c r="N13" s="33">
        <f>C35*'E Balans VL '!Y23/100/3.6*1000000</f>
        <v>4214.2127553279533</v>
      </c>
      <c r="O13" s="33"/>
      <c r="P13" s="33"/>
      <c r="R13" s="32"/>
    </row>
    <row r="14" spans="1:18">
      <c r="A14" s="6" t="s">
        <v>34</v>
      </c>
      <c r="B14" s="37">
        <f t="shared" si="0"/>
        <v>4296.6589999999997</v>
      </c>
      <c r="C14" s="33"/>
      <c r="D14" s="37">
        <f>IF( ISERROR(IND_chemie_gas_kWh/1000),0,IND_chemie_gas_kWh/1000)*0.902</f>
        <v>0</v>
      </c>
      <c r="E14" s="33">
        <f>C36*'E Balans VL '!I24/100/3.6*1000000</f>
        <v>10.300566937492357</v>
      </c>
      <c r="F14" s="33">
        <f>C36*'E Balans VL '!L24/100/3.6*1000000+C36*'E Balans VL '!N24/100/3.6*1000000</f>
        <v>34.481660397436407</v>
      </c>
      <c r="G14" s="34"/>
      <c r="H14" s="33"/>
      <c r="I14" s="33"/>
      <c r="J14" s="40">
        <f>C36*'E Balans VL '!D24/100/3.6*1000000+C36*'E Balans VL '!E24/100/3.6*1000000</f>
        <v>0</v>
      </c>
      <c r="K14" s="33"/>
      <c r="L14" s="33"/>
      <c r="M14" s="33"/>
      <c r="N14" s="33">
        <f>C36*'E Balans VL '!Y24/100/3.6*1000000</f>
        <v>88.808610498802295</v>
      </c>
      <c r="O14" s="33"/>
      <c r="P14" s="33"/>
      <c r="R14" s="32"/>
    </row>
    <row r="15" spans="1:18">
      <c r="A15" s="6" t="s">
        <v>270</v>
      </c>
      <c r="B15" s="37">
        <f t="shared" si="0"/>
        <v>1242.1679999999999</v>
      </c>
      <c r="C15" s="33"/>
      <c r="D15" s="37">
        <f>IF( ISERROR(IND_rest_gas_kWh/1000),0,IND_rest_gas_kWh/1000)*0.902</f>
        <v>68947.755498248007</v>
      </c>
      <c r="E15" s="33">
        <f>C37*'E Balans VL '!I15/100/3.6*1000000</f>
        <v>67.416047180591036</v>
      </c>
      <c r="F15" s="33">
        <f>C37*'E Balans VL '!L15/100/3.6*1000000+C37*'E Balans VL '!N15/100/3.6*1000000</f>
        <v>270.73518838633925</v>
      </c>
      <c r="G15" s="34"/>
      <c r="H15" s="33"/>
      <c r="I15" s="33"/>
      <c r="J15" s="40">
        <f>C37*'E Balans VL '!D15/100/3.6*1000000+C37*'E Balans VL '!E15/100/3.6*1000000</f>
        <v>10.070399509821783</v>
      </c>
      <c r="K15" s="33"/>
      <c r="L15" s="33"/>
      <c r="M15" s="33"/>
      <c r="N15" s="33">
        <f>C37*'E Balans VL '!Y15/100/3.6*1000000</f>
        <v>250.13250392881633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82127.728000000003</v>
      </c>
      <c r="C18" s="21">
        <f>C5+C16</f>
        <v>0</v>
      </c>
      <c r="D18" s="21">
        <f>MAX((D5+D16),0)</f>
        <v>118150.63927392001</v>
      </c>
      <c r="E18" s="21">
        <f>MAX((E5+E16),0)</f>
        <v>7092.8159837033209</v>
      </c>
      <c r="F18" s="21">
        <f>MAX((F5+F16),0)</f>
        <v>32867.573697574786</v>
      </c>
      <c r="G18" s="21"/>
      <c r="H18" s="21"/>
      <c r="I18" s="21"/>
      <c r="J18" s="21">
        <f>MAX((J5+J16),0)</f>
        <v>3102.583892817478</v>
      </c>
      <c r="K18" s="21"/>
      <c r="L18" s="21">
        <f>MAX((L5+L16),0)</f>
        <v>0</v>
      </c>
      <c r="M18" s="21"/>
      <c r="N18" s="21">
        <f>MAX((N5+N16),0)</f>
        <v>17628.174947355528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0.20180242025137832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16573.574280146891</v>
      </c>
      <c r="C22" s="23">
        <f ca="1">C18*C20</f>
        <v>0</v>
      </c>
      <c r="D22" s="23">
        <f>D18*D20</f>
        <v>23866.429133331843</v>
      </c>
      <c r="E22" s="23">
        <f>E18*E20</f>
        <v>1610.0692283006538</v>
      </c>
      <c r="F22" s="23">
        <f>F18*F20</f>
        <v>8775.6421772524682</v>
      </c>
      <c r="G22" s="23"/>
      <c r="H22" s="23"/>
      <c r="I22" s="23"/>
      <c r="J22" s="23">
        <f>J18*J20</f>
        <v>1098.3146980573872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5891.4359999999997</v>
      </c>
      <c r="C29" s="39">
        <f>IF(ISERROR(B29*3.6/1000000/'E Balans VL '!Z17*100),0,B29*3.6/1000000/'E Balans VL '!Z17*100)</f>
        <v>6.290941215328842</v>
      </c>
      <c r="D29" s="237" t="s">
        <v>660</v>
      </c>
    </row>
    <row r="30" spans="1:18">
      <c r="A30" s="171" t="s">
        <v>36</v>
      </c>
      <c r="B30" s="37">
        <f>IF( ISERROR(IND_metaal_ele_kWh/1000),0,IND_metaal_ele_kWh/1000)</f>
        <v>15812.879000000001</v>
      </c>
      <c r="C30" s="39">
        <f>IF(ISERROR(B30*3.6/1000000/'E Balans VL '!Z18*100),0,B30*3.6/1000000/'E Balans VL '!Z18*100)</f>
        <v>3.3504100409092747</v>
      </c>
      <c r="D30" s="237" t="s">
        <v>660</v>
      </c>
    </row>
    <row r="31" spans="1:18">
      <c r="A31" s="6" t="s">
        <v>33</v>
      </c>
      <c r="B31" s="37">
        <f>IF( ISERROR(IND_ander_ele_kWh/1000),0,IND_ander_ele_kWh/1000)</f>
        <v>23415.597000000002</v>
      </c>
      <c r="C31" s="39">
        <f>IF(ISERROR(B31*3.6/1000000/'E Balans VL '!Z19*100),0,B31*3.6/1000000/'E Balans VL '!Z19*100)</f>
        <v>0.98561564670975144</v>
      </c>
      <c r="D31" s="237" t="s">
        <v>660</v>
      </c>
    </row>
    <row r="32" spans="1:18">
      <c r="A32" s="171" t="s">
        <v>41</v>
      </c>
      <c r="B32" s="37">
        <f>IF( ISERROR(IND_voed_ele_kWh/1000),0,IND_voed_ele_kWh/1000)</f>
        <v>13141.762000000001</v>
      </c>
      <c r="C32" s="39">
        <f>IF(ISERROR(B32*3.6/1000000/'E Balans VL '!Z20*100),0,B32*3.6/1000000/'E Balans VL '!Z20*100)</f>
        <v>2.1954800309107085</v>
      </c>
      <c r="D32" s="237" t="s">
        <v>660</v>
      </c>
    </row>
    <row r="33" spans="1:5">
      <c r="A33" s="171" t="s">
        <v>40</v>
      </c>
      <c r="B33" s="37">
        <f>IF( ISERROR(IND_textiel_ele_kWh/1000),0,IND_textiel_ele_kWh/1000)</f>
        <v>15481.013000000001</v>
      </c>
      <c r="C33" s="39">
        <f>IF(ISERROR(B33*3.6/1000000/'E Balans VL '!Z21*100),0,B33*3.6/1000000/'E Balans VL '!Z21*100)</f>
        <v>0.90382786613278898</v>
      </c>
      <c r="D33" s="237" t="s">
        <v>660</v>
      </c>
    </row>
    <row r="34" spans="1:5">
      <c r="A34" s="171" t="s">
        <v>37</v>
      </c>
      <c r="B34" s="37">
        <f>IF( ISERROR(IND_min_ele_kWh/1000),0,IND_min_ele_kWh/1000)</f>
        <v>531.01499999999999</v>
      </c>
      <c r="C34" s="39">
        <f>IF(ISERROR(B34*3.6/1000000/'E Balans VL '!Z22*100),0,B34*3.6/1000000/'E Balans VL '!Z22*100)</f>
        <v>6.7309015005437012E-2</v>
      </c>
      <c r="D34" s="237" t="s">
        <v>660</v>
      </c>
    </row>
    <row r="35" spans="1:5">
      <c r="A35" s="171" t="s">
        <v>39</v>
      </c>
      <c r="B35" s="37">
        <f>IF( ISERROR(IND_papier_ele_kWh/1000),0,IND_papier_ele_kWh/1000)</f>
        <v>2315.1990000000001</v>
      </c>
      <c r="C35" s="39">
        <f>IF(ISERROR(B35*3.6/1000000/'E Balans VL '!Z22*100),0,B35*3.6/1000000/'E Balans VL '!Z22*100)</f>
        <v>0.29346395908133061</v>
      </c>
      <c r="D35" s="237" t="s">
        <v>660</v>
      </c>
    </row>
    <row r="36" spans="1:5">
      <c r="A36" s="171" t="s">
        <v>34</v>
      </c>
      <c r="B36" s="37">
        <f>IF( ISERROR(IND_chemie_ele_kWh/1000),0,IND_chemie_ele_kWh/1000)</f>
        <v>4296.6589999999997</v>
      </c>
      <c r="C36" s="39">
        <f>IF(ISERROR(B36*3.6/1000000/'E Balans VL '!Z24*100),0,B36*3.6/1000000/'E Balans VL '!Z24*100)</f>
        <v>0.13955562287744833</v>
      </c>
      <c r="D36" s="237" t="s">
        <v>660</v>
      </c>
    </row>
    <row r="37" spans="1:5">
      <c r="A37" s="171" t="s">
        <v>270</v>
      </c>
      <c r="B37" s="37">
        <f>IF( ISERROR(IND_rest_ele_kWh/1000),0,IND_rest_ele_kWh/1000)</f>
        <v>1242.1679999999999</v>
      </c>
      <c r="C37" s="39">
        <f>IF(ISERROR(B37*3.6/1000000/'E Balans VL '!Z15*100),0,B37*3.6/1000000/'E Balans VL '!Z15*100)</f>
        <v>1.002850325349515E-2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3540.18</v>
      </c>
      <c r="C5" s="17">
        <f>'Eigen informatie GS &amp; warmtenet'!B60</f>
        <v>0</v>
      </c>
      <c r="D5" s="30">
        <f>IF(ISERROR(SUM(LB_lb_gas_kWh,LB_rest_gas_kWh)/1000),0,SUM(LB_lb_gas_kWh,LB_rest_gas_kWh)/1000)*0.902</f>
        <v>198.73655393602999</v>
      </c>
      <c r="E5" s="17">
        <f>B17*'E Balans VL '!I25/3.6*1000000/100</f>
        <v>91.28764948031899</v>
      </c>
      <c r="F5" s="17">
        <f>B17*('E Balans VL '!L25/3.6*1000000+'E Balans VL '!N25/3.6*1000000)/100</f>
        <v>12940.032094530559</v>
      </c>
      <c r="G5" s="18"/>
      <c r="H5" s="17"/>
      <c r="I5" s="17"/>
      <c r="J5" s="17">
        <f>('E Balans VL '!D25+'E Balans VL '!E25)/3.6*1000000*landbouw!B17/100</f>
        <v>509.65568861235943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3540.18</v>
      </c>
      <c r="C8" s="21">
        <f>C5+C6</f>
        <v>0</v>
      </c>
      <c r="D8" s="21">
        <f>MAX((D5+D6),0)</f>
        <v>198.73655393602999</v>
      </c>
      <c r="E8" s="21">
        <f>MAX((E5+E6),0)</f>
        <v>91.28764948031899</v>
      </c>
      <c r="F8" s="21">
        <f>MAX((F5+F6),0)</f>
        <v>12940.032094530559</v>
      </c>
      <c r="G8" s="21"/>
      <c r="H8" s="21"/>
      <c r="I8" s="21"/>
      <c r="J8" s="21">
        <f>MAX((J5+J6),0)</f>
        <v>509.65568861235943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0.20180242025137832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714.41689212552444</v>
      </c>
      <c r="C12" s="23">
        <f ca="1">C8*C10</f>
        <v>0</v>
      </c>
      <c r="D12" s="23">
        <f>D8*D10</f>
        <v>40.144783895078064</v>
      </c>
      <c r="E12" s="23">
        <f>E8*E10</f>
        <v>20.722296432032412</v>
      </c>
      <c r="F12" s="23">
        <f>F8*F10</f>
        <v>3454.9885692396597</v>
      </c>
      <c r="G12" s="23"/>
      <c r="H12" s="23"/>
      <c r="I12" s="23"/>
      <c r="J12" s="23">
        <f>J8*J10</f>
        <v>180.41811376877521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0.49918882962651207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337.68472215650957</v>
      </c>
      <c r="C26" s="247">
        <f>B26*'GWP N2O_CH4'!B5</f>
        <v>7091.3791652867012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211.25736955834418</v>
      </c>
      <c r="C27" s="247">
        <f>B27*'GWP N2O_CH4'!B5</f>
        <v>4436.4047607252278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4.6283043919550453</v>
      </c>
      <c r="C28" s="247">
        <f>B28*'GWP N2O_CH4'!B4</f>
        <v>1434.774361506064</v>
      </c>
      <c r="D28" s="50"/>
    </row>
    <row r="29" spans="1:4">
      <c r="A29" s="41" t="s">
        <v>277</v>
      </c>
      <c r="B29" s="247">
        <f>B34*'ha_N2O bodem landbouw'!B4</f>
        <v>12.421247266782304</v>
      </c>
      <c r="C29" s="247">
        <f>B29*'GWP N2O_CH4'!B4</f>
        <v>3850.5866527025141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2.7954556252375523E-3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1.9533213022116463E-4</v>
      </c>
      <c r="C5" s="463" t="s">
        <v>211</v>
      </c>
      <c r="D5" s="448">
        <f>SUM(D6:D11)</f>
        <v>4.6257468077426329E-4</v>
      </c>
      <c r="E5" s="448">
        <f>SUM(E6:E11)</f>
        <v>2.0331582497104838E-3</v>
      </c>
      <c r="F5" s="461" t="s">
        <v>211</v>
      </c>
      <c r="G5" s="448">
        <f>SUM(G6:G11)</f>
        <v>0.7592943506929869</v>
      </c>
      <c r="H5" s="448">
        <f>SUM(H6:H11)</f>
        <v>0.12714769207074741</v>
      </c>
      <c r="I5" s="463" t="s">
        <v>211</v>
      </c>
      <c r="J5" s="463" t="s">
        <v>211</v>
      </c>
      <c r="K5" s="463" t="s">
        <v>211</v>
      </c>
      <c r="L5" s="463" t="s">
        <v>211</v>
      </c>
      <c r="M5" s="448">
        <f>SUM(M6:M11)</f>
        <v>2.7730415767606584E-2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2.7653978291428068E-5</v>
      </c>
      <c r="C6" s="449"/>
      <c r="D6" s="892">
        <f>vkm_2011_GW_PW*SUMIFS(TableVerdeelsleutelVkm[CNG],TableVerdeelsleutelVkm[Voertuigtype],"Lichte voertuigen")*SUMIFS(TableECFTransport[EnergieConsumptieFactor (PJ per km)],TableECFTransport[Index],CONCATENATE($A6,"_CNG_CNG"))</f>
        <v>5.4948939266931305E-5</v>
      </c>
      <c r="E6" s="892">
        <f>vkm_2011_GW_PW*SUMIFS(TableVerdeelsleutelVkm[LPG],TableVerdeelsleutelVkm[Voertuigtype],"Lichte voertuigen")*SUMIFS(TableECFTransport[EnergieConsumptieFactor (PJ per km)],TableECFTransport[Index],CONCATENATE($A6,"_LPG_LPG"))</f>
        <v>2.1624377373347296E-4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5.1415349637284481E-2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1.4876330961849541E-2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2.0657099821019078E-3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3.5817524133729017E-2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1.1570590187290313E-5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1.1285553819173862E-3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4.0912108137251578E-5</v>
      </c>
      <c r="C8" s="449"/>
      <c r="D8" s="451">
        <f>vkm_2011_NGW_PW*SUMIFS(TableVerdeelsleutelVkm[CNG],TableVerdeelsleutelVkm[Voertuigtype],"Lichte voertuigen")*SUMIFS(TableECFTransport[EnergieConsumptieFactor (PJ per km)],TableECFTransport[Index],CONCATENATE($A8,"_CNG_CNG"))</f>
        <v>1.4394038179719196E-4</v>
      </c>
      <c r="E8" s="451">
        <f>vkm_2011_NGW_PW*SUMIFS(TableVerdeelsleutelVkm[LPG],TableVerdeelsleutelVkm[Voertuigtype],"Lichte voertuigen")*SUMIFS(TableECFTransport[EnergieConsumptieFactor (PJ per km)],TableECFTransport[Index],CONCATENATE($A8,"_LPG_LPG"))</f>
        <v>5.2387265304569932E-4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0.11631445557258457</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3.7786457988430486E-2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4.7971013074288573E-3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1.5583614187418502E-2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4.7609262693628138E-6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4.9100764337919737E-4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1.2676604379248499E-4</v>
      </c>
      <c r="C10" s="449"/>
      <c r="D10" s="451">
        <f>vkm_2011_SW_PW*SUMIFS(TableVerdeelsleutelVkm[CNG],TableVerdeelsleutelVkm[Voertuigtype],"Lichte voertuigen")*SUMIFS(TableECFTransport[EnergieConsumptieFactor (PJ per km)],TableECFTransport[Index],CONCATENATE($A10,"_CNG_CNG"))</f>
        <v>2.6368535971014003E-4</v>
      </c>
      <c r="E10" s="451">
        <f>vkm_2011_SW_PW*SUMIFS(TableVerdeelsleutelVkm[LPG],TableVerdeelsleutelVkm[Voertuigtype],"Lichte voertuigen")*SUMIFS(TableECFTransport[EnergieConsumptieFactor (PJ per km)],TableECFTransport[Index],CONCATENATE($A10,"_LPG_LPG"))</f>
        <v>1.2930418229313116E-3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0.27540306206467741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7.4376419518091985E-2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1.0905649431529746E-2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0.26476034509729296</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9.2152085918749472E-5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8.342392021249494E-3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54.258925061434624</v>
      </c>
      <c r="C14" s="21"/>
      <c r="D14" s="21">
        <f t="shared" ref="D14:M14" si="0">((D5)*10^9/3600)+D12</f>
        <v>128.49296688173979</v>
      </c>
      <c r="E14" s="21">
        <f t="shared" si="0"/>
        <v>564.76618047513432</v>
      </c>
      <c r="F14" s="21"/>
      <c r="G14" s="21">
        <f t="shared" si="0"/>
        <v>210915.09741471856</v>
      </c>
      <c r="H14" s="21">
        <f t="shared" si="0"/>
        <v>35318.803352985393</v>
      </c>
      <c r="I14" s="21"/>
      <c r="J14" s="21"/>
      <c r="K14" s="21"/>
      <c r="L14" s="21"/>
      <c r="M14" s="21">
        <f t="shared" si="0"/>
        <v>7702.8932687796059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0.20180242025137832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10.949582397635673</v>
      </c>
      <c r="C18" s="23"/>
      <c r="D18" s="23">
        <f t="shared" ref="D18:M18" si="1">D14*D16</f>
        <v>25.955579310111439</v>
      </c>
      <c r="E18" s="23">
        <f t="shared" si="1"/>
        <v>128.2019229678555</v>
      </c>
      <c r="F18" s="23"/>
      <c r="G18" s="23">
        <f t="shared" si="1"/>
        <v>56314.33100972986</v>
      </c>
      <c r="H18" s="23">
        <f t="shared" si="1"/>
        <v>8794.3820348933623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5.0165513346011091E-3</v>
      </c>
      <c r="H50" s="321">
        <f t="shared" si="2"/>
        <v>0</v>
      </c>
      <c r="I50" s="321">
        <f t="shared" si="2"/>
        <v>0</v>
      </c>
      <c r="J50" s="321">
        <f t="shared" si="2"/>
        <v>0</v>
      </c>
      <c r="K50" s="321">
        <f t="shared" si="2"/>
        <v>0</v>
      </c>
      <c r="L50" s="321">
        <f t="shared" si="2"/>
        <v>0</v>
      </c>
      <c r="M50" s="321">
        <f t="shared" si="2"/>
        <v>1.5560219946053646E-4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5.0165513346011091E-3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1.5560219946053646E-4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1393.4864818336414</v>
      </c>
      <c r="H54" s="21">
        <f t="shared" si="3"/>
        <v>0</v>
      </c>
      <c r="I54" s="21">
        <f t="shared" si="3"/>
        <v>0</v>
      </c>
      <c r="J54" s="21">
        <f t="shared" si="3"/>
        <v>0</v>
      </c>
      <c r="K54" s="21">
        <f t="shared" si="3"/>
        <v>0</v>
      </c>
      <c r="L54" s="21">
        <f t="shared" si="3"/>
        <v>0</v>
      </c>
      <c r="M54" s="21">
        <f t="shared" si="3"/>
        <v>43.222833183482344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0.20180242025137832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372.06089064958229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49810.990398613001</v>
      </c>
      <c r="D10" s="1012">
        <f ca="1">tertiair!C16</f>
        <v>0</v>
      </c>
      <c r="E10" s="1012">
        <f ca="1">tertiair!D16</f>
        <v>48534.268517290388</v>
      </c>
      <c r="F10" s="1012">
        <f>tertiair!E16</f>
        <v>1061.8425138906089</v>
      </c>
      <c r="G10" s="1012">
        <f ca="1">tertiair!F16</f>
        <v>11325.5607648449</v>
      </c>
      <c r="H10" s="1012">
        <f>tertiair!G16</f>
        <v>0</v>
      </c>
      <c r="I10" s="1012">
        <f>tertiair!H16</f>
        <v>0</v>
      </c>
      <c r="J10" s="1012">
        <f>tertiair!I16</f>
        <v>0</v>
      </c>
      <c r="K10" s="1012">
        <f>tertiair!J16</f>
        <v>0</v>
      </c>
      <c r="L10" s="1012">
        <f>tertiair!K16</f>
        <v>0</v>
      </c>
      <c r="M10" s="1012">
        <f ca="1">tertiair!L16</f>
        <v>0</v>
      </c>
      <c r="N10" s="1012">
        <f>tertiair!M16</f>
        <v>0</v>
      </c>
      <c r="O10" s="1012">
        <f ca="1">tertiair!N16</f>
        <v>2733.6367130847998</v>
      </c>
      <c r="P10" s="1012">
        <f>tertiair!O16</f>
        <v>6.2533333333333339</v>
      </c>
      <c r="Q10" s="1013">
        <f>tertiair!P16</f>
        <v>171.6</v>
      </c>
      <c r="R10" s="700">
        <f ca="1">SUM(C10:Q10)</f>
        <v>113644.15224105702</v>
      </c>
      <c r="S10" s="67"/>
    </row>
    <row r="11" spans="1:19" s="473" customFormat="1">
      <c r="A11" s="809" t="s">
        <v>225</v>
      </c>
      <c r="B11" s="814"/>
      <c r="C11" s="1012">
        <f>huishoudens!B8</f>
        <v>51426.579185962364</v>
      </c>
      <c r="D11" s="1012">
        <f>huishoudens!C8</f>
        <v>0</v>
      </c>
      <c r="E11" s="1012">
        <f>huishoudens!D8</f>
        <v>134586.82536552</v>
      </c>
      <c r="F11" s="1012">
        <f>huishoudens!E8</f>
        <v>9254.5366481760266</v>
      </c>
      <c r="G11" s="1012">
        <f>huishoudens!F8</f>
        <v>0</v>
      </c>
      <c r="H11" s="1012">
        <f>huishoudens!G8</f>
        <v>0</v>
      </c>
      <c r="I11" s="1012">
        <f>huishoudens!H8</f>
        <v>0</v>
      </c>
      <c r="J11" s="1012">
        <f>huishoudens!I8</f>
        <v>0</v>
      </c>
      <c r="K11" s="1012">
        <f>huishoudens!J8</f>
        <v>1869.6566393036983</v>
      </c>
      <c r="L11" s="1012">
        <f>huishoudens!K8</f>
        <v>0</v>
      </c>
      <c r="M11" s="1012">
        <f>huishoudens!L8</f>
        <v>0</v>
      </c>
      <c r="N11" s="1012">
        <f>huishoudens!M8</f>
        <v>0</v>
      </c>
      <c r="O11" s="1012">
        <f>huishoudens!N8</f>
        <v>21364.123882500924</v>
      </c>
      <c r="P11" s="1012">
        <f>huishoudens!O8</f>
        <v>464.31000000000006</v>
      </c>
      <c r="Q11" s="1013">
        <f>huishoudens!P8</f>
        <v>800.8</v>
      </c>
      <c r="R11" s="700">
        <f>SUM(C11:Q11)</f>
        <v>219766.83172146298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82127.728000000003</v>
      </c>
      <c r="D13" s="1012">
        <f>industrie!C18</f>
        <v>0</v>
      </c>
      <c r="E13" s="1012">
        <f>industrie!D18</f>
        <v>118150.63927392001</v>
      </c>
      <c r="F13" s="1012">
        <f>industrie!E18</f>
        <v>7092.8159837033209</v>
      </c>
      <c r="G13" s="1012">
        <f>industrie!F18</f>
        <v>32867.573697574786</v>
      </c>
      <c r="H13" s="1012">
        <f>industrie!G18</f>
        <v>0</v>
      </c>
      <c r="I13" s="1012">
        <f>industrie!H18</f>
        <v>0</v>
      </c>
      <c r="J13" s="1012">
        <f>industrie!I18</f>
        <v>0</v>
      </c>
      <c r="K13" s="1012">
        <f>industrie!J18</f>
        <v>3102.583892817478</v>
      </c>
      <c r="L13" s="1012">
        <f>industrie!K18</f>
        <v>0</v>
      </c>
      <c r="M13" s="1012">
        <f>industrie!L18</f>
        <v>0</v>
      </c>
      <c r="N13" s="1012">
        <f>industrie!M18</f>
        <v>0</v>
      </c>
      <c r="O13" s="1012">
        <f>industrie!N18</f>
        <v>17628.174947355528</v>
      </c>
      <c r="P13" s="1012">
        <f>industrie!O18</f>
        <v>0</v>
      </c>
      <c r="Q13" s="1013">
        <f>industrie!P18</f>
        <v>0</v>
      </c>
      <c r="R13" s="700">
        <f>SUM(C13:Q13)</f>
        <v>260969.51579537115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183365.29758457537</v>
      </c>
      <c r="D16" s="732">
        <f t="shared" ref="D16:R16" ca="1" si="0">SUM(D9:D15)</f>
        <v>0</v>
      </c>
      <c r="E16" s="732">
        <f t="shared" ca="1" si="0"/>
        <v>301271.73315673042</v>
      </c>
      <c r="F16" s="732">
        <f t="shared" si="0"/>
        <v>17409.195145769958</v>
      </c>
      <c r="G16" s="732">
        <f t="shared" ca="1" si="0"/>
        <v>44193.134462419686</v>
      </c>
      <c r="H16" s="732">
        <f t="shared" si="0"/>
        <v>0</v>
      </c>
      <c r="I16" s="732">
        <f t="shared" si="0"/>
        <v>0</v>
      </c>
      <c r="J16" s="732">
        <f t="shared" si="0"/>
        <v>0</v>
      </c>
      <c r="K16" s="732">
        <f t="shared" si="0"/>
        <v>4972.2405321211763</v>
      </c>
      <c r="L16" s="732">
        <f t="shared" si="0"/>
        <v>0</v>
      </c>
      <c r="M16" s="732">
        <f t="shared" ca="1" si="0"/>
        <v>0</v>
      </c>
      <c r="N16" s="732">
        <f t="shared" si="0"/>
        <v>0</v>
      </c>
      <c r="O16" s="732">
        <f t="shared" ca="1" si="0"/>
        <v>41725.935542941254</v>
      </c>
      <c r="P16" s="732">
        <f t="shared" si="0"/>
        <v>470.56333333333339</v>
      </c>
      <c r="Q16" s="732">
        <f t="shared" si="0"/>
        <v>972.4</v>
      </c>
      <c r="R16" s="732">
        <f t="shared" ca="1" si="0"/>
        <v>594380.49975789117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1393.4864818336414</v>
      </c>
      <c r="I19" s="1012">
        <f>transport!H54</f>
        <v>0</v>
      </c>
      <c r="J19" s="1012">
        <f>transport!I54</f>
        <v>0</v>
      </c>
      <c r="K19" s="1012">
        <f>transport!J54</f>
        <v>0</v>
      </c>
      <c r="L19" s="1012">
        <f>transport!K54</f>
        <v>0</v>
      </c>
      <c r="M19" s="1012">
        <f>transport!L54</f>
        <v>0</v>
      </c>
      <c r="N19" s="1012">
        <f>transport!M54</f>
        <v>43.222833183482344</v>
      </c>
      <c r="O19" s="1012">
        <f>transport!N54</f>
        <v>0</v>
      </c>
      <c r="P19" s="1012">
        <f>transport!O54</f>
        <v>0</v>
      </c>
      <c r="Q19" s="1013">
        <f>transport!P54</f>
        <v>0</v>
      </c>
      <c r="R19" s="700">
        <f>SUM(C19:Q19)</f>
        <v>1436.7093150171238</v>
      </c>
      <c r="S19" s="67"/>
    </row>
    <row r="20" spans="1:19" s="473" customFormat="1">
      <c r="A20" s="809" t="s">
        <v>307</v>
      </c>
      <c r="B20" s="814"/>
      <c r="C20" s="1012">
        <f>transport!B14</f>
        <v>54.258925061434624</v>
      </c>
      <c r="D20" s="1012">
        <f>transport!C14</f>
        <v>0</v>
      </c>
      <c r="E20" s="1012">
        <f>transport!D14</f>
        <v>128.49296688173979</v>
      </c>
      <c r="F20" s="1012">
        <f>transport!E14</f>
        <v>564.76618047513432</v>
      </c>
      <c r="G20" s="1012">
        <f>transport!F14</f>
        <v>0</v>
      </c>
      <c r="H20" s="1012">
        <f>transport!G14</f>
        <v>210915.09741471856</v>
      </c>
      <c r="I20" s="1012">
        <f>transport!H14</f>
        <v>35318.803352985393</v>
      </c>
      <c r="J20" s="1012">
        <f>transport!I14</f>
        <v>0</v>
      </c>
      <c r="K20" s="1012">
        <f>transport!J14</f>
        <v>0</v>
      </c>
      <c r="L20" s="1012">
        <f>transport!K14</f>
        <v>0</v>
      </c>
      <c r="M20" s="1012">
        <f>transport!L14</f>
        <v>0</v>
      </c>
      <c r="N20" s="1012">
        <f>transport!M14</f>
        <v>7702.8932687796059</v>
      </c>
      <c r="O20" s="1012">
        <f>transport!N14</f>
        <v>0</v>
      </c>
      <c r="P20" s="1012">
        <f>transport!O14</f>
        <v>0</v>
      </c>
      <c r="Q20" s="1013">
        <f>transport!P14</f>
        <v>0</v>
      </c>
      <c r="R20" s="700">
        <f>SUM(C20:Q20)</f>
        <v>254684.31210890188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54.258925061434624</v>
      </c>
      <c r="D22" s="812">
        <f t="shared" ref="D22:R22" si="1">SUM(D18:D21)</f>
        <v>0</v>
      </c>
      <c r="E22" s="812">
        <f t="shared" si="1"/>
        <v>128.49296688173979</v>
      </c>
      <c r="F22" s="812">
        <f t="shared" si="1"/>
        <v>564.76618047513432</v>
      </c>
      <c r="G22" s="812">
        <f t="shared" si="1"/>
        <v>0</v>
      </c>
      <c r="H22" s="812">
        <f t="shared" si="1"/>
        <v>212308.58389655221</v>
      </c>
      <c r="I22" s="812">
        <f t="shared" si="1"/>
        <v>35318.803352985393</v>
      </c>
      <c r="J22" s="812">
        <f t="shared" si="1"/>
        <v>0</v>
      </c>
      <c r="K22" s="812">
        <f t="shared" si="1"/>
        <v>0</v>
      </c>
      <c r="L22" s="812">
        <f t="shared" si="1"/>
        <v>0</v>
      </c>
      <c r="M22" s="812">
        <f t="shared" si="1"/>
        <v>0</v>
      </c>
      <c r="N22" s="812">
        <f t="shared" si="1"/>
        <v>7746.1161019630881</v>
      </c>
      <c r="O22" s="812">
        <f t="shared" si="1"/>
        <v>0</v>
      </c>
      <c r="P22" s="812">
        <f t="shared" si="1"/>
        <v>0</v>
      </c>
      <c r="Q22" s="812">
        <f t="shared" si="1"/>
        <v>0</v>
      </c>
      <c r="R22" s="812">
        <f t="shared" si="1"/>
        <v>256121.02142391901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3540.18</v>
      </c>
      <c r="D24" s="1012">
        <f>+landbouw!C8</f>
        <v>0</v>
      </c>
      <c r="E24" s="1012">
        <f>+landbouw!D8</f>
        <v>198.73655393602999</v>
      </c>
      <c r="F24" s="1012">
        <f>+landbouw!E8</f>
        <v>91.28764948031899</v>
      </c>
      <c r="G24" s="1012">
        <f>+landbouw!F8</f>
        <v>12940.032094530559</v>
      </c>
      <c r="H24" s="1012">
        <f>+landbouw!G8</f>
        <v>0</v>
      </c>
      <c r="I24" s="1012">
        <f>+landbouw!H8</f>
        <v>0</v>
      </c>
      <c r="J24" s="1012">
        <f>+landbouw!I8</f>
        <v>0</v>
      </c>
      <c r="K24" s="1012">
        <f>+landbouw!J8</f>
        <v>509.65568861235943</v>
      </c>
      <c r="L24" s="1012">
        <f>+landbouw!K8</f>
        <v>0</v>
      </c>
      <c r="M24" s="1012">
        <f>+landbouw!L8</f>
        <v>0</v>
      </c>
      <c r="N24" s="1012">
        <f>+landbouw!M8</f>
        <v>0</v>
      </c>
      <c r="O24" s="1012">
        <f>+landbouw!N8</f>
        <v>0</v>
      </c>
      <c r="P24" s="1012">
        <f>+landbouw!O8</f>
        <v>0</v>
      </c>
      <c r="Q24" s="1013">
        <f>+landbouw!P8</f>
        <v>0</v>
      </c>
      <c r="R24" s="700">
        <f>SUM(C24:Q24)</f>
        <v>17279.891986559265</v>
      </c>
      <c r="S24" s="67"/>
    </row>
    <row r="25" spans="1:19" s="473" customFormat="1" ht="15" thickBot="1">
      <c r="A25" s="831" t="s">
        <v>848</v>
      </c>
      <c r="B25" s="1015"/>
      <c r="C25" s="1016">
        <f>IF(Onbekend_ele_kWh="---",0,Onbekend_ele_kWh)/1000+IF(REST_rest_ele_kWh="---",0,REST_rest_ele_kWh)/1000</f>
        <v>1472.1079999999999</v>
      </c>
      <c r="D25" s="1016"/>
      <c r="E25" s="1016">
        <f>IF(onbekend_gas_kWh="---",0,onbekend_gas_kWh)/1000+IF(REST_rest_gas_kWh="---",0,REST_rest_gas_kWh)/1000</f>
        <v>3977.5213036</v>
      </c>
      <c r="F25" s="1016"/>
      <c r="G25" s="1016"/>
      <c r="H25" s="1016"/>
      <c r="I25" s="1016"/>
      <c r="J25" s="1016"/>
      <c r="K25" s="1016"/>
      <c r="L25" s="1016"/>
      <c r="M25" s="1016"/>
      <c r="N25" s="1016"/>
      <c r="O25" s="1016"/>
      <c r="P25" s="1016"/>
      <c r="Q25" s="1017"/>
      <c r="R25" s="700">
        <f>SUM(C25:Q25)</f>
        <v>5449.6293035999997</v>
      </c>
      <c r="S25" s="67"/>
    </row>
    <row r="26" spans="1:19" s="473" customFormat="1" ht="15.75" thickBot="1">
      <c r="A26" s="705" t="s">
        <v>849</v>
      </c>
      <c r="B26" s="817"/>
      <c r="C26" s="812">
        <f>SUM(C24:C25)</f>
        <v>5012.2879999999996</v>
      </c>
      <c r="D26" s="812">
        <f t="shared" ref="D26:R26" si="2">SUM(D24:D25)</f>
        <v>0</v>
      </c>
      <c r="E26" s="812">
        <f t="shared" si="2"/>
        <v>4176.2578575360303</v>
      </c>
      <c r="F26" s="812">
        <f t="shared" si="2"/>
        <v>91.28764948031899</v>
      </c>
      <c r="G26" s="812">
        <f t="shared" si="2"/>
        <v>12940.032094530559</v>
      </c>
      <c r="H26" s="812">
        <f t="shared" si="2"/>
        <v>0</v>
      </c>
      <c r="I26" s="812">
        <f t="shared" si="2"/>
        <v>0</v>
      </c>
      <c r="J26" s="812">
        <f t="shared" si="2"/>
        <v>0</v>
      </c>
      <c r="K26" s="812">
        <f t="shared" si="2"/>
        <v>509.65568861235943</v>
      </c>
      <c r="L26" s="812">
        <f t="shared" si="2"/>
        <v>0</v>
      </c>
      <c r="M26" s="812">
        <f t="shared" si="2"/>
        <v>0</v>
      </c>
      <c r="N26" s="812">
        <f t="shared" si="2"/>
        <v>0</v>
      </c>
      <c r="O26" s="812">
        <f t="shared" si="2"/>
        <v>0</v>
      </c>
      <c r="P26" s="812">
        <f t="shared" si="2"/>
        <v>0</v>
      </c>
      <c r="Q26" s="812">
        <f t="shared" si="2"/>
        <v>0</v>
      </c>
      <c r="R26" s="812">
        <f t="shared" si="2"/>
        <v>22729.521290159264</v>
      </c>
      <c r="S26" s="67"/>
    </row>
    <row r="27" spans="1:19" s="473" customFormat="1" ht="17.25" thickTop="1" thickBot="1">
      <c r="A27" s="706" t="s">
        <v>116</v>
      </c>
      <c r="B27" s="805"/>
      <c r="C27" s="707">
        <f ca="1">C22+C16+C26</f>
        <v>188431.84450963681</v>
      </c>
      <c r="D27" s="707">
        <f t="shared" ref="D27:R27" ca="1" si="3">D22+D16+D26</f>
        <v>0</v>
      </c>
      <c r="E27" s="707">
        <f t="shared" ca="1" si="3"/>
        <v>305576.48398114817</v>
      </c>
      <c r="F27" s="707">
        <f t="shared" si="3"/>
        <v>18065.248975725412</v>
      </c>
      <c r="G27" s="707">
        <f t="shared" ca="1" si="3"/>
        <v>57133.166556950244</v>
      </c>
      <c r="H27" s="707">
        <f t="shared" si="3"/>
        <v>212308.58389655221</v>
      </c>
      <c r="I27" s="707">
        <f t="shared" si="3"/>
        <v>35318.803352985393</v>
      </c>
      <c r="J27" s="707">
        <f t="shared" si="3"/>
        <v>0</v>
      </c>
      <c r="K27" s="707">
        <f t="shared" si="3"/>
        <v>5481.8962207335353</v>
      </c>
      <c r="L27" s="707">
        <f t="shared" si="3"/>
        <v>0</v>
      </c>
      <c r="M27" s="707">
        <f t="shared" ca="1" si="3"/>
        <v>0</v>
      </c>
      <c r="N27" s="707">
        <f t="shared" si="3"/>
        <v>7746.1161019630881</v>
      </c>
      <c r="O27" s="707">
        <f t="shared" ca="1" si="3"/>
        <v>41725.935542941254</v>
      </c>
      <c r="P27" s="707">
        <f t="shared" si="3"/>
        <v>470.56333333333339</v>
      </c>
      <c r="Q27" s="707">
        <f t="shared" si="3"/>
        <v>972.4</v>
      </c>
      <c r="R27" s="707">
        <f t="shared" ca="1" si="3"/>
        <v>873231.0424719695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10051.97841755827</v>
      </c>
      <c r="D40" s="1012">
        <f ca="1">tertiair!C20</f>
        <v>0</v>
      </c>
      <c r="E40" s="1012">
        <f ca="1">tertiair!D20</f>
        <v>9803.9222404926586</v>
      </c>
      <c r="F40" s="1012">
        <f>tertiair!E20</f>
        <v>241.03825065316823</v>
      </c>
      <c r="G40" s="1012">
        <f ca="1">tertiair!F20</f>
        <v>3023.9247242135884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23120.863632917688</v>
      </c>
    </row>
    <row r="41" spans="1:18">
      <c r="A41" s="822" t="s">
        <v>225</v>
      </c>
      <c r="B41" s="829"/>
      <c r="C41" s="1012">
        <f ca="1">huishoudens!B12</f>
        <v>10378.008144976362</v>
      </c>
      <c r="D41" s="1012">
        <f ca="1">huishoudens!C12</f>
        <v>0</v>
      </c>
      <c r="E41" s="1012">
        <f>huishoudens!D12</f>
        <v>27186.538723835041</v>
      </c>
      <c r="F41" s="1012">
        <f>huishoudens!E12</f>
        <v>2100.779819135958</v>
      </c>
      <c r="G41" s="1012">
        <f>huishoudens!F12</f>
        <v>0</v>
      </c>
      <c r="H41" s="1012">
        <f>huishoudens!G12</f>
        <v>0</v>
      </c>
      <c r="I41" s="1012">
        <f>huishoudens!H12</f>
        <v>0</v>
      </c>
      <c r="J41" s="1012">
        <f>huishoudens!I12</f>
        <v>0</v>
      </c>
      <c r="K41" s="1012">
        <f>huishoudens!J12</f>
        <v>661.85845031350914</v>
      </c>
      <c r="L41" s="1012">
        <f>huishoudens!K12</f>
        <v>0</v>
      </c>
      <c r="M41" s="1012">
        <f>huishoudens!L12</f>
        <v>0</v>
      </c>
      <c r="N41" s="1012">
        <f>huishoudens!M12</f>
        <v>0</v>
      </c>
      <c r="O41" s="1012">
        <f>huishoudens!N12</f>
        <v>0</v>
      </c>
      <c r="P41" s="1012">
        <f>huishoudens!O12</f>
        <v>0</v>
      </c>
      <c r="Q41" s="774">
        <f>huishoudens!P12</f>
        <v>0</v>
      </c>
      <c r="R41" s="850">
        <f t="shared" ca="1" si="4"/>
        <v>40327.185138260873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16573.574280146891</v>
      </c>
      <c r="D43" s="1012">
        <f ca="1">industrie!C22</f>
        <v>0</v>
      </c>
      <c r="E43" s="1012">
        <f>industrie!D22</f>
        <v>23866.429133331843</v>
      </c>
      <c r="F43" s="1012">
        <f>industrie!E22</f>
        <v>1610.0692283006538</v>
      </c>
      <c r="G43" s="1012">
        <f>industrie!F22</f>
        <v>8775.6421772524682</v>
      </c>
      <c r="H43" s="1012">
        <f>industrie!G22</f>
        <v>0</v>
      </c>
      <c r="I43" s="1012">
        <f>industrie!H22</f>
        <v>0</v>
      </c>
      <c r="J43" s="1012">
        <f>industrie!I22</f>
        <v>0</v>
      </c>
      <c r="K43" s="1012">
        <f>industrie!J22</f>
        <v>1098.3146980573872</v>
      </c>
      <c r="L43" s="1012">
        <f>industrie!K22</f>
        <v>0</v>
      </c>
      <c r="M43" s="1012">
        <f>industrie!L22</f>
        <v>0</v>
      </c>
      <c r="N43" s="1012">
        <f>industrie!M22</f>
        <v>0</v>
      </c>
      <c r="O43" s="1012">
        <f>industrie!N22</f>
        <v>0</v>
      </c>
      <c r="P43" s="1012">
        <f>industrie!O22</f>
        <v>0</v>
      </c>
      <c r="Q43" s="774">
        <f>industrie!P22</f>
        <v>0</v>
      </c>
      <c r="R43" s="849">
        <f t="shared" ca="1" si="4"/>
        <v>51924.02951708925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37003.560842681523</v>
      </c>
      <c r="D46" s="732">
        <f t="shared" ref="D46:Q46" ca="1" si="5">SUM(D39:D45)</f>
        <v>0</v>
      </c>
      <c r="E46" s="732">
        <f t="shared" ca="1" si="5"/>
        <v>60856.890097659547</v>
      </c>
      <c r="F46" s="732">
        <f t="shared" si="5"/>
        <v>3951.88729808978</v>
      </c>
      <c r="G46" s="732">
        <f t="shared" ca="1" si="5"/>
        <v>11799.566901466056</v>
      </c>
      <c r="H46" s="732">
        <f t="shared" si="5"/>
        <v>0</v>
      </c>
      <c r="I46" s="732">
        <f t="shared" si="5"/>
        <v>0</v>
      </c>
      <c r="J46" s="732">
        <f t="shared" si="5"/>
        <v>0</v>
      </c>
      <c r="K46" s="732">
        <f t="shared" si="5"/>
        <v>1760.1731483708963</v>
      </c>
      <c r="L46" s="732">
        <f t="shared" si="5"/>
        <v>0</v>
      </c>
      <c r="M46" s="732">
        <f t="shared" ca="1" si="5"/>
        <v>0</v>
      </c>
      <c r="N46" s="732">
        <f t="shared" si="5"/>
        <v>0</v>
      </c>
      <c r="O46" s="732">
        <f t="shared" ca="1" si="5"/>
        <v>0</v>
      </c>
      <c r="P46" s="732">
        <f t="shared" si="5"/>
        <v>0</v>
      </c>
      <c r="Q46" s="732">
        <f t="shared" si="5"/>
        <v>0</v>
      </c>
      <c r="R46" s="732">
        <f ca="1">SUM(R39:R45)</f>
        <v>115372.0782882678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372.06089064958229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372.06089064958229</v>
      </c>
    </row>
    <row r="50" spans="1:18">
      <c r="A50" s="825" t="s">
        <v>307</v>
      </c>
      <c r="B50" s="835"/>
      <c r="C50" s="703">
        <f ca="1">transport!B18</f>
        <v>10.949582397635673</v>
      </c>
      <c r="D50" s="703">
        <f>transport!C18</f>
        <v>0</v>
      </c>
      <c r="E50" s="703">
        <f>transport!D18</f>
        <v>25.955579310111439</v>
      </c>
      <c r="F50" s="703">
        <f>transport!E18</f>
        <v>128.2019229678555</v>
      </c>
      <c r="G50" s="703">
        <f>transport!F18</f>
        <v>0</v>
      </c>
      <c r="H50" s="703">
        <f>transport!G18</f>
        <v>56314.33100972986</v>
      </c>
      <c r="I50" s="703">
        <f>transport!H18</f>
        <v>8794.3820348933623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65273.820129298823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10.949582397635673</v>
      </c>
      <c r="D52" s="732">
        <f t="shared" ref="D52:Q52" ca="1" si="6">SUM(D48:D51)</f>
        <v>0</v>
      </c>
      <c r="E52" s="732">
        <f t="shared" si="6"/>
        <v>25.955579310111439</v>
      </c>
      <c r="F52" s="732">
        <f t="shared" si="6"/>
        <v>128.2019229678555</v>
      </c>
      <c r="G52" s="732">
        <f t="shared" si="6"/>
        <v>0</v>
      </c>
      <c r="H52" s="732">
        <f t="shared" si="6"/>
        <v>56686.391900379444</v>
      </c>
      <c r="I52" s="732">
        <f t="shared" si="6"/>
        <v>8794.3820348933623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65645.8810199484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714.41689212552444</v>
      </c>
      <c r="D54" s="703">
        <f ca="1">+landbouw!C12</f>
        <v>0</v>
      </c>
      <c r="E54" s="703">
        <f>+landbouw!D12</f>
        <v>40.144783895078064</v>
      </c>
      <c r="F54" s="703">
        <f>+landbouw!E12</f>
        <v>20.722296432032412</v>
      </c>
      <c r="G54" s="703">
        <f>+landbouw!F12</f>
        <v>3454.9885692396597</v>
      </c>
      <c r="H54" s="703">
        <f>+landbouw!G12</f>
        <v>0</v>
      </c>
      <c r="I54" s="703">
        <f>+landbouw!H12</f>
        <v>0</v>
      </c>
      <c r="J54" s="703">
        <f>+landbouw!I12</f>
        <v>0</v>
      </c>
      <c r="K54" s="703">
        <f>+landbouw!J12</f>
        <v>180.41811376877521</v>
      </c>
      <c r="L54" s="703">
        <f>+landbouw!K12</f>
        <v>0</v>
      </c>
      <c r="M54" s="703">
        <f>+landbouw!L12</f>
        <v>0</v>
      </c>
      <c r="N54" s="703">
        <f>+landbouw!M12</f>
        <v>0</v>
      </c>
      <c r="O54" s="703">
        <f>+landbouw!N12</f>
        <v>0</v>
      </c>
      <c r="P54" s="703">
        <f>+landbouw!O12</f>
        <v>0</v>
      </c>
      <c r="Q54" s="704">
        <f>+landbouw!P12</f>
        <v>0</v>
      </c>
      <c r="R54" s="731">
        <f ca="1">SUM(C54:Q54)</f>
        <v>4410.6906554610705</v>
      </c>
    </row>
    <row r="55" spans="1:18" ht="15" thickBot="1">
      <c r="A55" s="825" t="s">
        <v>848</v>
      </c>
      <c r="B55" s="835"/>
      <c r="C55" s="703">
        <f ca="1">C25*'EF ele_warmte'!B12</f>
        <v>297.074957271416</v>
      </c>
      <c r="D55" s="703"/>
      <c r="E55" s="703">
        <f>E25*EF_CO2_aardgas</f>
        <v>803.45930332720002</v>
      </c>
      <c r="F55" s="703"/>
      <c r="G55" s="703"/>
      <c r="H55" s="703"/>
      <c r="I55" s="703"/>
      <c r="J55" s="703"/>
      <c r="K55" s="703"/>
      <c r="L55" s="703"/>
      <c r="M55" s="703"/>
      <c r="N55" s="703"/>
      <c r="O55" s="703"/>
      <c r="P55" s="703"/>
      <c r="Q55" s="704"/>
      <c r="R55" s="731">
        <f ca="1">SUM(C55:Q55)</f>
        <v>1100.5342605986161</v>
      </c>
    </row>
    <row r="56" spans="1:18" ht="15.75" thickBot="1">
      <c r="A56" s="823" t="s">
        <v>849</v>
      </c>
      <c r="B56" s="836"/>
      <c r="C56" s="732">
        <f ca="1">SUM(C54:C55)</f>
        <v>1011.4918493969404</v>
      </c>
      <c r="D56" s="732">
        <f t="shared" ref="D56:Q56" ca="1" si="7">SUM(D54:D55)</f>
        <v>0</v>
      </c>
      <c r="E56" s="732">
        <f t="shared" si="7"/>
        <v>843.60408722227805</v>
      </c>
      <c r="F56" s="732">
        <f t="shared" si="7"/>
        <v>20.722296432032412</v>
      </c>
      <c r="G56" s="732">
        <f t="shared" si="7"/>
        <v>3454.9885692396597</v>
      </c>
      <c r="H56" s="732">
        <f t="shared" si="7"/>
        <v>0</v>
      </c>
      <c r="I56" s="732">
        <f t="shared" si="7"/>
        <v>0</v>
      </c>
      <c r="J56" s="732">
        <f t="shared" si="7"/>
        <v>0</v>
      </c>
      <c r="K56" s="732">
        <f t="shared" si="7"/>
        <v>180.41811376877521</v>
      </c>
      <c r="L56" s="732">
        <f t="shared" si="7"/>
        <v>0</v>
      </c>
      <c r="M56" s="732">
        <f t="shared" si="7"/>
        <v>0</v>
      </c>
      <c r="N56" s="732">
        <f t="shared" si="7"/>
        <v>0</v>
      </c>
      <c r="O56" s="732">
        <f t="shared" si="7"/>
        <v>0</v>
      </c>
      <c r="P56" s="732">
        <f t="shared" si="7"/>
        <v>0</v>
      </c>
      <c r="Q56" s="733">
        <f t="shared" si="7"/>
        <v>0</v>
      </c>
      <c r="R56" s="734">
        <f ca="1">SUM(R54:R55)</f>
        <v>5511.2249160596866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38026.002274476094</v>
      </c>
      <c r="D61" s="740">
        <f t="shared" ref="D61:Q61" ca="1" si="8">D46+D52+D56</f>
        <v>0</v>
      </c>
      <c r="E61" s="740">
        <f t="shared" ca="1" si="8"/>
        <v>61726.449764191937</v>
      </c>
      <c r="F61" s="740">
        <f t="shared" si="8"/>
        <v>4100.8115174896675</v>
      </c>
      <c r="G61" s="740">
        <f t="shared" ca="1" si="8"/>
        <v>15254.555470705716</v>
      </c>
      <c r="H61" s="740">
        <f t="shared" si="8"/>
        <v>56686.391900379444</v>
      </c>
      <c r="I61" s="740">
        <f t="shared" si="8"/>
        <v>8794.3820348933623</v>
      </c>
      <c r="J61" s="740">
        <f t="shared" si="8"/>
        <v>0</v>
      </c>
      <c r="K61" s="740">
        <f t="shared" si="8"/>
        <v>1940.5912621396715</v>
      </c>
      <c r="L61" s="740">
        <f t="shared" si="8"/>
        <v>0</v>
      </c>
      <c r="M61" s="740">
        <f t="shared" ca="1" si="8"/>
        <v>0</v>
      </c>
      <c r="N61" s="740">
        <f t="shared" si="8"/>
        <v>0</v>
      </c>
      <c r="O61" s="740">
        <f t="shared" ca="1" si="8"/>
        <v>0</v>
      </c>
      <c r="P61" s="740">
        <f t="shared" si="8"/>
        <v>0</v>
      </c>
      <c r="Q61" s="740">
        <f t="shared" si="8"/>
        <v>0</v>
      </c>
      <c r="R61" s="740">
        <f ca="1">R46+R52+R56</f>
        <v>186529.1842242759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0.20180242025137829</v>
      </c>
      <c r="D63" s="781">
        <f t="shared" ca="1" si="9"/>
        <v>0</v>
      </c>
      <c r="E63" s="1023">
        <f t="shared" ca="1" si="9"/>
        <v>0.20200000000000001</v>
      </c>
      <c r="F63" s="781">
        <f t="shared" si="9"/>
        <v>0.22699999999999995</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16368.485801600138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16368.485801600138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16368.485801600138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16368.485801600138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51426.579185962364</v>
      </c>
      <c r="C4" s="477">
        <f>huishoudens!C8</f>
        <v>0</v>
      </c>
      <c r="D4" s="477">
        <f>huishoudens!D8</f>
        <v>134586.82536552</v>
      </c>
      <c r="E4" s="477">
        <f>huishoudens!E8</f>
        <v>9254.5366481760266</v>
      </c>
      <c r="F4" s="477">
        <f>huishoudens!F8</f>
        <v>0</v>
      </c>
      <c r="G4" s="477">
        <f>huishoudens!G8</f>
        <v>0</v>
      </c>
      <c r="H4" s="477">
        <f>huishoudens!H8</f>
        <v>0</v>
      </c>
      <c r="I4" s="477">
        <f>huishoudens!I8</f>
        <v>0</v>
      </c>
      <c r="J4" s="477">
        <f>huishoudens!J8</f>
        <v>1869.6566393036983</v>
      </c>
      <c r="K4" s="477">
        <f>huishoudens!K8</f>
        <v>0</v>
      </c>
      <c r="L4" s="477">
        <f>huishoudens!L8</f>
        <v>0</v>
      </c>
      <c r="M4" s="477">
        <f>huishoudens!M8</f>
        <v>0</v>
      </c>
      <c r="N4" s="477">
        <f>huishoudens!N8</f>
        <v>21364.123882500924</v>
      </c>
      <c r="O4" s="477">
        <f>huishoudens!O8</f>
        <v>464.31000000000006</v>
      </c>
      <c r="P4" s="478">
        <f>huishoudens!P8</f>
        <v>800.8</v>
      </c>
      <c r="Q4" s="479">
        <f>SUM(B4:P4)</f>
        <v>219766.83172146298</v>
      </c>
    </row>
    <row r="5" spans="1:17">
      <c r="A5" s="476" t="s">
        <v>156</v>
      </c>
      <c r="B5" s="477">
        <f ca="1">tertiair!B16</f>
        <v>47310.465398613</v>
      </c>
      <c r="C5" s="477">
        <f ca="1">tertiair!C16</f>
        <v>0</v>
      </c>
      <c r="D5" s="477">
        <f ca="1">tertiair!D16</f>
        <v>48534.268517290388</v>
      </c>
      <c r="E5" s="477">
        <f>tertiair!E16</f>
        <v>1061.8425138906089</v>
      </c>
      <c r="F5" s="477">
        <f ca="1">tertiair!F16</f>
        <v>11325.5607648449</v>
      </c>
      <c r="G5" s="477">
        <f>tertiair!G16</f>
        <v>0</v>
      </c>
      <c r="H5" s="477">
        <f>tertiair!H16</f>
        <v>0</v>
      </c>
      <c r="I5" s="477">
        <f>tertiair!I16</f>
        <v>0</v>
      </c>
      <c r="J5" s="477">
        <f>tertiair!J16</f>
        <v>0</v>
      </c>
      <c r="K5" s="477">
        <f>tertiair!K16</f>
        <v>0</v>
      </c>
      <c r="L5" s="477">
        <f ca="1">tertiair!L16</f>
        <v>0</v>
      </c>
      <c r="M5" s="477">
        <f>tertiair!M16</f>
        <v>0</v>
      </c>
      <c r="N5" s="477">
        <f ca="1">tertiair!N16</f>
        <v>2733.6367130847998</v>
      </c>
      <c r="O5" s="477">
        <f>tertiair!O16</f>
        <v>6.2533333333333339</v>
      </c>
      <c r="P5" s="478">
        <f>tertiair!P16</f>
        <v>171.6</v>
      </c>
      <c r="Q5" s="476">
        <f t="shared" ref="Q5:Q14" ca="1" si="0">SUM(B5:P5)</f>
        <v>111143.62724105702</v>
      </c>
    </row>
    <row r="6" spans="1:17">
      <c r="A6" s="476" t="s">
        <v>194</v>
      </c>
      <c r="B6" s="477">
        <f>'openbare verlichting'!B8</f>
        <v>2500.5250000000001</v>
      </c>
      <c r="C6" s="477"/>
      <c r="D6" s="477"/>
      <c r="E6" s="477"/>
      <c r="F6" s="477"/>
      <c r="G6" s="477"/>
      <c r="H6" s="477"/>
      <c r="I6" s="477"/>
      <c r="J6" s="477"/>
      <c r="K6" s="477"/>
      <c r="L6" s="477"/>
      <c r="M6" s="477"/>
      <c r="N6" s="477"/>
      <c r="O6" s="477"/>
      <c r="P6" s="478"/>
      <c r="Q6" s="476">
        <f t="shared" si="0"/>
        <v>2500.5250000000001</v>
      </c>
    </row>
    <row r="7" spans="1:17">
      <c r="A7" s="476" t="s">
        <v>112</v>
      </c>
      <c r="B7" s="477">
        <f>landbouw!B8</f>
        <v>3540.18</v>
      </c>
      <c r="C7" s="477">
        <f>landbouw!C8</f>
        <v>0</v>
      </c>
      <c r="D7" s="477">
        <f>landbouw!D8</f>
        <v>198.73655393602999</v>
      </c>
      <c r="E7" s="477">
        <f>landbouw!E8</f>
        <v>91.28764948031899</v>
      </c>
      <c r="F7" s="477">
        <f>landbouw!F8</f>
        <v>12940.032094530559</v>
      </c>
      <c r="G7" s="477">
        <f>landbouw!G8</f>
        <v>0</v>
      </c>
      <c r="H7" s="477">
        <f>landbouw!H8</f>
        <v>0</v>
      </c>
      <c r="I7" s="477">
        <f>landbouw!I8</f>
        <v>0</v>
      </c>
      <c r="J7" s="477">
        <f>landbouw!J8</f>
        <v>509.65568861235943</v>
      </c>
      <c r="K7" s="477">
        <f>landbouw!K8</f>
        <v>0</v>
      </c>
      <c r="L7" s="477">
        <f>landbouw!L8</f>
        <v>0</v>
      </c>
      <c r="M7" s="477">
        <f>landbouw!M8</f>
        <v>0</v>
      </c>
      <c r="N7" s="477">
        <f>landbouw!N8</f>
        <v>0</v>
      </c>
      <c r="O7" s="477">
        <f>landbouw!O8</f>
        <v>0</v>
      </c>
      <c r="P7" s="478">
        <f>landbouw!P8</f>
        <v>0</v>
      </c>
      <c r="Q7" s="476">
        <f t="shared" si="0"/>
        <v>17279.891986559265</v>
      </c>
    </row>
    <row r="8" spans="1:17">
      <c r="A8" s="476" t="s">
        <v>638</v>
      </c>
      <c r="B8" s="477">
        <f>industrie!B18</f>
        <v>82127.728000000003</v>
      </c>
      <c r="C8" s="477">
        <f>industrie!C18</f>
        <v>0</v>
      </c>
      <c r="D8" s="477">
        <f>industrie!D18</f>
        <v>118150.63927392001</v>
      </c>
      <c r="E8" s="477">
        <f>industrie!E18</f>
        <v>7092.8159837033209</v>
      </c>
      <c r="F8" s="477">
        <f>industrie!F18</f>
        <v>32867.573697574786</v>
      </c>
      <c r="G8" s="477">
        <f>industrie!G18</f>
        <v>0</v>
      </c>
      <c r="H8" s="477">
        <f>industrie!H18</f>
        <v>0</v>
      </c>
      <c r="I8" s="477">
        <f>industrie!I18</f>
        <v>0</v>
      </c>
      <c r="J8" s="477">
        <f>industrie!J18</f>
        <v>3102.583892817478</v>
      </c>
      <c r="K8" s="477">
        <f>industrie!K18</f>
        <v>0</v>
      </c>
      <c r="L8" s="477">
        <f>industrie!L18</f>
        <v>0</v>
      </c>
      <c r="M8" s="477">
        <f>industrie!M18</f>
        <v>0</v>
      </c>
      <c r="N8" s="477">
        <f>industrie!N18</f>
        <v>17628.174947355528</v>
      </c>
      <c r="O8" s="477">
        <f>industrie!O18</f>
        <v>0</v>
      </c>
      <c r="P8" s="478">
        <f>industrie!P18</f>
        <v>0</v>
      </c>
      <c r="Q8" s="476">
        <f t="shared" si="0"/>
        <v>260969.51579537115</v>
      </c>
    </row>
    <row r="9" spans="1:17" s="482" customFormat="1">
      <c r="A9" s="480" t="s">
        <v>564</v>
      </c>
      <c r="B9" s="481">
        <f>transport!B14</f>
        <v>54.258925061434624</v>
      </c>
      <c r="C9" s="481">
        <f>transport!C14</f>
        <v>0</v>
      </c>
      <c r="D9" s="481">
        <f>transport!D14</f>
        <v>128.49296688173979</v>
      </c>
      <c r="E9" s="481">
        <f>transport!E14</f>
        <v>564.76618047513432</v>
      </c>
      <c r="F9" s="481">
        <f>transport!F14</f>
        <v>0</v>
      </c>
      <c r="G9" s="481">
        <f>transport!G14</f>
        <v>210915.09741471856</v>
      </c>
      <c r="H9" s="481">
        <f>transport!H14</f>
        <v>35318.803352985393</v>
      </c>
      <c r="I9" s="481">
        <f>transport!I14</f>
        <v>0</v>
      </c>
      <c r="J9" s="481">
        <f>transport!J14</f>
        <v>0</v>
      </c>
      <c r="K9" s="481">
        <f>transport!K14</f>
        <v>0</v>
      </c>
      <c r="L9" s="481">
        <f>transport!L14</f>
        <v>0</v>
      </c>
      <c r="M9" s="481">
        <f>transport!M14</f>
        <v>7702.8932687796059</v>
      </c>
      <c r="N9" s="481">
        <f>transport!N14</f>
        <v>0</v>
      </c>
      <c r="O9" s="481">
        <f>transport!O14</f>
        <v>0</v>
      </c>
      <c r="P9" s="481">
        <f>transport!P14</f>
        <v>0</v>
      </c>
      <c r="Q9" s="480">
        <f>SUM(B9:P9)</f>
        <v>254684.31210890188</v>
      </c>
    </row>
    <row r="10" spans="1:17">
      <c r="A10" s="476" t="s">
        <v>554</v>
      </c>
      <c r="B10" s="477">
        <f>transport!B54</f>
        <v>0</v>
      </c>
      <c r="C10" s="477">
        <f>transport!C54</f>
        <v>0</v>
      </c>
      <c r="D10" s="477">
        <f>transport!D54</f>
        <v>0</v>
      </c>
      <c r="E10" s="477">
        <f>transport!E54</f>
        <v>0</v>
      </c>
      <c r="F10" s="477">
        <f>transport!F54</f>
        <v>0</v>
      </c>
      <c r="G10" s="477">
        <f>transport!G54</f>
        <v>1393.4864818336414</v>
      </c>
      <c r="H10" s="477">
        <f>transport!H54</f>
        <v>0</v>
      </c>
      <c r="I10" s="477">
        <f>transport!I54</f>
        <v>0</v>
      </c>
      <c r="J10" s="477">
        <f>transport!J54</f>
        <v>0</v>
      </c>
      <c r="K10" s="477">
        <f>transport!K54</f>
        <v>0</v>
      </c>
      <c r="L10" s="477">
        <f>transport!L54</f>
        <v>0</v>
      </c>
      <c r="M10" s="477">
        <f>transport!M54</f>
        <v>43.222833183482344</v>
      </c>
      <c r="N10" s="477">
        <f>transport!N54</f>
        <v>0</v>
      </c>
      <c r="O10" s="477">
        <f>transport!O54</f>
        <v>0</v>
      </c>
      <c r="P10" s="478">
        <f>transport!P54</f>
        <v>0</v>
      </c>
      <c r="Q10" s="476">
        <f t="shared" si="0"/>
        <v>1436.7093150171238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1472.1079999999999</v>
      </c>
      <c r="C14" s="484"/>
      <c r="D14" s="484">
        <f>'SEAP template'!E25</f>
        <v>3977.5213036</v>
      </c>
      <c r="E14" s="484"/>
      <c r="F14" s="484"/>
      <c r="G14" s="484"/>
      <c r="H14" s="484"/>
      <c r="I14" s="484"/>
      <c r="J14" s="484"/>
      <c r="K14" s="484"/>
      <c r="L14" s="484"/>
      <c r="M14" s="484"/>
      <c r="N14" s="484"/>
      <c r="O14" s="484"/>
      <c r="P14" s="485"/>
      <c r="Q14" s="476">
        <f t="shared" si="0"/>
        <v>5449.6293035999997</v>
      </c>
    </row>
    <row r="15" spans="1:17" s="486" customFormat="1">
      <c r="A15" s="1038" t="s">
        <v>558</v>
      </c>
      <c r="B15" s="978">
        <f ca="1">SUM(B4:B14)</f>
        <v>188431.84450963681</v>
      </c>
      <c r="C15" s="978">
        <f t="shared" ref="C15:Q15" ca="1" si="1">SUM(C4:C14)</f>
        <v>0</v>
      </c>
      <c r="D15" s="978">
        <f t="shared" ca="1" si="1"/>
        <v>305576.48398114817</v>
      </c>
      <c r="E15" s="978">
        <f t="shared" si="1"/>
        <v>18065.248975725408</v>
      </c>
      <c r="F15" s="978">
        <f t="shared" ca="1" si="1"/>
        <v>57133.166556950244</v>
      </c>
      <c r="G15" s="978">
        <f t="shared" si="1"/>
        <v>212308.58389655221</v>
      </c>
      <c r="H15" s="978">
        <f t="shared" si="1"/>
        <v>35318.803352985393</v>
      </c>
      <c r="I15" s="978">
        <f t="shared" si="1"/>
        <v>0</v>
      </c>
      <c r="J15" s="978">
        <f t="shared" si="1"/>
        <v>5481.8962207335353</v>
      </c>
      <c r="K15" s="978">
        <f t="shared" si="1"/>
        <v>0</v>
      </c>
      <c r="L15" s="978">
        <f t="shared" ca="1" si="1"/>
        <v>0</v>
      </c>
      <c r="M15" s="978">
        <f t="shared" si="1"/>
        <v>7746.1161019630881</v>
      </c>
      <c r="N15" s="978">
        <f t="shared" ca="1" si="1"/>
        <v>41725.935542941254</v>
      </c>
      <c r="O15" s="978">
        <f t="shared" si="1"/>
        <v>470.56333333333339</v>
      </c>
      <c r="P15" s="978">
        <f t="shared" si="1"/>
        <v>972.4</v>
      </c>
      <c r="Q15" s="978">
        <f t="shared" ca="1" si="1"/>
        <v>873231.0424719695</v>
      </c>
    </row>
    <row r="17" spans="1:17">
      <c r="A17" s="487" t="s">
        <v>559</v>
      </c>
      <c r="B17" s="786">
        <f ca="1">huishoudens!B10</f>
        <v>0.20180242025137832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10378.008144976362</v>
      </c>
      <c r="C22" s="477">
        <f t="shared" ref="C22:C32" ca="1" si="3">C4*$C$17</f>
        <v>0</v>
      </c>
      <c r="D22" s="477">
        <f t="shared" ref="D22:D32" si="4">D4*$D$17</f>
        <v>27186.538723835041</v>
      </c>
      <c r="E22" s="477">
        <f t="shared" ref="E22:E32" si="5">E4*$E$17</f>
        <v>2100.779819135958</v>
      </c>
      <c r="F22" s="477">
        <f t="shared" ref="F22:F32" si="6">F4*$F$17</f>
        <v>0</v>
      </c>
      <c r="G22" s="477">
        <f t="shared" ref="G22:G32" si="7">G4*$G$17</f>
        <v>0</v>
      </c>
      <c r="H22" s="477">
        <f t="shared" ref="H22:H32" si="8">H4*$H$17</f>
        <v>0</v>
      </c>
      <c r="I22" s="477">
        <f t="shared" ref="I22:I32" si="9">I4*$I$17</f>
        <v>0</v>
      </c>
      <c r="J22" s="477">
        <f t="shared" ref="J22:J32" si="10">J4*$J$17</f>
        <v>661.85845031350914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40327.185138260873</v>
      </c>
    </row>
    <row r="23" spans="1:17">
      <c r="A23" s="476" t="s">
        <v>156</v>
      </c>
      <c r="B23" s="477">
        <f t="shared" ca="1" si="2"/>
        <v>9547.366420659193</v>
      </c>
      <c r="C23" s="477">
        <f t="shared" ca="1" si="3"/>
        <v>0</v>
      </c>
      <c r="D23" s="477">
        <f t="shared" ca="1" si="4"/>
        <v>9803.9222404926586</v>
      </c>
      <c r="E23" s="477">
        <f t="shared" si="5"/>
        <v>241.03825065316823</v>
      </c>
      <c r="F23" s="477">
        <f t="shared" ca="1" si="6"/>
        <v>3023.9247242135884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22616.251636018609</v>
      </c>
    </row>
    <row r="24" spans="1:17">
      <c r="A24" s="476" t="s">
        <v>194</v>
      </c>
      <c r="B24" s="477">
        <f t="shared" ca="1" si="2"/>
        <v>504.61199689907778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504.61199689907778</v>
      </c>
    </row>
    <row r="25" spans="1:17">
      <c r="A25" s="476" t="s">
        <v>112</v>
      </c>
      <c r="B25" s="477">
        <f t="shared" ca="1" si="2"/>
        <v>714.41689212552444</v>
      </c>
      <c r="C25" s="477">
        <f t="shared" ca="1" si="3"/>
        <v>0</v>
      </c>
      <c r="D25" s="477">
        <f t="shared" si="4"/>
        <v>40.144783895078064</v>
      </c>
      <c r="E25" s="477">
        <f t="shared" si="5"/>
        <v>20.722296432032412</v>
      </c>
      <c r="F25" s="477">
        <f t="shared" si="6"/>
        <v>3454.9885692396597</v>
      </c>
      <c r="G25" s="477">
        <f t="shared" si="7"/>
        <v>0</v>
      </c>
      <c r="H25" s="477">
        <f t="shared" si="8"/>
        <v>0</v>
      </c>
      <c r="I25" s="477">
        <f t="shared" si="9"/>
        <v>0</v>
      </c>
      <c r="J25" s="477">
        <f t="shared" si="10"/>
        <v>180.41811376877521</v>
      </c>
      <c r="K25" s="477">
        <f t="shared" si="11"/>
        <v>0</v>
      </c>
      <c r="L25" s="477">
        <f t="shared" si="12"/>
        <v>0</v>
      </c>
      <c r="M25" s="477">
        <f t="shared" si="13"/>
        <v>0</v>
      </c>
      <c r="N25" s="477">
        <f t="shared" si="14"/>
        <v>0</v>
      </c>
      <c r="O25" s="477">
        <f t="shared" si="15"/>
        <v>0</v>
      </c>
      <c r="P25" s="478">
        <f t="shared" si="16"/>
        <v>0</v>
      </c>
      <c r="Q25" s="476">
        <f t="shared" ca="1" si="17"/>
        <v>4410.6906554610705</v>
      </c>
    </row>
    <row r="26" spans="1:17">
      <c r="A26" s="476" t="s">
        <v>638</v>
      </c>
      <c r="B26" s="477">
        <f t="shared" ca="1" si="2"/>
        <v>16573.574280146891</v>
      </c>
      <c r="C26" s="477">
        <f t="shared" ca="1" si="3"/>
        <v>0</v>
      </c>
      <c r="D26" s="477">
        <f t="shared" si="4"/>
        <v>23866.429133331843</v>
      </c>
      <c r="E26" s="477">
        <f t="shared" si="5"/>
        <v>1610.0692283006538</v>
      </c>
      <c r="F26" s="477">
        <f t="shared" si="6"/>
        <v>8775.6421772524682</v>
      </c>
      <c r="G26" s="477">
        <f t="shared" si="7"/>
        <v>0</v>
      </c>
      <c r="H26" s="477">
        <f t="shared" si="8"/>
        <v>0</v>
      </c>
      <c r="I26" s="477">
        <f t="shared" si="9"/>
        <v>0</v>
      </c>
      <c r="J26" s="477">
        <f t="shared" si="10"/>
        <v>1098.3146980573872</v>
      </c>
      <c r="K26" s="477">
        <f t="shared" si="11"/>
        <v>0</v>
      </c>
      <c r="L26" s="477">
        <f t="shared" si="12"/>
        <v>0</v>
      </c>
      <c r="M26" s="477">
        <f t="shared" si="13"/>
        <v>0</v>
      </c>
      <c r="N26" s="477">
        <f t="shared" si="14"/>
        <v>0</v>
      </c>
      <c r="O26" s="477">
        <f t="shared" si="15"/>
        <v>0</v>
      </c>
      <c r="P26" s="478">
        <f t="shared" si="16"/>
        <v>0</v>
      </c>
      <c r="Q26" s="476">
        <f t="shared" ca="1" si="17"/>
        <v>51924.02951708925</v>
      </c>
    </row>
    <row r="27" spans="1:17" s="482" customFormat="1">
      <c r="A27" s="480" t="s">
        <v>564</v>
      </c>
      <c r="B27" s="780">
        <f t="shared" ca="1" si="2"/>
        <v>10.949582397635673</v>
      </c>
      <c r="C27" s="481">
        <f t="shared" ca="1" si="3"/>
        <v>0</v>
      </c>
      <c r="D27" s="481">
        <f t="shared" si="4"/>
        <v>25.955579310111439</v>
      </c>
      <c r="E27" s="481">
        <f t="shared" si="5"/>
        <v>128.2019229678555</v>
      </c>
      <c r="F27" s="481">
        <f t="shared" si="6"/>
        <v>0</v>
      </c>
      <c r="G27" s="481">
        <f t="shared" si="7"/>
        <v>56314.33100972986</v>
      </c>
      <c r="H27" s="481">
        <f t="shared" si="8"/>
        <v>8794.3820348933623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65273.820129298823</v>
      </c>
    </row>
    <row r="28" spans="1:17">
      <c r="A28" s="476" t="s">
        <v>554</v>
      </c>
      <c r="B28" s="477">
        <f t="shared" ca="1" si="2"/>
        <v>0</v>
      </c>
      <c r="C28" s="477">
        <f t="shared" ca="1" si="3"/>
        <v>0</v>
      </c>
      <c r="D28" s="477">
        <f t="shared" si="4"/>
        <v>0</v>
      </c>
      <c r="E28" s="477">
        <f t="shared" si="5"/>
        <v>0</v>
      </c>
      <c r="F28" s="477">
        <f t="shared" si="6"/>
        <v>0</v>
      </c>
      <c r="G28" s="477">
        <f t="shared" si="7"/>
        <v>372.06089064958229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372.06089064958229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297.074957271416</v>
      </c>
      <c r="C32" s="477">
        <f t="shared" ca="1" si="3"/>
        <v>0</v>
      </c>
      <c r="D32" s="477">
        <f t="shared" si="4"/>
        <v>803.45930332720002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1100.5342605986161</v>
      </c>
    </row>
    <row r="33" spans="1:17" s="486" customFormat="1">
      <c r="A33" s="1038" t="s">
        <v>558</v>
      </c>
      <c r="B33" s="978">
        <f ca="1">SUM(B22:B32)</f>
        <v>38026.002274476101</v>
      </c>
      <c r="C33" s="978">
        <f t="shared" ref="C33:Q33" ca="1" si="18">SUM(C22:C32)</f>
        <v>0</v>
      </c>
      <c r="D33" s="978">
        <f t="shared" ca="1" si="18"/>
        <v>61726.44976419193</v>
      </c>
      <c r="E33" s="978">
        <f t="shared" si="18"/>
        <v>4100.8115174896684</v>
      </c>
      <c r="F33" s="978">
        <f t="shared" ca="1" si="18"/>
        <v>15254.555470705716</v>
      </c>
      <c r="G33" s="978">
        <f t="shared" si="18"/>
        <v>56686.391900379444</v>
      </c>
      <c r="H33" s="978">
        <f t="shared" si="18"/>
        <v>8794.3820348933623</v>
      </c>
      <c r="I33" s="978">
        <f t="shared" si="18"/>
        <v>0</v>
      </c>
      <c r="J33" s="978">
        <f t="shared" si="18"/>
        <v>1940.5912621396715</v>
      </c>
      <c r="K33" s="978">
        <f t="shared" si="18"/>
        <v>0</v>
      </c>
      <c r="L33" s="978">
        <f t="shared" ca="1" si="18"/>
        <v>0</v>
      </c>
      <c r="M33" s="978">
        <f t="shared" si="18"/>
        <v>0</v>
      </c>
      <c r="N33" s="978">
        <f t="shared" ca="1" si="18"/>
        <v>0</v>
      </c>
      <c r="O33" s="978">
        <f t="shared" si="18"/>
        <v>0</v>
      </c>
      <c r="P33" s="978">
        <f t="shared" si="18"/>
        <v>0</v>
      </c>
      <c r="Q33" s="978">
        <f t="shared" ca="1" si="18"/>
        <v>186529.18422427593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16368.485801600138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16368.485801600138</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0.20180242025137832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0.20180242025137832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2019-08-12T08:24:34Z</dcterms:modified>
</cp:coreProperties>
</file>