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O20" s="1"/>
  <c r="K19" i="18"/>
  <c r="N89" i="14" s="1"/>
  <c r="J19" i="18"/>
  <c r="I19"/>
  <c r="I89" i="14" s="1"/>
  <c r="I19" i="59" s="1"/>
  <c r="H19" i="18"/>
  <c r="G19"/>
  <c r="H89" i="14" s="1"/>
  <c r="H19" i="59" s="1"/>
  <c r="F19" i="18"/>
  <c r="E19"/>
  <c r="D19"/>
  <c r="E89" i="14" s="1"/>
  <c r="E19" i="59" s="1"/>
  <c r="C19" i="18"/>
  <c r="D89" i="14" s="1"/>
  <c r="D19" i="59" s="1"/>
  <c r="B19" i="18"/>
  <c r="N18"/>
  <c r="L88" i="14" s="1"/>
  <c r="M18" i="18"/>
  <c r="K88" i="14" s="1"/>
  <c r="L18" i="18"/>
  <c r="K18"/>
  <c r="J18"/>
  <c r="J88" i="14" s="1"/>
  <c r="J18" i="59" s="1"/>
  <c r="I18" i="18"/>
  <c r="H18"/>
  <c r="G18"/>
  <c r="F18"/>
  <c r="F20" s="1"/>
  <c r="E18"/>
  <c r="F88" i="14" s="1"/>
  <c r="F18" i="59" s="1"/>
  <c r="D18" i="18"/>
  <c r="C18"/>
  <c r="B18"/>
  <c r="L9"/>
  <c r="L10" s="1"/>
  <c r="K9"/>
  <c r="I9"/>
  <c r="I77" i="14" s="1"/>
  <c r="I9" i="59" s="1"/>
  <c r="G9" i="18"/>
  <c r="H77" i="14" s="1"/>
  <c r="H9" i="59" s="1"/>
  <c r="F9" i="18"/>
  <c r="D9"/>
  <c r="D10" s="1"/>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E9" s="1"/>
  <c r="F77" i="14" s="1"/>
  <c r="F9" i="59" s="1"/>
  <c r="R89" i="18"/>
  <c r="Q89"/>
  <c r="P89"/>
  <c r="C9" s="1"/>
  <c r="D77" i="14" s="1"/>
  <c r="D9" i="59" s="1"/>
  <c r="O89" i="18"/>
  <c r="N89"/>
  <c r="B9" s="1"/>
  <c r="M89"/>
  <c r="W61"/>
  <c r="V61"/>
  <c r="U61"/>
  <c r="T61"/>
  <c r="S61"/>
  <c r="F6" i="17" s="1"/>
  <c r="R61" i="18"/>
  <c r="Q61"/>
  <c r="P61"/>
  <c r="O61"/>
  <c r="N61"/>
  <c r="M61"/>
  <c r="W60"/>
  <c r="V60"/>
  <c r="U60"/>
  <c r="T60"/>
  <c r="S60"/>
  <c r="F13" i="15" s="1"/>
  <c r="R60" i="18"/>
  <c r="Q60"/>
  <c r="P60"/>
  <c r="O60"/>
  <c r="N60"/>
  <c r="B13" i="15" s="1"/>
  <c r="M60" i="18"/>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74" i="14" s="1"/>
  <c r="B6" i="59" s="1"/>
  <c r="B5" i="18"/>
  <c r="B73" i="14" s="1"/>
  <c r="B5" i="59" s="1"/>
  <c r="B4" i="18"/>
  <c r="N6" i="17"/>
  <c r="L6"/>
  <c r="D6"/>
  <c r="D5"/>
  <c r="B19" i="6"/>
  <c r="B18"/>
  <c r="B5"/>
  <c r="C29" i="14" s="1"/>
  <c r="B6" i="6"/>
  <c r="D14" i="48"/>
  <c r="P7"/>
  <c r="O7"/>
  <c r="O25" s="1"/>
  <c r="M7"/>
  <c r="K7"/>
  <c r="I7"/>
  <c r="H7"/>
  <c r="G7"/>
  <c r="P10"/>
  <c r="O10"/>
  <c r="N10"/>
  <c r="L10"/>
  <c r="K10"/>
  <c r="J10"/>
  <c r="I10"/>
  <c r="H10"/>
  <c r="F10"/>
  <c r="E10"/>
  <c r="D10"/>
  <c r="C10"/>
  <c r="P9"/>
  <c r="P27" s="1"/>
  <c r="O9"/>
  <c r="O27" s="1"/>
  <c r="N9"/>
  <c r="L9"/>
  <c r="K9"/>
  <c r="J9"/>
  <c r="I9"/>
  <c r="F9"/>
  <c r="C9"/>
  <c r="P13"/>
  <c r="O13"/>
  <c r="N13"/>
  <c r="L13"/>
  <c r="K13"/>
  <c r="J13"/>
  <c r="I13"/>
  <c r="F13"/>
  <c r="E13"/>
  <c r="D13"/>
  <c r="C13"/>
  <c r="B13"/>
  <c r="M8"/>
  <c r="K8"/>
  <c r="I8"/>
  <c r="H8"/>
  <c r="G8"/>
  <c r="B12"/>
  <c r="P17"/>
  <c r="P32" s="1"/>
  <c r="O17"/>
  <c r="M4"/>
  <c r="L4"/>
  <c r="K4"/>
  <c r="I4"/>
  <c r="H4"/>
  <c r="G4"/>
  <c r="P11"/>
  <c r="P29" s="1"/>
  <c r="O11"/>
  <c r="N11"/>
  <c r="M11"/>
  <c r="L11"/>
  <c r="K11"/>
  <c r="J11"/>
  <c r="I11"/>
  <c r="H11"/>
  <c r="G11"/>
  <c r="F11"/>
  <c r="E11"/>
  <c r="D11"/>
  <c r="C11"/>
  <c r="B11"/>
  <c r="Q11" s="1"/>
  <c r="O32"/>
  <c r="P31"/>
  <c r="O31"/>
  <c r="Q12"/>
  <c r="O29"/>
  <c r="P28"/>
  <c r="O28"/>
  <c r="M89" i="14"/>
  <c r="M19" i="59" s="1"/>
  <c r="L89" i="14"/>
  <c r="L19" i="59" s="1"/>
  <c r="K89" i="14"/>
  <c r="K19" i="59" s="1"/>
  <c r="J89" i="14"/>
  <c r="J19" i="59" s="1"/>
  <c r="G89" i="14"/>
  <c r="G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O77" i="14"/>
  <c r="N77"/>
  <c r="N9" i="59" s="1"/>
  <c r="L77" i="14"/>
  <c r="L9" i="59" s="1"/>
  <c r="K77" i="14"/>
  <c r="K9" i="59" s="1"/>
  <c r="G77" i="14"/>
  <c r="G9" i="59" s="1"/>
  <c r="E77" i="14"/>
  <c r="E9" i="59" s="1"/>
  <c r="O76" i="14"/>
  <c r="O8" i="59" s="1"/>
  <c r="N76" i="14"/>
  <c r="N8" i="59" s="1"/>
  <c r="L76" i="14"/>
  <c r="K76"/>
  <c r="K8" i="59" s="1"/>
  <c r="H76" i="14"/>
  <c r="G76"/>
  <c r="G8" i="59" s="1"/>
  <c r="G10" s="1"/>
  <c r="E76" i="14"/>
  <c r="E8" i="59" s="1"/>
  <c r="E10" s="1"/>
  <c r="B75" i="14"/>
  <c r="B7" i="59" s="1"/>
  <c r="B72" i="14"/>
  <c r="B4"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G22" s="1"/>
  <c r="D20"/>
  <c r="Q19"/>
  <c r="P19"/>
  <c r="O19"/>
  <c r="M19"/>
  <c r="L19"/>
  <c r="L22" s="1"/>
  <c r="K19"/>
  <c r="J19"/>
  <c r="I19"/>
  <c r="G19"/>
  <c r="F19"/>
  <c r="E19"/>
  <c r="D19"/>
  <c r="Q48"/>
  <c r="P48"/>
  <c r="O48"/>
  <c r="M48"/>
  <c r="L48"/>
  <c r="K48"/>
  <c r="J48"/>
  <c r="G48"/>
  <c r="D48"/>
  <c r="Q18"/>
  <c r="Q22" s="1"/>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K78"/>
  <c r="J56"/>
  <c r="H56"/>
  <c r="I56"/>
  <c r="Q52"/>
  <c r="P52"/>
  <c r="R44"/>
  <c r="E25"/>
  <c r="E55" s="1"/>
  <c r="C25"/>
  <c r="B14" i="48" s="1"/>
  <c r="N26" i="14"/>
  <c r="L26"/>
  <c r="J26"/>
  <c r="I26"/>
  <c r="D22"/>
  <c r="P22"/>
  <c r="M22"/>
  <c r="R12"/>
  <c r="N19" i="59" l="1"/>
  <c r="N90" i="14"/>
  <c r="L18" i="59"/>
  <c r="L90" i="14"/>
  <c r="K18" i="59"/>
  <c r="K90" i="14"/>
  <c r="H10" i="59"/>
  <c r="L78" i="14"/>
  <c r="L8" i="59"/>
  <c r="L10" s="1"/>
  <c r="H90" i="14"/>
  <c r="H18" i="59"/>
  <c r="H20" s="1"/>
  <c r="H78" i="14"/>
  <c r="H8" i="59"/>
  <c r="K10"/>
  <c r="C98" i="18"/>
  <c r="D13" i="15"/>
  <c r="O90" i="14"/>
  <c r="G20" i="18"/>
  <c r="C13" i="15"/>
  <c r="O78" i="14"/>
  <c r="O9" i="59"/>
  <c r="O10" s="1"/>
  <c r="E20"/>
  <c r="R9" i="14"/>
  <c r="N20" i="59"/>
  <c r="K20"/>
  <c r="P25" i="48"/>
  <c r="R25" i="14"/>
  <c r="G78"/>
  <c r="N10" i="59"/>
  <c r="L20"/>
  <c r="B8" i="18"/>
  <c r="B10" s="1"/>
  <c r="O19"/>
  <c r="L13" i="15"/>
  <c r="N13"/>
  <c r="Q77" i="14"/>
  <c r="P9" i="59" s="1"/>
  <c r="O9" i="18"/>
  <c r="O18"/>
  <c r="B89" i="14"/>
  <c r="B19" i="59" s="1"/>
  <c r="G88" i="14"/>
  <c r="F89"/>
  <c r="I101" i="18"/>
  <c r="H8" s="1"/>
  <c r="E101"/>
  <c r="E8" s="1"/>
  <c r="H101"/>
  <c r="D101"/>
  <c r="G101"/>
  <c r="C101"/>
  <c r="F101"/>
  <c r="B101"/>
  <c r="C8" s="1"/>
  <c r="I102"/>
  <c r="H17" s="1"/>
  <c r="E102"/>
  <c r="E17" s="1"/>
  <c r="H102"/>
  <c r="D102"/>
  <c r="G102"/>
  <c r="C102"/>
  <c r="F102"/>
  <c r="B102"/>
  <c r="C17" s="1"/>
  <c r="B77" i="14"/>
  <c r="B9" i="59" s="1"/>
  <c r="Q14" i="48"/>
  <c r="O24"/>
  <c r="O30"/>
  <c r="P24"/>
  <c r="P30"/>
  <c r="C77" i="14"/>
  <c r="C9" i="59" s="1"/>
  <c r="C88" i="14"/>
  <c r="C18" i="59" s="1"/>
  <c r="E78" i="14"/>
  <c r="E90"/>
  <c r="N78"/>
  <c r="G90" l="1"/>
  <c r="G18" i="59"/>
  <c r="G20" s="1"/>
  <c r="Q88" i="14"/>
  <c r="P18" i="59" s="1"/>
  <c r="B88" i="14"/>
  <c r="B18" i="59" s="1"/>
  <c r="C89" i="14"/>
  <c r="C19" i="59" s="1"/>
  <c r="F19"/>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22"/>
  <c r="I29"/>
  <c r="I24"/>
  <c r="I26"/>
  <c r="I30"/>
  <c r="I25"/>
  <c r="I31"/>
  <c r="I28"/>
  <c r="D4"/>
  <c r="D22" s="1"/>
  <c r="E11" i="14"/>
  <c r="H32" i="48"/>
  <c r="H25"/>
  <c r="H28"/>
  <c r="H22"/>
  <c r="H30"/>
  <c r="H24"/>
  <c r="H29"/>
  <c r="H26"/>
  <c r="H23"/>
  <c r="C4"/>
  <c r="D11" i="14"/>
  <c r="G32" i="48"/>
  <c r="G25"/>
  <c r="G29"/>
  <c r="G26"/>
  <c r="G22"/>
  <c r="G30"/>
  <c r="G24"/>
  <c r="G23"/>
  <c r="B4"/>
  <c r="C11" i="14"/>
  <c r="F32" i="48"/>
  <c r="F31"/>
  <c r="F29"/>
  <c r="F27"/>
  <c r="F28"/>
  <c r="F24"/>
  <c r="F30"/>
  <c r="N32"/>
  <c r="N31"/>
  <c r="N29"/>
  <c r="N27"/>
  <c r="N30"/>
  <c r="N28"/>
  <c r="N24"/>
  <c r="B10"/>
  <c r="C19" i="14"/>
  <c r="E31" i="48"/>
  <c r="E29"/>
  <c r="E28"/>
  <c r="E32"/>
  <c r="E24"/>
  <c r="E30"/>
  <c r="M29"/>
  <c r="M32"/>
  <c r="M26"/>
  <c r="M30"/>
  <c r="M24"/>
  <c r="M22"/>
  <c r="M25"/>
  <c r="M23"/>
  <c r="L10" i="14"/>
  <c r="L16" s="1"/>
  <c r="L27" s="1"/>
  <c r="K5" i="48"/>
  <c r="D29"/>
  <c r="D28"/>
  <c r="D30"/>
  <c r="D32"/>
  <c r="D24"/>
  <c r="D31"/>
  <c r="L29"/>
  <c r="L28"/>
  <c r="L32"/>
  <c r="L30"/>
  <c r="L31"/>
  <c r="L27"/>
  <c r="L24"/>
  <c r="L22"/>
  <c r="P5"/>
  <c r="P23" s="1"/>
  <c r="Q10" i="14"/>
  <c r="K28" i="48"/>
  <c r="K27"/>
  <c r="K32"/>
  <c r="K25"/>
  <c r="K31"/>
  <c r="K29"/>
  <c r="K22"/>
  <c r="K30"/>
  <c r="K26"/>
  <c r="K24"/>
  <c r="C24" i="14"/>
  <c r="C26" s="1"/>
  <c r="B7" i="48"/>
  <c r="J28"/>
  <c r="J27"/>
  <c r="J32"/>
  <c r="J24"/>
  <c r="J30"/>
  <c r="J31"/>
  <c r="J29"/>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15" i="48"/>
  <c r="K23"/>
  <c r="J46" i="14"/>
  <c r="J61" s="1"/>
  <c r="K33" i="48"/>
  <c r="Q16" i="14"/>
  <c r="Q27" s="1"/>
  <c r="P8" i="48"/>
  <c r="P26" s="1"/>
  <c r="Q13" i="14"/>
  <c r="F20"/>
  <c r="F22" s="1"/>
  <c r="E9" i="48"/>
  <c r="E27" s="1"/>
  <c r="E20" i="14"/>
  <c r="E22" s="1"/>
  <c r="D9" i="48"/>
  <c r="D27" s="1"/>
  <c r="O5"/>
  <c r="O23" s="1"/>
  <c r="P10" i="14"/>
  <c r="J7" i="48"/>
  <c r="J25" s="1"/>
  <c r="K24" i="14"/>
  <c r="K26" s="1"/>
  <c r="P22" i="48"/>
  <c r="C20" i="14"/>
  <c r="B9" i="48"/>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F11"/>
  <c r="R11" s="1"/>
  <c r="E4" i="48"/>
  <c r="R18" i="14"/>
  <c r="N4" i="48"/>
  <c r="N22" s="1"/>
  <c r="O11" i="14"/>
  <c r="G31" i="48"/>
  <c r="Q13"/>
  <c r="I23"/>
  <c r="I33" s="1"/>
  <c r="I15"/>
  <c r="J4"/>
  <c r="K11" i="14"/>
  <c r="E7" i="48"/>
  <c r="E25" s="1"/>
  <c r="F24" i="14"/>
  <c r="F26" s="1"/>
  <c r="N20"/>
  <c r="M9" i="48"/>
  <c r="O22" i="16"/>
  <c r="P43" i="14" s="1"/>
  <c r="P46" s="1"/>
  <c r="P61" s="1"/>
  <c r="P63" s="1"/>
  <c r="O8" i="48"/>
  <c r="O26" s="1"/>
  <c r="O33" s="1"/>
  <c r="P13" i="14"/>
  <c r="P16" s="1"/>
  <c r="P27" s="1"/>
  <c r="I20"/>
  <c r="H9" i="48"/>
  <c r="M10"/>
  <c r="M28" s="1"/>
  <c r="N19" i="14"/>
  <c r="G10" i="48"/>
  <c r="H19" i="14"/>
  <c r="R19" s="1"/>
  <c r="Q63"/>
  <c r="J63"/>
  <c r="I22"/>
  <c r="I27" s="1"/>
  <c r="O15" i="48"/>
  <c r="G14" i="22"/>
  <c r="P15" i="48"/>
  <c r="P33"/>
  <c r="C22" i="14"/>
  <c r="N22"/>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M18" i="22"/>
  <c r="N50" i="14" s="1"/>
  <c r="N52" s="1"/>
  <c r="N61" s="1"/>
  <c r="N63" s="1"/>
  <c r="J20" i="15"/>
  <c r="K40" i="14" s="1"/>
  <c r="N20" i="15"/>
  <c r="O40" i="14" s="1"/>
  <c r="F20" i="15"/>
  <c r="G40" i="14" s="1"/>
  <c r="N5" i="16"/>
  <c r="E5"/>
  <c r="J5"/>
  <c r="C35" i="13"/>
  <c r="F5" i="16"/>
  <c r="C36" i="13"/>
  <c r="N12"/>
  <c r="O41" i="14" s="1"/>
  <c r="C38" i="13"/>
  <c r="C39"/>
  <c r="C32"/>
  <c r="C34"/>
  <c r="J12"/>
  <c r="K41" i="14" s="1"/>
  <c r="L20" i="15"/>
  <c r="M40" i="14" s="1"/>
  <c r="E22" i="48" l="1"/>
  <c r="Q4"/>
  <c r="E5"/>
  <c r="E23" s="1"/>
  <c r="F10" i="14"/>
  <c r="H20"/>
  <c r="R20" s="1"/>
  <c r="G9" i="48"/>
  <c r="J22"/>
  <c r="J5"/>
  <c r="J23" s="1"/>
  <c r="K10" i="14"/>
  <c r="H27" i="48"/>
  <c r="H33" s="1"/>
  <c r="H15"/>
  <c r="G28"/>
  <c r="Q10"/>
  <c r="M27"/>
  <c r="M33" s="1"/>
  <c r="M15"/>
  <c r="I63" i="14"/>
  <c r="H22"/>
  <c r="H27" s="1"/>
  <c r="R22"/>
  <c r="R24"/>
  <c r="R26" s="1"/>
  <c r="Q7" i="48"/>
  <c r="E20" i="15"/>
  <c r="F40" i="14" s="1"/>
  <c r="J18" i="16"/>
  <c r="E18"/>
  <c r="F18"/>
  <c r="F22" s="1"/>
  <c r="G43" i="14" s="1"/>
  <c r="N18" i="16"/>
  <c r="G18" i="22"/>
  <c r="H50" i="14" s="1"/>
  <c r="H52" s="1"/>
  <c r="H61" s="1"/>
  <c r="H18" i="22"/>
  <c r="I50" i="14" s="1"/>
  <c r="I52" s="1"/>
  <c r="I61" s="1"/>
  <c r="E8" i="48" l="1"/>
  <c r="F13" i="14"/>
  <c r="F16" s="1"/>
  <c r="F27" s="1"/>
  <c r="G27" i="48"/>
  <c r="G33" s="1"/>
  <c r="G15"/>
  <c r="Q9"/>
  <c r="J22" i="16"/>
  <c r="K43" i="14" s="1"/>
  <c r="K46" s="1"/>
  <c r="K61" s="1"/>
  <c r="J8" i="48"/>
  <c r="J26" s="1"/>
  <c r="K13" i="14"/>
  <c r="K16" s="1"/>
  <c r="K27" s="1"/>
  <c r="H63"/>
  <c r="E22" i="16"/>
  <c r="F43" i="14" s="1"/>
  <c r="F46" s="1"/>
  <c r="F61" s="1"/>
  <c r="F63" s="1"/>
  <c r="J15" i="48"/>
  <c r="J33"/>
  <c r="N8"/>
  <c r="N26" s="1"/>
  <c r="O13" i="14"/>
  <c r="N22" i="16"/>
  <c r="O43" i="14" s="1"/>
  <c r="G13"/>
  <c r="F8" i="48"/>
  <c r="E26" l="1"/>
  <c r="E33" s="1"/>
  <c r="E15"/>
  <c r="R13" i="14"/>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<sst xmlns="http://schemas.openxmlformats.org/spreadsheetml/2006/main" count="2401" uniqueCount="897">
  <si>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</si>
  <si>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</si>
  <si>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</si>
  <si>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</si>
  <si>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</si>
  <si>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</si>
  <si>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</si>
  <si>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</si>
  <si>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</si>
  <si>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</si>
  <si>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</si>
  <si>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</si>
  <si>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</si>
  <si>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</si>
  <si>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</si>
  <si>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</si>
  <si>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</si>
  <si>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</si>
  <si>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</si>
  <si>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</si>
  <si>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</si>
  <si>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</si>
  <si>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</si>
  <si>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</si>
  <si>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</si>
  <si>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</si>
  <si>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</si>
  <si>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</si>
  <si>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</si>
  <si>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</si>
  <si>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</si>
  <si>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</si>
  <si>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</si>
  <si>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</si>
  <si>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</si>
  <si>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</si>
  <si>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</si>
  <si>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</si>
  <si>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</si>
  <si>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</si>
  <si>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</si>
  <si>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</si>
  <si>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</si>
  <si>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</si>
  <si>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</si>
  <si>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</si>
  <si>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</si>
  <si>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</si>
  <si>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</si>
  <si>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</si>
  <si>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</si>
  <si>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</si>
  <si>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</si>
  <si>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</si>
  <si>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</si>
  <si>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</si>
  <si>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</si>
  <si>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</si>
  <si>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</si>
  <si>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</si>
  <si>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</si>
  <si>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</si>
  <si>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</si>
  <si>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</si>
  <si>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</si>
  <si>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</si>
  <si>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</si>
  <si>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</si>
  <si>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</si>
  <si>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</si>
  <si>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</si>
  <si>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</si>
  <si>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</si>
  <si>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</si>
  <si>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</si>
  <si>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</si>
  <si>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</si>
  <si>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</si>
  <si>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</si>
  <si>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</si>
  <si>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</si>
  <si>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</si>
  <si>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</si>
  <si>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</si>
  <si>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</si>
  <si>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</si>
  <si>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</si>
  <si>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</si>
  <si>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</si>
  <si>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</si>
  <si>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</si>
  <si>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</si>
  <si>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</si>
  <si>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</si>
  <si>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</si>
  <si>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</si>
  <si>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</si>
  <si>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</si>
  <si>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</si>
  <si>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</si>
  <si>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</si>
  <si>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</si>
  <si>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</si>
  <si>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</si>
  <si>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</si>
  <si>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</si>
  <si>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</si>
  <si>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</si>
  <si>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</si>
  <si>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</si>
  <si>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</si>
  <si>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</si>
  <si>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</si>
  <si>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</si>
  <si>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</si>
  <si>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</si>
  <si>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</si>
  <si>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</si>
  <si>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</si>
  <si>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</si>
  <si>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</si>
  <si>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</si>
  <si>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</si>
  <si>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</si>
  <si>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</si>
  <si>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</si>
  <si>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</si>
  <si>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</si>
  <si>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</si>
  <si>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</si>
  <si>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</si>
  <si>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</si>
  <si>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</si>
  <si>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</si>
  <si>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</si>
  <si>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</si>
  <si>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</si>
  <si>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</si>
  <si>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</si>
  <si>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</si>
  <si>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</si>
  <si>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</si>
  <si>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</si>
  <si>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</si>
  <si>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</si>
  <si>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</si>
  <si>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</si>
  <si>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</si>
  <si>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</si>
  <si>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</si>
  <si>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</si>
  <si>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</si>
  <si>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</si>
  <si>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</si>
  <si>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</si>
  <si>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</si>
  <si>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</si>
  <si>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</si>
  <si>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</si>
  <si>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</si>
  <si>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</si>
  <si>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</si>
  <si>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</si>
  <si>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</si>
  <si>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</si>
  <si>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</si>
  <si>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</si>
  <si>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</si>
  <si>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</si>
  <si>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</si>
  <si>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</si>
  <si>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</si>
  <si>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</si>
  <si>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</si>
  <si>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</si>
  <si>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</si>
  <si>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</si>
  <si>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</si>
  <si>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</si>
  <si>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</si>
  <si>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</si>
  <si>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</si>
  <si>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</si>
  <si>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</si>
  <si>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</si>
  <si>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</si>
  <si>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</si>
  <si>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</si>
  <si>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</si>
  <si>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</si>
  <si>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</si>
  <si>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</si>
  <si>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</si>
  <si>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</si>
  <si>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</si>
  <si>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</si>
  <si>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</si>
  <si>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</si>
  <si>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</si>
  <si>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</si>
  <si>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</si>
  <si>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</si>
  <si>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</si>
  <si>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</si>
  <si>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</si>
  <si>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</si>
  <si>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</si>
  <si>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</si>
  <si>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</si>
  <si>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</si>
  <si>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</si>
  <si>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</si>
  <si>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</si>
  <si>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</si>
  <si>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</si>
  <si>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</si>
  <si>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</si>
  <si>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</si>
  <si>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</si>
  <si>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</si>
  <si>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</si>
  <si>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</si>
  <si>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</si>
  <si>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</si>
  <si>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</si>
  <si>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</si>
  <si>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</si>
  <si>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</si>
  <si>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</si>
  <si>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</si>
  <si>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</si>
  <si>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</si>
  <si>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</si>
  <si>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</si>
  <si>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</si>
  <si>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</si>
  <si>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</si>
  <si>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</si>
  <si>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</si>
  <si>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</si>
  <si>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</si>
  <si>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</si>
  <si>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</si>
  <si>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</si>
  <si>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</si>
  <si>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</si>
  <si>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</si>
  <si>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</si>
  <si>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</si>
  <si>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</si>
  <si>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</si>
  <si>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</si>
  <si>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</si>
  <si>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</si>
  <si>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</si>
  <si>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</si>
  <si>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</si>
  <si>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</si>
  <si>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</si>
  <si>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</si>
  <si>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</si>
  <si>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</si>
  <si>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</si>
  <si>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</si>
  <si>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</si>
  <si>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</si>
  <si>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</si>
  <si>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</si>
  <si>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</si>
  <si>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</si>
  <si>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</si>
  <si>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</si>
  <si>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</si>
  <si>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</si>
  <si>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</si>
  <si>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</si>
  <si>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</si>
  <si>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</si>
  <si>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</si>
  <si>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</si>
  <si>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</si>
  <si>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</si>
  <si>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</si>
  <si>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</si>
  <si>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</si>
  <si>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</si>
  <si>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</si>
  <si>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</si>
  <si>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</si>
  <si>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</si>
  <si>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</si>
  <si>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</si>
  <si>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</si>
  <si>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</si>
  <si>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</si>
  <si>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</si>
  <si>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</si>
  <si>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</si>
  <si>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</si>
  <si>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</si>
  <si>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</si>
  <si>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</si>
  <si>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</si>
  <si>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</si>
  <si>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</si>
  <si>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</si>
  <si>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</si>
  <si>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</si>
  <si>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</si>
  <si>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</si>
  <si>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</si>
  <si>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</si>
  <si>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</si>
  <si>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</si>
  <si>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</si>
  <si>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</si>
  <si>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</si>
  <si>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</si>
  <si>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</si>
  <si>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</si>
  <si>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</si>
  <si>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</si>
  <si>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</si>
  <si>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</si>
  <si>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</si>
  <si>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</si>
  <si>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</si>
  <si>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</si>
  <si>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</si>
  <si>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</si>
  <si>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</si>
  <si>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</si>
  <si>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</si>
  <si>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</si>
  <si>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</si>
  <si>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</si>
  <si>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</si>
  <si>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</si>
  <si>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</si>
  <si>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</si>
  <si>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</si>
  <si>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</si>
  <si>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</si>
  <si>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</si>
  <si>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</si>
  <si>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</si>
  <si>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</si>
  <si>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</si>
  <si>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</si>
  <si>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</si>
  <si>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</si>
  <si>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</si>
  <si>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</si>
  <si>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</si>
  <si>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</si>
  <si>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</si>
  <si>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</si>
  <si>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</si>
  <si>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</si>
  <si>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</si>
  <si>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</si>
  <si>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</si>
  <si>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</si>
  <si>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</si>
  <si>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</si>
  <si>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</si>
  <si>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</si>
  <si>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</si>
  <si>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</si>
  <si>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</si>
  <si>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</si>
  <si>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</si>
  <si>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</si>
  <si>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</si>
  <si>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</si>
  <si>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</si>
  <si>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</si>
  <si>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</si>
  <si>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</si>
  <si>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</si>
  <si>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</si>
  <si>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</si>
  <si>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</si>
  <si>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</si>
  <si>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</si>
  <si>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</si>
  <si>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</si>
  <si>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</si>
  <si>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</si>
  <si>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</si>
  <si>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</si>
  <si>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</si>
  <si>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</si>
  <si>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</si>
  <si>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</si>
  <si>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</si>
  <si>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</si>
  <si>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</si>
  <si>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</si>
  <si>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</si>
  <si>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</si>
  <si>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</si>
  <si>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</si>
  <si>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</si>
  <si>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</si>
  <si>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</si>
  <si>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</si>
  <si>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</si>
  <si>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</si>
  <si>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</si>
  <si>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</si>
  <si>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</si>
  <si>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</si>
  <si>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</si>
  <si>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</si>
  <si>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</si>
  <si>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</si>
  <si>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</si>
  <si>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</si>
  <si>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</si>
  <si>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</si>
  <si>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</si>
  <si>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</si>
  <si>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</si>
  <si>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</si>
  <si>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</si>
  <si>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</si>
  <si>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</si>
  <si>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</si>
  <si>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</si>
  <si>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</si>
  <si>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</si>
  <si>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</si>
  <si>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</si>
  <si>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</si>
  <si>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</si>
  <si>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</si>
  <si>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</si>
  <si>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</si>
  <si>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</si>
  <si>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</si>
  <si>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</si>
  <si>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</si>
  <si>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</si>
  <si>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</si>
  <si>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</si>
  <si>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</si>
  <si>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</si>
  <si>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</si>
  <si>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</si>
  <si>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</si>
  <si>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</si>
  <si>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</si>
  <si>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</si>
  <si>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</si>
  <si>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</si>
  <si>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</si>
  <si>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</si>
  <si>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</si>
  <si>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</si>
  <si>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</si>
  <si>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</si>
  <si>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</si>
  <si>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</si>
  <si>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</si>
  <si>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</si>
  <si>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</si>
  <si>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</si>
  <si>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</si>
  <si>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</si>
  <si>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</si>
  <si>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</si>
  <si>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</si>
  <si>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</si>
  <si>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</si>
  <si>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</si>
  <si>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</si>
  <si>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</si>
  <si>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</si>
  <si>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</si>
  <si>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</si>
  <si>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</si>
  <si>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</si>
  <si>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</si>
  <si>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</si>
  <si>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</si>
  <si>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</si>
  <si>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</si>
  <si>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</si>
  <si>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</si>
  <si>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</si>
  <si>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</si>
  <si>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</si>
  <si>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</si>
  <si>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</si>
  <si>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</si>
  <si>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</si>
  <si>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</si>
  <si>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</si>
  <si>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</si>
  <si>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</si>
  <si>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</si>
  <si>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</si>
  <si>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</si>
  <si>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</si>
  <si>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</si>
  <si>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</si>
  <si>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</si>
  <si>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</si>
  <si>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</si>
  <si>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</si>
  <si>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</si>
  <si>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</si>
  <si>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</si>
  <si>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</si>
  <si>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</si>
  <si>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</si>
  <si>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</si>
  <si>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</si>
  <si>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</si>
  <si>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</si>
  <si>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</si>
  <si>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</si>
  <si>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</si>
  <si>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</si>
  <si>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</si>
  <si>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</si>
  <si>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</si>
  <si>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</si>
  <si>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</si>
  <si>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</si>
  <si>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</si>
  <si>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</si>
  <si>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</si>
  <si>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</si>
  <si>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</si>
  <si>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</si>
  <si>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</si>
  <si>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</si>
  <si>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</si>
  <si>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</si>
  <si>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</si>
  <si>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</si>
  <si>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</si>
  <si>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</si>
  <si>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</si>
  <si>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</si>
  <si>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</si>
  <si>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</si>
  <si>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</si>
  <si>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</si>
  <si>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</si>
  <si>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</si>
  <si>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</si>
  <si>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</si>
  <si>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</si>
  <si>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</si>
  <si>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</si>
  <si>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</si>
  <si>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</si>
  <si>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</si>
  <si>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</si>
  <si>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</si>
  <si>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</si>
  <si>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</si>
  <si>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</si>
  <si>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</si>
  <si>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</si>
  <si>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</si>
  <si>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</si>
  <si>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</si>
  <si>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</si>
  <si>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</si>
  <si>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</si>
  <si>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</si>
  <si>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</si>
  <si>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</si>
  <si>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</si>
  <si>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</si>
  <si>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</si>
  <si>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</si>
  <si>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</si>
  <si>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</si>
  <si>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</si>
  <si>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</si>
  <si>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</si>
  <si>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</si>
  <si>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</si>
  <si>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</si>
  <si>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</si>
  <si>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</si>
  <si>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</si>
  <si>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</si>
  <si>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</si>
  <si>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</si>
  <si>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</si>
  <si>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</si>
  <si>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</si>
  <si>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</si>
  <si>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</si>
  <si>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</si>
  <si>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</si>
  <si>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</si>
  <si>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</si>
  <si>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</si>
  <si>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</si>
  <si>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</si>
  <si>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</si>
  <si>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</si>
  <si>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</si>
  <si>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</si>
  <si>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</si>
  <si>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</si>
  <si>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</si>
  <si>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</si>
  <si>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</si>
  <si>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</si>
  <si>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</si>
  <si>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</si>
  <si>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</si>
  <si>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</si>
  <si>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</si>
  <si>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</si>
  <si>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</si>
  <si>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</si>
  <si>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</si>
  <si>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</si>
  <si>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</si>
  <si>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</si>
  <si>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</si>
  <si>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</si>
  <si>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</si>
  <si>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</si>
  <si>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</si>
  <si>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</si>
  <si>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</si>
  <si>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</si>
  <si>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</si>
  <si>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</si>
  <si>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</si>
  <si>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</si>
  <si>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</si>
  <si>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</si>
  <si>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</si>
  <si>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</si>
  <si>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</si>
  <si>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</si>
  <si>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</si>
  <si>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</si>
  <si>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</si>
  <si>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</si>
  <si>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</si>
  <si>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</si>
  <si>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</si>
  <si>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</si>
  <si>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</si>
  <si>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</si>
  <si>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</si>
  <si>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</si>
  <si>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</si>
  <si>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</si>
  <si>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</si>
  <si>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</si>
  <si>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</si>
  <si>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</si>
  <si>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</si>
  <si>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</si>
  <si>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</si>
  <si>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</si>
  <si>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</si>
  <si>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</si>
  <si>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</si>
  <si>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</si>
  <si>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</si>
  <si>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</si>
  <si>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</si>
  <si>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</si>
  <si>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</si>
  <si>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</si>
  <si>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</si>
  <si>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</si>
  <si>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</si>
  <si>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</si>
  <si>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</si>
  <si>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</si>
  <si>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</si>
  <si>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</si>
  <si>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</si>
  <si>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</si>
  <si>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</si>
  <si>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</si>
  <si>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</si>
  <si>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</si>
  <si>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</si>
  <si>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</si>
  <si>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</si>
  <si>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</si>
  <si>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</si>
  <si>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</si>
  <si>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</si>
  <si>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</si>
  <si>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</si>
  <si>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</si>
  <si>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</si>
  <si>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</si>
  <si>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</si>
  <si>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</si>
  <si>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</si>
  <si>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</si>
  <si>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</si>
  <si>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</si>
  <si>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</si>
  <si>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</si>
  <si>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</si>
  <si>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</si>
  <si>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</si>
  <si>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</si>
  <si>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</si>
  <si>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</si>
  <si>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</si>
  <si>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</si>
  <si>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</si>
  <si>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</si>
  <si>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</si>
  <si>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</si>
  <si>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</si>
  <si>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</si>
  <si>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</si>
  <si>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</si>
  <si>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</si>
  <si>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</si>
  <si>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</si>
  <si>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</si>
  <si>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</si>
  <si>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</si>
  <si>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</si>
  <si>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</si>
  <si>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</si>
  <si>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</si>
  <si>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</si>
  <si>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</si>
  <si>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</si>
  <si>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</si>
  <si>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</si>
  <si>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</si>
  <si>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</si>
  <si>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</si>
  <si>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</si>
  <si>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</si>
  <si>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</si>
  <si>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</si>
  <si>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</si>
  <si>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</si>
  <si>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</si>
  <si>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</si>
  <si>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</si>
  <si>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</si>
  <si>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</si>
  <si>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</si>
  <si>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</si>
  <si>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</si>
  <si>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</si>
  <si>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</si>
  <si>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</si>
  <si>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</si>
  <si>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</si>
  <si>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</si>
  <si>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</si>
  <si>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</si>
  <si>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</si>
  <si>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</si>
  <si>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</si>
  <si>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</si>
  <si>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</si>
  <si>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</si>
  <si>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</si>
  <si>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</si>
  <si>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</si>
  <si>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</si>
  <si>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</si>
  <si>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</si>
  <si>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</si>
  <si>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</si>
  <si>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</si>
  <si>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</si>
  <si>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</si>
  <si>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</si>
  <si>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</si>
  <si>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</si>
  <si>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</si>
  <si>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</si>
  <si>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</si>
  <si>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</si>
  <si>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</si>
  <si>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</si>
  <si>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</si>
  <si>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</si>
  <si>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</si>
  <si>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</si>
  <si>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</si>
  <si>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</si>
  <si>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</si>
  <si>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</si>
  <si>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</si>
  <si>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</si>
  <si>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</si>
  <si>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</si>
  <si>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</si>
  <si>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</si>
  <si>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</si>
  <si>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</si>
  <si>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</si>
  <si>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</si>
  <si>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</si>
  <si>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</si>
  <si>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</si>
  <si>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</si>
  <si>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</si>
  <si>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</si>
  <si>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</si>
  <si>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</si>
  <si>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</si>
  <si>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</si>
  <si>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</si>
  <si>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</si>
  <si>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</si>
  <si>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</si>
  <si>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</si>
  <si>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</si>
  <si>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</si>
  <si>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</si>
  <si>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</si>
  <si>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</si>
  <si>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</si>
  <si>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</si>
  <si>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</si>
  <si>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</si>
  <si>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</si>
  <si>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</si>
  <si>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</si>
  <si>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</si>
  <si>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</si>
  <si>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</si>
  <si>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</si>
  <si>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</si>
  <si>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</si>
  <si>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</si>
  <si>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</si>
  <si>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</si>
  <si>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</si>
  <si>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</si>
  <si>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</si>
  <si>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</si>
  <si>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</si>
  <si>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</si>
  <si>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</si>
  <si>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</si>
  <si>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</si>
  <si>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</si>
  <si>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</si>
  <si>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</si>
  <si>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</si>
  <si>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</si>
  <si>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</si>
  <si>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</si>
  <si>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</si>
  <si>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</si>
  <si>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</si>
  <si>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</si>
  <si>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</si>
  <si>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</si>
  <si>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</si>
  <si>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</si>
  <si>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</si>
  <si>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</si>
  <si>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</si>
  <si>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</si>
  <si>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</si>
  <si>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</si>
  <si>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</si>
  <si>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</si>
  <si>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</si>
  <si>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34027</t>
  </si>
  <si>
    <t>MENEN</t>
  </si>
  <si>
    <t>Paarden&amp;pony's 200 - 600 kg</t>
  </si>
  <si>
    <t>Paarden&amp;pony's &lt; 200 kg</t>
  </si>
  <si>
    <t>referentietaak LNE (2017); Jaarverslag De Lijn (2015)</t>
  </si>
  <si>
    <t>op basis van VEA (maart 2018) en Inventaris Hernieuwbare Energiebronnen (juni 2018)</t>
  </si>
  <si>
    <t>VEA (januari 2017)</t>
  </si>
  <si>
    <t>VEA (juni 2018)</t>
  </si>
  <si>
    <t>Leiestroom NV</t>
  </si>
  <si>
    <t>Dulle-Grietlaan 17/6 , 9050 Gentbrugge</t>
  </si>
  <si>
    <t>WKK-0533 Leiestroom</t>
  </si>
  <si>
    <t>interne verbrandingsmotor</t>
  </si>
  <si>
    <t>WKK interne verbrandinsgmotor (gas)</t>
  </si>
  <si>
    <t>Ropswalle 26 , 8930 Menen</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</si>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</sst>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224065.41754163741</c:v>
                </c:pt>
                <c:pt idx="1">
                  <c:v>148442.26857241584</c:v>
                </c:pt>
                <c:pt idx="2">
                  <c:v>2441.2370000000001</c:v>
                </c:pt>
                <c:pt idx="3">
                  <c:v>6008.749051113823</c:v>
                </c:pt>
                <c:pt idx="4">
                  <c:v>128102.22679432105</c:v>
                </c:pt>
                <c:pt idx="5">
                  <c:v>195648.86320937084</c:v>
                </c:pt>
                <c:pt idx="6">
                  <c:v>2290.8585081748961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224065.41754163741</c:v>
                </c:pt>
                <c:pt idx="1">
                  <c:v>148442.26857241584</c:v>
                </c:pt>
                <c:pt idx="2">
                  <c:v>2441.2370000000001</c:v>
                </c:pt>
                <c:pt idx="3">
                  <c:v>6008.749051113823</c:v>
                </c:pt>
                <c:pt idx="4">
                  <c:v>128102.22679432105</c:v>
                </c:pt>
                <c:pt idx="5">
                  <c:v>195648.86320937084</c:v>
                </c:pt>
                <c:pt idx="6">
                  <c:v>2290.8585081748961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41236.494489516605</c:v>
                </c:pt>
                <c:pt idx="2">
                  <c:v>24890.570222802729</c:v>
                </c:pt>
                <c:pt idx="3">
                  <c:v>423.39182362451783</c:v>
                </c:pt>
                <c:pt idx="4">
                  <c:v>1487.4719649797703</c:v>
                </c:pt>
                <c:pt idx="5">
                  <c:v>23781.922159875732</c:v>
                </c:pt>
                <c:pt idx="6">
                  <c:v>50127.293264551743</c:v>
                </c:pt>
                <c:pt idx="7">
                  <c:v>593.25769520298991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23360"/>
        <c:axId val="184034048"/>
      </c:barChart>
      <c:catAx>
        <c:axId val="183823360"/>
        <c:scaling>
          <c:orientation val="minMax"/>
        </c:scaling>
        <c:axPos val="b"/>
        <c:numFmt formatCode="General" sourceLinked="0"/>
        <c:tickLblPos val="nextTo"/>
        <c:crossAx val="184034048"/>
        <c:crosses val="autoZero"/>
        <c:auto val="1"/>
        <c:lblAlgn val="ctr"/>
        <c:lblOffset val="100"/>
      </c:catAx>
      <c:valAx>
        <c:axId val="184034048"/>
        <c:scaling>
          <c:orientation val="minMax"/>
        </c:scaling>
        <c:axPos val="l"/>
        <c:majorGridlines/>
        <c:numFmt formatCode="#,##0" sourceLinked="1"/>
        <c:tickLblPos val="nextTo"/>
        <c:crossAx val="18382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41236.494489516605</c:v>
                </c:pt>
                <c:pt idx="2">
                  <c:v>24890.570222802729</c:v>
                </c:pt>
                <c:pt idx="3">
                  <c:v>423.39182362451783</c:v>
                </c:pt>
                <c:pt idx="4">
                  <c:v>1487.4719649797703</c:v>
                </c:pt>
                <c:pt idx="5">
                  <c:v>23781.922159875732</c:v>
                </c:pt>
                <c:pt idx="6">
                  <c:v>50127.293264551743</c:v>
                </c:pt>
                <c:pt idx="7">
                  <c:v>593.25769520298991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34027</v>
      </c>
      <c r="B6" s="415"/>
      <c r="C6" s="416"/>
    </row>
    <row r="7" spans="1:7" s="413" customFormat="1" ht="15.75" customHeight="1">
      <c r="A7" s="417" t="str">
        <f>txtMunicipality</f>
        <v>MENEN</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0.1734333141864218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0.1734333141864218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34027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14227</v>
      </c>
      <c r="C9" s="342">
        <v>14721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1458.22</v>
      </c>
    </row>
    <row r="15" spans="1:6">
      <c r="A15" s="348" t="s">
        <v>184</v>
      </c>
      <c r="B15" s="334">
        <v>18</v>
      </c>
    </row>
    <row r="16" spans="1:6">
      <c r="A16" s="348" t="s">
        <v>6</v>
      </c>
      <c r="B16" s="334">
        <v>496</v>
      </c>
    </row>
    <row r="17" spans="1:6">
      <c r="A17" s="348" t="s">
        <v>7</v>
      </c>
      <c r="B17" s="334">
        <v>344</v>
      </c>
    </row>
    <row r="18" spans="1:6">
      <c r="A18" s="348" t="s">
        <v>8</v>
      </c>
      <c r="B18" s="334">
        <v>433</v>
      </c>
    </row>
    <row r="19" spans="1:6">
      <c r="A19" s="348" t="s">
        <v>9</v>
      </c>
      <c r="B19" s="334">
        <v>397</v>
      </c>
    </row>
    <row r="20" spans="1:6">
      <c r="A20" s="348" t="s">
        <v>10</v>
      </c>
      <c r="B20" s="334">
        <v>422</v>
      </c>
    </row>
    <row r="21" spans="1:6">
      <c r="A21" s="348" t="s">
        <v>11</v>
      </c>
      <c r="B21" s="334">
        <v>2913</v>
      </c>
    </row>
    <row r="22" spans="1:6">
      <c r="A22" s="348" t="s">
        <v>12</v>
      </c>
      <c r="B22" s="334">
        <v>8180</v>
      </c>
    </row>
    <row r="23" spans="1:6">
      <c r="A23" s="348" t="s">
        <v>13</v>
      </c>
      <c r="B23" s="334">
        <v>96</v>
      </c>
    </row>
    <row r="24" spans="1:6">
      <c r="A24" s="348" t="s">
        <v>14</v>
      </c>
      <c r="B24" s="334">
        <v>5</v>
      </c>
    </row>
    <row r="25" spans="1:6">
      <c r="A25" s="348" t="s">
        <v>15</v>
      </c>
      <c r="B25" s="334">
        <v>778</v>
      </c>
    </row>
    <row r="26" spans="1:6">
      <c r="A26" s="348" t="s">
        <v>16</v>
      </c>
      <c r="B26" s="334">
        <v>196</v>
      </c>
    </row>
    <row r="27" spans="1:6">
      <c r="A27" s="348" t="s">
        <v>17</v>
      </c>
      <c r="B27" s="334">
        <v>2</v>
      </c>
    </row>
    <row r="28" spans="1:6" s="356" customFormat="1">
      <c r="A28" s="355" t="s">
        <v>18</v>
      </c>
      <c r="B28" s="355">
        <v>122120</v>
      </c>
    </row>
    <row r="29" spans="1:6">
      <c r="A29" s="355" t="s">
        <v>884</v>
      </c>
      <c r="B29" s="355">
        <v>111</v>
      </c>
      <c r="C29" s="356"/>
      <c r="D29" s="356"/>
      <c r="E29" s="356"/>
      <c r="F29" s="356"/>
    </row>
    <row r="30" spans="1:6">
      <c r="A30" s="355" t="s">
        <v>885</v>
      </c>
      <c r="B30" s="341">
        <v>11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7</v>
      </c>
      <c r="D36" s="334">
        <v>14874.728963</v>
      </c>
      <c r="E36" s="334">
        <v>6</v>
      </c>
      <c r="F36" s="334">
        <v>10086.346062000001</v>
      </c>
    </row>
    <row r="37" spans="1:6">
      <c r="A37" s="348" t="s">
        <v>25</v>
      </c>
      <c r="B37" s="348" t="s">
        <v>28</v>
      </c>
      <c r="C37" s="334">
        <v>0</v>
      </c>
      <c r="D37" s="334">
        <v>0</v>
      </c>
      <c r="E37" s="334">
        <v>0</v>
      </c>
      <c r="F37" s="334">
        <v>0</v>
      </c>
    </row>
    <row r="38" spans="1:6">
      <c r="A38" s="348" t="s">
        <v>25</v>
      </c>
      <c r="B38" s="348" t="s">
        <v>29</v>
      </c>
      <c r="C38" s="334">
        <v>1</v>
      </c>
      <c r="D38" s="334">
        <v>12259.108833</v>
      </c>
      <c r="E38" s="334">
        <v>3</v>
      </c>
      <c r="F38" s="334">
        <v>10458.839888</v>
      </c>
    </row>
    <row r="39" spans="1:6">
      <c r="A39" s="348" t="s">
        <v>30</v>
      </c>
      <c r="B39" s="348" t="s">
        <v>31</v>
      </c>
      <c r="C39" s="334">
        <v>12195</v>
      </c>
      <c r="D39" s="334">
        <v>162367475.5</v>
      </c>
      <c r="E39" s="334">
        <v>14143</v>
      </c>
      <c r="F39" s="334">
        <v>43749485.906999998</v>
      </c>
    </row>
    <row r="40" spans="1:6">
      <c r="A40" s="348" t="s">
        <v>30</v>
      </c>
      <c r="B40" s="348" t="s">
        <v>29</v>
      </c>
      <c r="C40" s="334">
        <v>0</v>
      </c>
      <c r="D40" s="334">
        <v>0</v>
      </c>
      <c r="E40" s="334">
        <v>0</v>
      </c>
      <c r="F40" s="334">
        <v>0</v>
      </c>
    </row>
    <row r="41" spans="1:6">
      <c r="A41" s="348" t="s">
        <v>32</v>
      </c>
      <c r="B41" s="348" t="s">
        <v>33</v>
      </c>
      <c r="C41" s="334">
        <v>155</v>
      </c>
      <c r="D41" s="334">
        <v>3147762.9016999998</v>
      </c>
      <c r="E41" s="334">
        <v>272</v>
      </c>
      <c r="F41" s="334">
        <v>9249065.2804000005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786032.02943999995</v>
      </c>
      <c r="E44" s="334">
        <v>37</v>
      </c>
      <c r="F44" s="334">
        <v>877049.50780999998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43</v>
      </c>
      <c r="D48" s="334">
        <v>53981938.502999999</v>
      </c>
      <c r="E48" s="334">
        <v>59</v>
      </c>
      <c r="F48" s="334">
        <v>25557084.577</v>
      </c>
    </row>
    <row r="49" spans="1:6">
      <c r="A49" s="348" t="s">
        <v>32</v>
      </c>
      <c r="B49" s="348" t="s">
        <v>40</v>
      </c>
      <c r="C49" s="334">
        <v>4</v>
      </c>
      <c r="D49" s="334">
        <v>484694.70176999999</v>
      </c>
      <c r="E49" s="334">
        <v>13</v>
      </c>
      <c r="F49" s="334">
        <v>1505715.9047999999</v>
      </c>
    </row>
    <row r="50" spans="1:6">
      <c r="A50" s="348" t="s">
        <v>32</v>
      </c>
      <c r="B50" s="348" t="s">
        <v>41</v>
      </c>
      <c r="C50" s="334">
        <v>65</v>
      </c>
      <c r="D50" s="334">
        <v>4672824.3868000004</v>
      </c>
      <c r="E50" s="334">
        <v>123</v>
      </c>
      <c r="F50" s="334">
        <v>4886768.2106999997</v>
      </c>
    </row>
    <row r="51" spans="1:6">
      <c r="A51" s="348" t="s">
        <v>42</v>
      </c>
      <c r="B51" s="348" t="s">
        <v>43</v>
      </c>
      <c r="C51" s="334">
        <v>7</v>
      </c>
      <c r="D51" s="334">
        <v>172303.2672</v>
      </c>
      <c r="E51" s="334">
        <v>66</v>
      </c>
      <c r="F51" s="334">
        <v>952255.04746999999</v>
      </c>
    </row>
    <row r="52" spans="1:6">
      <c r="A52" s="348" t="s">
        <v>42</v>
      </c>
      <c r="B52" s="348" t="s">
        <v>29</v>
      </c>
      <c r="C52" s="334">
        <v>4</v>
      </c>
      <c r="D52" s="334">
        <v>166225.83418000001</v>
      </c>
      <c r="E52" s="334">
        <v>9</v>
      </c>
      <c r="F52" s="334">
        <v>229810.64058000001</v>
      </c>
    </row>
    <row r="53" spans="1:6">
      <c r="A53" s="348" t="s">
        <v>44</v>
      </c>
      <c r="B53" s="348" t="s">
        <v>45</v>
      </c>
      <c r="C53" s="334">
        <v>372</v>
      </c>
      <c r="D53" s="334">
        <v>5076557.5988999996</v>
      </c>
      <c r="E53" s="334">
        <v>523</v>
      </c>
      <c r="F53" s="334">
        <v>1495607.2101</v>
      </c>
    </row>
    <row r="54" spans="1:6">
      <c r="A54" s="348" t="s">
        <v>46</v>
      </c>
      <c r="B54" s="348" t="s">
        <v>47</v>
      </c>
      <c r="C54" s="334">
        <v>0</v>
      </c>
      <c r="D54" s="334">
        <v>0</v>
      </c>
      <c r="E54" s="334">
        <v>1</v>
      </c>
      <c r="F54" s="334">
        <v>2441237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121</v>
      </c>
      <c r="D57" s="334">
        <v>3888549.6294999998</v>
      </c>
      <c r="E57" s="334">
        <v>197</v>
      </c>
      <c r="F57" s="334">
        <v>6101323.8395999996</v>
      </c>
    </row>
    <row r="58" spans="1:6">
      <c r="A58" s="348" t="s">
        <v>49</v>
      </c>
      <c r="B58" s="348" t="s">
        <v>51</v>
      </c>
      <c r="C58" s="334">
        <v>131</v>
      </c>
      <c r="D58" s="334">
        <v>13836289.195</v>
      </c>
      <c r="E58" s="334">
        <v>147</v>
      </c>
      <c r="F58" s="334">
        <v>6281681.5685000001</v>
      </c>
    </row>
    <row r="59" spans="1:6">
      <c r="A59" s="348" t="s">
        <v>49</v>
      </c>
      <c r="B59" s="348" t="s">
        <v>52</v>
      </c>
      <c r="C59" s="334">
        <v>384</v>
      </c>
      <c r="D59" s="334">
        <v>12214217.465</v>
      </c>
      <c r="E59" s="334">
        <v>600</v>
      </c>
      <c r="F59" s="334">
        <v>17256370.614</v>
      </c>
    </row>
    <row r="60" spans="1:6">
      <c r="A60" s="348" t="s">
        <v>49</v>
      </c>
      <c r="B60" s="348" t="s">
        <v>53</v>
      </c>
      <c r="C60" s="334">
        <v>146</v>
      </c>
      <c r="D60" s="334">
        <v>4692472.4117000001</v>
      </c>
      <c r="E60" s="334">
        <v>177</v>
      </c>
      <c r="F60" s="334">
        <v>3197717.8218</v>
      </c>
    </row>
    <row r="61" spans="1:6">
      <c r="A61" s="348" t="s">
        <v>49</v>
      </c>
      <c r="B61" s="348" t="s">
        <v>54</v>
      </c>
      <c r="C61" s="334">
        <v>263</v>
      </c>
      <c r="D61" s="334">
        <v>9013505.8597999997</v>
      </c>
      <c r="E61" s="334">
        <v>501</v>
      </c>
      <c r="F61" s="334">
        <v>14110425.137</v>
      </c>
    </row>
    <row r="62" spans="1:6">
      <c r="A62" s="348" t="s">
        <v>49</v>
      </c>
      <c r="B62" s="348" t="s">
        <v>55</v>
      </c>
      <c r="C62" s="334">
        <v>27</v>
      </c>
      <c r="D62" s="334">
        <v>3194567.1053999998</v>
      </c>
      <c r="E62" s="334">
        <v>30</v>
      </c>
      <c r="F62" s="334">
        <v>1102796.5778000001</v>
      </c>
    </row>
    <row r="63" spans="1:6">
      <c r="A63" s="348" t="s">
        <v>49</v>
      </c>
      <c r="B63" s="348" t="s">
        <v>29</v>
      </c>
      <c r="C63" s="334">
        <v>96</v>
      </c>
      <c r="D63" s="334">
        <v>11030719.804</v>
      </c>
      <c r="E63" s="334">
        <v>64</v>
      </c>
      <c r="F63" s="334">
        <v>1217432.4583000001</v>
      </c>
    </row>
    <row r="64" spans="1:6">
      <c r="A64" s="348" t="s">
        <v>56</v>
      </c>
      <c r="B64" s="348" t="s">
        <v>57</v>
      </c>
      <c r="C64" s="334">
        <v>0</v>
      </c>
      <c r="D64" s="334">
        <v>0</v>
      </c>
      <c r="E64" s="334">
        <v>0</v>
      </c>
      <c r="F64" s="334">
        <v>0</v>
      </c>
    </row>
    <row r="65" spans="1:6">
      <c r="A65" s="348" t="s">
        <v>56</v>
      </c>
      <c r="B65" s="348" t="s">
        <v>29</v>
      </c>
      <c r="C65" s="334">
        <v>1</v>
      </c>
      <c r="D65" s="334">
        <v>85768.466698000004</v>
      </c>
      <c r="E65" s="334">
        <v>3</v>
      </c>
      <c r="F65" s="334">
        <v>31475.658845000002</v>
      </c>
    </row>
    <row r="66" spans="1:6">
      <c r="A66" s="348" t="s">
        <v>56</v>
      </c>
      <c r="B66" s="348" t="s">
        <v>58</v>
      </c>
      <c r="C66" s="334">
        <v>0</v>
      </c>
      <c r="D66" s="334">
        <v>0</v>
      </c>
      <c r="E66" s="334">
        <v>16</v>
      </c>
      <c r="F66" s="334">
        <v>733801.71103999997</v>
      </c>
    </row>
    <row r="67" spans="1:6">
      <c r="A67" s="355" t="s">
        <v>56</v>
      </c>
      <c r="B67" s="355" t="s">
        <v>59</v>
      </c>
      <c r="C67" s="334">
        <v>0</v>
      </c>
      <c r="D67" s="334">
        <v>0</v>
      </c>
      <c r="E67" s="334">
        <v>0</v>
      </c>
      <c r="F67" s="334">
        <v>0</v>
      </c>
    </row>
    <row r="68" spans="1:6">
      <c r="A68" s="341" t="s">
        <v>56</v>
      </c>
      <c r="B68" s="341" t="s">
        <v>60</v>
      </c>
      <c r="C68" s="334">
        <v>16</v>
      </c>
      <c r="D68" s="334">
        <v>558398.18600999995</v>
      </c>
      <c r="E68" s="334">
        <v>35</v>
      </c>
      <c r="F68" s="334">
        <v>1245098.6261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86531445</v>
      </c>
      <c r="E73" s="475">
        <v>93354821.22715503</v>
      </c>
    </row>
    <row r="74" spans="1:6">
      <c r="A74" s="348" t="s">
        <v>64</v>
      </c>
      <c r="B74" s="348" t="s">
        <v>667</v>
      </c>
      <c r="C74" s="1294" t="s">
        <v>669</v>
      </c>
      <c r="D74" s="475">
        <v>6706277.3180898428</v>
      </c>
      <c r="E74" s="475">
        <v>7122219.0609698892</v>
      </c>
    </row>
    <row r="75" spans="1:6">
      <c r="A75" s="348" t="s">
        <v>65</v>
      </c>
      <c r="B75" s="348" t="s">
        <v>666</v>
      </c>
      <c r="C75" s="1294" t="s">
        <v>670</v>
      </c>
      <c r="D75" s="475">
        <v>27824041</v>
      </c>
      <c r="E75" s="475">
        <v>30080283.85625685</v>
      </c>
    </row>
    <row r="76" spans="1:6">
      <c r="A76" s="348" t="s">
        <v>65</v>
      </c>
      <c r="B76" s="348" t="s">
        <v>667</v>
      </c>
      <c r="C76" s="1294" t="s">
        <v>671</v>
      </c>
      <c r="D76" s="475">
        <v>1013247.318089843</v>
      </c>
      <c r="E76" s="475">
        <v>1089101.6705230277</v>
      </c>
    </row>
    <row r="77" spans="1:6">
      <c r="A77" s="348" t="s">
        <v>66</v>
      </c>
      <c r="B77" s="348" t="s">
        <v>666</v>
      </c>
      <c r="C77" s="1294" t="s">
        <v>672</v>
      </c>
      <c r="D77" s="475">
        <v>80012864</v>
      </c>
      <c r="E77" s="475">
        <v>84638890.109517947</v>
      </c>
    </row>
    <row r="78" spans="1:6">
      <c r="A78" s="341" t="s">
        <v>66</v>
      </c>
      <c r="B78" s="341" t="s">
        <v>667</v>
      </c>
      <c r="C78" s="341" t="s">
        <v>673</v>
      </c>
      <c r="D78" s="1295">
        <v>16886567</v>
      </c>
      <c r="E78" s="1295">
        <v>17284873.574308287</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615293.36382031394</v>
      </c>
      <c r="C83" s="475">
        <v>615293.36382031394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8113.7159571026823</v>
      </c>
    </row>
    <row r="91" spans="1:6">
      <c r="A91" s="348" t="s">
        <v>68</v>
      </c>
      <c r="B91" s="334">
        <v>4333.8410134127835</v>
      </c>
    </row>
    <row r="92" spans="1:6">
      <c r="A92" s="341" t="s">
        <v>69</v>
      </c>
      <c r="B92" s="342">
        <v>7612.8765003904327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9352</v>
      </c>
    </row>
    <row r="98" spans="1:6">
      <c r="A98" s="348" t="s">
        <v>72</v>
      </c>
      <c r="B98" s="334">
        <v>4</v>
      </c>
    </row>
    <row r="99" spans="1:6">
      <c r="A99" s="348" t="s">
        <v>73</v>
      </c>
      <c r="B99" s="334">
        <v>84</v>
      </c>
    </row>
    <row r="100" spans="1:6">
      <c r="A100" s="348" t="s">
        <v>74</v>
      </c>
      <c r="B100" s="334">
        <v>634</v>
      </c>
    </row>
    <row r="101" spans="1:6">
      <c r="A101" s="348" t="s">
        <v>75</v>
      </c>
      <c r="B101" s="334">
        <v>133</v>
      </c>
    </row>
    <row r="102" spans="1:6">
      <c r="A102" s="348" t="s">
        <v>76</v>
      </c>
      <c r="B102" s="334">
        <v>247</v>
      </c>
    </row>
    <row r="103" spans="1:6">
      <c r="A103" s="348" t="s">
        <v>77</v>
      </c>
      <c r="B103" s="334">
        <v>504</v>
      </c>
    </row>
    <row r="104" spans="1:6">
      <c r="A104" s="348" t="s">
        <v>78</v>
      </c>
      <c r="B104" s="334">
        <v>2008</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18</v>
      </c>
    </row>
    <row r="124" spans="1:6">
      <c r="A124" s="341" t="s">
        <v>89</v>
      </c>
      <c r="B124" s="334">
        <v>1</v>
      </c>
      <c r="C124" s="334">
        <v>2</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182</v>
      </c>
    </row>
    <row r="130" spans="1:6">
      <c r="A130" s="348" t="s">
        <v>295</v>
      </c>
      <c r="B130" s="334">
        <v>3</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158685.2156707446</v>
      </c>
      <c r="C3" s="43" t="s">
        <v>170</v>
      </c>
      <c r="D3" s="43"/>
      <c r="E3" s="154"/>
      <c r="F3" s="43"/>
      <c r="G3" s="43"/>
      <c r="H3" s="43"/>
      <c r="I3" s="43"/>
      <c r="J3" s="43"/>
      <c r="K3" s="96"/>
    </row>
    <row r="4" spans="1:11">
      <c r="A4" s="383" t="s">
        <v>171</v>
      </c>
      <c r="B4" s="49">
        <f>IF(ISERROR('SEAP template'!B78+'SEAP template'!C78),0,'SEAP template'!B78+'SEAP template'!C78)</f>
        <v>34154.433470905897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0.1734333141864218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20134.285714285714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2441.2370000000001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2441.2370000000001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0.1734333141864218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423.39182362451783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43749.485906999995</v>
      </c>
      <c r="C5" s="17">
        <f>IF(ISERROR('Eigen informatie GS &amp; warmtenet'!B57),0,'Eigen informatie GS &amp; warmtenet'!B57)</f>
        <v>0</v>
      </c>
      <c r="D5" s="30">
        <f>(SUM(HH_hh_gas_kWh,HH_rest_gas_kWh)/1000)*0.902</f>
        <v>146455.46290099999</v>
      </c>
      <c r="E5" s="17">
        <f>B46*B57</f>
        <v>3990.2419171349866</v>
      </c>
      <c r="F5" s="17">
        <f>B51*B62</f>
        <v>0</v>
      </c>
      <c r="G5" s="18"/>
      <c r="H5" s="17"/>
      <c r="I5" s="17"/>
      <c r="J5" s="17">
        <f>B50*B61+C50*C61</f>
        <v>6800.7212525666</v>
      </c>
      <c r="K5" s="17"/>
      <c r="L5" s="17"/>
      <c r="M5" s="17"/>
      <c r="N5" s="17">
        <f>B48*B59+C48*C59</f>
        <v>17943.204550523056</v>
      </c>
      <c r="O5" s="17">
        <f>B69*B70*B71</f>
        <v>315.79333333333335</v>
      </c>
      <c r="P5" s="17">
        <f>B77*B78*B79/1000-B77*B78*B79/1000/B80</f>
        <v>476.66666666666663</v>
      </c>
    </row>
    <row r="6" spans="1:16">
      <c r="A6" s="16" t="s">
        <v>624</v>
      </c>
      <c r="B6" s="788">
        <f>kWh_PV_kleiner_dan_10kW</f>
        <v>4333.8410134127835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48083.326920412779</v>
      </c>
      <c r="C8" s="21">
        <f>C5</f>
        <v>0</v>
      </c>
      <c r="D8" s="21">
        <f>D5</f>
        <v>146455.46290099999</v>
      </c>
      <c r="E8" s="21">
        <f>E5</f>
        <v>3990.2419171349866</v>
      </c>
      <c r="F8" s="21">
        <f>F5</f>
        <v>0</v>
      </c>
      <c r="G8" s="21"/>
      <c r="H8" s="21"/>
      <c r="I8" s="21"/>
      <c r="J8" s="21">
        <f>J5</f>
        <v>6800.7212525666</v>
      </c>
      <c r="K8" s="21"/>
      <c r="L8" s="21">
        <f>L5</f>
        <v>0</v>
      </c>
      <c r="M8" s="21">
        <f>M5</f>
        <v>0</v>
      </c>
      <c r="N8" s="21">
        <f>N5</f>
        <v>17943.204550523056</v>
      </c>
      <c r="O8" s="21">
        <f>O5</f>
        <v>315.79333333333335</v>
      </c>
      <c r="P8" s="21">
        <f>P5</f>
        <v>476.66666666666663</v>
      </c>
    </row>
    <row r="9" spans="1:16">
      <c r="B9" s="19"/>
      <c r="C9" s="19"/>
      <c r="D9" s="258"/>
      <c r="E9" s="19"/>
      <c r="F9" s="19"/>
      <c r="G9" s="19"/>
      <c r="H9" s="19"/>
      <c r="I9" s="19"/>
      <c r="J9" s="19"/>
      <c r="K9" s="19"/>
      <c r="L9" s="19"/>
      <c r="M9" s="19"/>
      <c r="N9" s="19"/>
      <c r="O9" s="19"/>
      <c r="P9" s="19"/>
    </row>
    <row r="10" spans="1:16">
      <c r="A10" s="24" t="s">
        <v>214</v>
      </c>
      <c r="B10" s="25">
        <f ca="1">'EF ele_warmte'!B12</f>
        <v>0.1734333141864218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8339.2507449163822</v>
      </c>
      <c r="C12" s="23">
        <f ca="1">C10*C8</f>
        <v>0</v>
      </c>
      <c r="D12" s="23">
        <f>D8*D10</f>
        <v>29584.003506002002</v>
      </c>
      <c r="E12" s="23">
        <f>E10*E8</f>
        <v>905.78491518964199</v>
      </c>
      <c r="F12" s="23">
        <f>F10*F8</f>
        <v>0</v>
      </c>
      <c r="G12" s="23"/>
      <c r="H12" s="23"/>
      <c r="I12" s="23"/>
      <c r="J12" s="23">
        <f>J10*J8</f>
        <v>2407.4553234085761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9352</v>
      </c>
      <c r="C18" s="166" t="s">
        <v>111</v>
      </c>
      <c r="D18" s="228"/>
      <c r="E18" s="15"/>
    </row>
    <row r="19" spans="1:7">
      <c r="A19" s="171" t="s">
        <v>72</v>
      </c>
      <c r="B19" s="37">
        <f>aantalw2001_ander</f>
        <v>4</v>
      </c>
      <c r="C19" s="166" t="s">
        <v>111</v>
      </c>
      <c r="D19" s="229"/>
      <c r="E19" s="15"/>
    </row>
    <row r="20" spans="1:7">
      <c r="A20" s="171" t="s">
        <v>73</v>
      </c>
      <c r="B20" s="37">
        <f>aantalw2001_propaan</f>
        <v>84</v>
      </c>
      <c r="C20" s="167">
        <f>IF(ISERROR(B20/SUM($B$20,$B$21,$B$22)*100),0,B20/SUM($B$20,$B$21,$B$22)*100)</f>
        <v>9.8707403055229133</v>
      </c>
      <c r="D20" s="229"/>
      <c r="E20" s="15"/>
    </row>
    <row r="21" spans="1:7">
      <c r="A21" s="171" t="s">
        <v>74</v>
      </c>
      <c r="B21" s="37">
        <f>aantalw2001_elektriciteit</f>
        <v>634</v>
      </c>
      <c r="C21" s="167">
        <f>IF(ISERROR(B21/SUM($B$20,$B$21,$B$22)*100),0,B21/SUM($B$20,$B$21,$B$22)*100)</f>
        <v>74.500587544065795</v>
      </c>
      <c r="D21" s="229"/>
      <c r="E21" s="15"/>
    </row>
    <row r="22" spans="1:7">
      <c r="A22" s="171" t="s">
        <v>75</v>
      </c>
      <c r="B22" s="37">
        <f>aantalw2001_hout</f>
        <v>133</v>
      </c>
      <c r="C22" s="167">
        <f>IF(ISERROR(B22/SUM($B$20,$B$21,$B$22)*100),0,B22/SUM($B$20,$B$21,$B$22)*100)</f>
        <v>15.62867215041128</v>
      </c>
      <c r="D22" s="229"/>
      <c r="E22" s="15"/>
    </row>
    <row r="23" spans="1:7">
      <c r="A23" s="171" t="s">
        <v>76</v>
      </c>
      <c r="B23" s="37">
        <f>aantalw2001_niet_gespec</f>
        <v>247</v>
      </c>
      <c r="C23" s="166" t="s">
        <v>111</v>
      </c>
      <c r="D23" s="228"/>
      <c r="E23" s="15"/>
    </row>
    <row r="24" spans="1:7">
      <c r="A24" s="171" t="s">
        <v>77</v>
      </c>
      <c r="B24" s="37">
        <f>aantalw2001_steenkool</f>
        <v>504</v>
      </c>
      <c r="C24" s="166" t="s">
        <v>111</v>
      </c>
      <c r="D24" s="229"/>
      <c r="E24" s="15"/>
    </row>
    <row r="25" spans="1:7">
      <c r="A25" s="171" t="s">
        <v>78</v>
      </c>
      <c r="B25" s="37">
        <f>aantalw2001_stookolie</f>
        <v>2008</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14227</v>
      </c>
      <c r="C28" s="36"/>
      <c r="D28" s="228"/>
    </row>
    <row r="29" spans="1:7" s="15" customFormat="1">
      <c r="A29" s="230" t="s">
        <v>699</v>
      </c>
      <c r="B29" s="37">
        <f>SUM(HH_hh_gas_aantal,HH_rest_gas_aantal)</f>
        <v>12195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12195</v>
      </c>
      <c r="C32" s="167">
        <f>IF(ISERROR(B32/SUM($B$32,$B$34,$B$35,$B$36,$B$38,$B$39)*100),0,B32/SUM($B$32,$B$34,$B$35,$B$36,$B$38,$B$39)*100)</f>
        <v>85.868187579214194</v>
      </c>
      <c r="D32" s="233"/>
      <c r="G32" s="15"/>
    </row>
    <row r="33" spans="1:7">
      <c r="A33" s="171" t="s">
        <v>72</v>
      </c>
      <c r="B33" s="34" t="s">
        <v>111</v>
      </c>
      <c r="C33" s="167"/>
      <c r="D33" s="233"/>
      <c r="G33" s="15"/>
    </row>
    <row r="34" spans="1:7">
      <c r="A34" s="171" t="s">
        <v>73</v>
      </c>
      <c r="B34" s="33">
        <f>IF((($B$28-$B$32-$B$39-$B$77-$B$38)*C20/100)&lt;0,0,($B$28-$B$32-$B$39-$B$77-$B$38)*C20/100)</f>
        <v>176.41974148061101</v>
      </c>
      <c r="C34" s="167">
        <f>IF(ISERROR(B34/SUM($B$32,$B$34,$B$35,$B$36,$B$38,$B$39)*100),0,B34/SUM($B$32,$B$34,$B$35,$B$36,$B$38,$B$39)*100)</f>
        <v>1.2422175854148076</v>
      </c>
      <c r="D34" s="233"/>
      <c r="G34" s="15"/>
    </row>
    <row r="35" spans="1:7">
      <c r="A35" s="171" t="s">
        <v>74</v>
      </c>
      <c r="B35" s="33">
        <f>IF((($B$28-$B$32-$B$39-$B$77-$B$38)*C21/100)&lt;0,0,($B$28-$B$32-$B$39-$B$77-$B$38)*C21/100)</f>
        <v>1331.5490011750881</v>
      </c>
      <c r="C35" s="167">
        <f>IF(ISERROR(B35/SUM($B$32,$B$34,$B$35,$B$36,$B$38,$B$39)*100),0,B35/SUM($B$32,$B$34,$B$35,$B$36,$B$38,$B$39)*100)</f>
        <v>9.3757851089641466</v>
      </c>
      <c r="D35" s="233"/>
      <c r="G35" s="15"/>
    </row>
    <row r="36" spans="1:7">
      <c r="A36" s="171" t="s">
        <v>75</v>
      </c>
      <c r="B36" s="33">
        <f>IF((($B$28-$B$32-$B$39-$B$77-$B$38)*C22/100)&lt;0,0,($B$28-$B$32-$B$39-$B$77-$B$38)*C22/100)</f>
        <v>279.33125734430081</v>
      </c>
      <c r="C36" s="167">
        <f>IF(ISERROR(B36/SUM($B$32,$B$34,$B$35,$B$36,$B$38,$B$39)*100),0,B36/SUM($B$32,$B$34,$B$35,$B$36,$B$38,$B$39)*100)</f>
        <v>1.9668445102401129</v>
      </c>
      <c r="D36" s="233"/>
      <c r="G36" s="15"/>
    </row>
    <row r="37" spans="1:7">
      <c r="A37" s="171" t="s">
        <v>76</v>
      </c>
      <c r="B37" s="34" t="s">
        <v>111</v>
      </c>
      <c r="C37" s="167"/>
      <c r="D37" s="173"/>
      <c r="G37" s="15"/>
    </row>
    <row r="38" spans="1:7">
      <c r="A38" s="171" t="s">
        <v>77</v>
      </c>
      <c r="B38" s="33">
        <f>IF((B24-(B29-B18)*0.1)&lt;0,0,B24-(B29-B18)*0.1)</f>
        <v>219.7</v>
      </c>
      <c r="C38" s="167">
        <f>IF(ISERROR(B38/SUM($B$32,$B$34,$B$35,$B$36,$B$38,$B$39)*100),0,B38/SUM($B$32,$B$34,$B$35,$B$36,$B$38,$B$39)*100)</f>
        <v>1.5469652161667369</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12195</v>
      </c>
      <c r="C44" s="34" t="s">
        <v>111</v>
      </c>
      <c r="D44" s="174"/>
    </row>
    <row r="45" spans="1:7">
      <c r="A45" s="171" t="s">
        <v>72</v>
      </c>
      <c r="B45" s="33" t="str">
        <f t="shared" si="0"/>
        <v>-</v>
      </c>
      <c r="C45" s="34" t="s">
        <v>111</v>
      </c>
      <c r="D45" s="174"/>
    </row>
    <row r="46" spans="1:7">
      <c r="A46" s="171" t="s">
        <v>73</v>
      </c>
      <c r="B46" s="33">
        <f t="shared" si="0"/>
        <v>176.41974148061101</v>
      </c>
      <c r="C46" s="34" t="s">
        <v>111</v>
      </c>
      <c r="D46" s="174"/>
    </row>
    <row r="47" spans="1:7">
      <c r="A47" s="171" t="s">
        <v>74</v>
      </c>
      <c r="B47" s="33">
        <f t="shared" si="0"/>
        <v>1331.5490011750881</v>
      </c>
      <c r="C47" s="34" t="s">
        <v>111</v>
      </c>
      <c r="D47" s="174"/>
    </row>
    <row r="48" spans="1:7">
      <c r="A48" s="171" t="s">
        <v>75</v>
      </c>
      <c r="B48" s="33">
        <f t="shared" si="0"/>
        <v>279.33125734430081</v>
      </c>
      <c r="C48" s="33">
        <f>B48*10</f>
        <v>2793.3125734430082</v>
      </c>
      <c r="D48" s="234"/>
    </row>
    <row r="49" spans="1:6">
      <c r="A49" s="171" t="s">
        <v>76</v>
      </c>
      <c r="B49" s="33" t="str">
        <f t="shared" si="0"/>
        <v>-</v>
      </c>
      <c r="C49" s="34" t="s">
        <v>111</v>
      </c>
      <c r="D49" s="234"/>
    </row>
    <row r="50" spans="1:6">
      <c r="A50" s="171" t="s">
        <v>77</v>
      </c>
      <c r="B50" s="33">
        <f t="shared" si="0"/>
        <v>219.7</v>
      </c>
      <c r="C50" s="33">
        <f>B50*2</f>
        <v>439.4</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49267.748017000005</v>
      </c>
      <c r="C5" s="17">
        <f>IF(ISERROR('Eigen informatie GS &amp; warmtenet'!B58),0,'Eigen informatie GS &amp; warmtenet'!B58)</f>
        <v>0</v>
      </c>
      <c r="D5" s="30">
        <f>SUM(D6:D12)</f>
        <v>52199.029966300805</v>
      </c>
      <c r="E5" s="17">
        <f>SUM(E6:E12)</f>
        <v>868.5413300676646</v>
      </c>
      <c r="F5" s="17">
        <f>SUM(F6:F12)</f>
        <v>11835.840211428293</v>
      </c>
      <c r="G5" s="18"/>
      <c r="H5" s="17"/>
      <c r="I5" s="17"/>
      <c r="J5" s="17">
        <f>SUM(J6:J12)</f>
        <v>0</v>
      </c>
      <c r="K5" s="17"/>
      <c r="L5" s="17"/>
      <c r="M5" s="17"/>
      <c r="N5" s="17">
        <f>SUM(N6:N12)</f>
        <v>5026.9258967134147</v>
      </c>
      <c r="O5" s="17">
        <f>B38*B39*B40</f>
        <v>4.6900000000000004</v>
      </c>
      <c r="P5" s="17">
        <f>B46*B47*B48/1000-B46*B47*B48/1000/B49</f>
        <v>38.133333333333333</v>
      </c>
      <c r="R5" s="32"/>
    </row>
    <row r="6" spans="1:18">
      <c r="A6" s="32" t="s">
        <v>54</v>
      </c>
      <c r="B6" s="37">
        <f>B26</f>
        <v>14110.425137</v>
      </c>
      <c r="C6" s="33"/>
      <c r="D6" s="37">
        <f>IF(ISERROR(TER_kantoor_gas_kWh/1000),0,TER_kantoor_gas_kWh/1000)*0.902</f>
        <v>8130.1822855395994</v>
      </c>
      <c r="E6" s="33">
        <f>$C$26*'E Balans VL '!I12/100/3.6*1000000</f>
        <v>184.72284656670797</v>
      </c>
      <c r="F6" s="33">
        <f>$C$26*('E Balans VL '!L12+'E Balans VL '!N12)/100/3.6*1000000</f>
        <v>3598.0125982484155</v>
      </c>
      <c r="G6" s="34"/>
      <c r="H6" s="33"/>
      <c r="I6" s="33"/>
      <c r="J6" s="33">
        <f>$C$26*('E Balans VL '!D12+'E Balans VL '!E12)/100/3.6*1000000</f>
        <v>0</v>
      </c>
      <c r="K6" s="33"/>
      <c r="L6" s="33"/>
      <c r="M6" s="33"/>
      <c r="N6" s="33">
        <f>$C$26*'E Balans VL '!Y12/100/3.6*1000000</f>
        <v>14.157941237854839</v>
      </c>
      <c r="O6" s="33"/>
      <c r="P6" s="33"/>
      <c r="R6" s="32"/>
    </row>
    <row r="7" spans="1:18">
      <c r="A7" s="32" t="s">
        <v>53</v>
      </c>
      <c r="B7" s="37">
        <f t="shared" ref="B7:B12" si="0">B27</f>
        <v>3197.7178217999999</v>
      </c>
      <c r="C7" s="33"/>
      <c r="D7" s="37">
        <f>IF(ISERROR(TER_horeca_gas_kWh/1000),0,TER_horeca_gas_kWh/1000)*0.902</f>
        <v>4232.6101153534</v>
      </c>
      <c r="E7" s="33">
        <f>$C$27*'E Balans VL '!I9/100/3.6*1000000</f>
        <v>105.82500883657428</v>
      </c>
      <c r="F7" s="33">
        <f>$C$27*('E Balans VL '!L9+'E Balans VL '!N9)/100/3.6*1000000</f>
        <v>1375.0064082348636</v>
      </c>
      <c r="G7" s="34"/>
      <c r="H7" s="33"/>
      <c r="I7" s="33"/>
      <c r="J7" s="33">
        <f>$C$27*('E Balans VL '!D9+'E Balans VL '!E9)/100/3.6*1000000</f>
        <v>0</v>
      </c>
      <c r="K7" s="33"/>
      <c r="L7" s="33"/>
      <c r="M7" s="33"/>
      <c r="N7" s="33">
        <f>$C$27*'E Balans VL '!Y9/100/3.6*1000000</f>
        <v>0.7697371156659556</v>
      </c>
      <c r="O7" s="33"/>
      <c r="P7" s="33"/>
      <c r="R7" s="32"/>
    </row>
    <row r="8" spans="1:18">
      <c r="A8" s="6" t="s">
        <v>52</v>
      </c>
      <c r="B8" s="37">
        <f t="shared" si="0"/>
        <v>17256.370613999999</v>
      </c>
      <c r="C8" s="33"/>
      <c r="D8" s="37">
        <f>IF(ISERROR(TER_handel_gas_kWh/1000),0,TER_handel_gas_kWh/1000)*0.902</f>
        <v>11017.224153429999</v>
      </c>
      <c r="E8" s="33">
        <f>$C$28*'E Balans VL '!I13/100/3.6*1000000</f>
        <v>544.637423527284</v>
      </c>
      <c r="F8" s="33">
        <f>$C$28*('E Balans VL '!L13+'E Balans VL '!N13)/100/3.6*1000000</f>
        <v>3384.27814322625</v>
      </c>
      <c r="G8" s="34"/>
      <c r="H8" s="33"/>
      <c r="I8" s="33"/>
      <c r="J8" s="33">
        <f>$C$28*('E Balans VL '!D13+'E Balans VL '!E13)/100/3.6*1000000</f>
        <v>0</v>
      </c>
      <c r="K8" s="33"/>
      <c r="L8" s="33"/>
      <c r="M8" s="33"/>
      <c r="N8" s="33">
        <f>$C$28*'E Balans VL '!Y13/100/3.6*1000000</f>
        <v>20.479961635592929</v>
      </c>
      <c r="O8" s="33"/>
      <c r="P8" s="33"/>
      <c r="R8" s="32"/>
    </row>
    <row r="9" spans="1:18">
      <c r="A9" s="32" t="s">
        <v>51</v>
      </c>
      <c r="B9" s="37">
        <f t="shared" si="0"/>
        <v>6281.6815685000001</v>
      </c>
      <c r="C9" s="33"/>
      <c r="D9" s="37">
        <f>IF(ISERROR(TER_gezond_gas_kWh/1000),0,TER_gezond_gas_kWh/1000)*0.902</f>
        <v>12480.332853890002</v>
      </c>
      <c r="E9" s="33">
        <f>$C$29*'E Balans VL '!I10/100/3.6*1000000</f>
        <v>0.80423900728485198</v>
      </c>
      <c r="F9" s="33">
        <f>$C$29*('E Balans VL '!L10+'E Balans VL '!N10)/100/3.6*1000000</f>
        <v>1308.7375601218173</v>
      </c>
      <c r="G9" s="34"/>
      <c r="H9" s="33"/>
      <c r="I9" s="33"/>
      <c r="J9" s="33">
        <f>$C$29*('E Balans VL '!D10+'E Balans VL '!E10)/100/3.6*1000000</f>
        <v>0</v>
      </c>
      <c r="K9" s="33"/>
      <c r="L9" s="33"/>
      <c r="M9" s="33"/>
      <c r="N9" s="33">
        <f>$C$29*'E Balans VL '!Y10/100/3.6*1000000</f>
        <v>73.781319135078661</v>
      </c>
      <c r="O9" s="33"/>
      <c r="P9" s="33"/>
      <c r="R9" s="32"/>
    </row>
    <row r="10" spans="1:18">
      <c r="A10" s="32" t="s">
        <v>50</v>
      </c>
      <c r="B10" s="37">
        <f t="shared" si="0"/>
        <v>6101.3238395999997</v>
      </c>
      <c r="C10" s="33"/>
      <c r="D10" s="37">
        <f>IF(ISERROR(TER_ander_gas_kWh/1000),0,TER_ander_gas_kWh/1000)*0.902</f>
        <v>3507.4717658089999</v>
      </c>
      <c r="E10" s="33">
        <f>$C$30*'E Balans VL '!I14/100/3.6*1000000</f>
        <v>9.1749562333505654</v>
      </c>
      <c r="F10" s="33">
        <f>$C$30*('E Balans VL '!L14+'E Balans VL '!N14)/100/3.6*1000000</f>
        <v>1346.9756300686197</v>
      </c>
      <c r="G10" s="34"/>
      <c r="H10" s="33"/>
      <c r="I10" s="33"/>
      <c r="J10" s="33">
        <f>$C$30*('E Balans VL '!D14+'E Balans VL '!E14)/100/3.6*1000000</f>
        <v>0</v>
      </c>
      <c r="K10" s="33"/>
      <c r="L10" s="33"/>
      <c r="M10" s="33"/>
      <c r="N10" s="33">
        <f>$C$30*'E Balans VL '!Y14/100/3.6*1000000</f>
        <v>4808.2537892179071</v>
      </c>
      <c r="O10" s="33"/>
      <c r="P10" s="33"/>
      <c r="R10" s="32"/>
    </row>
    <row r="11" spans="1:18">
      <c r="A11" s="32" t="s">
        <v>55</v>
      </c>
      <c r="B11" s="37">
        <f t="shared" si="0"/>
        <v>1102.7965778</v>
      </c>
      <c r="C11" s="33"/>
      <c r="D11" s="37">
        <f>IF(ISERROR(TER_onderwijs_gas_kWh/1000),0,TER_onderwijs_gas_kWh/1000)*0.902</f>
        <v>2881.4995290708002</v>
      </c>
      <c r="E11" s="33">
        <f>$C$31*'E Balans VL '!I11/100/3.6*1000000</f>
        <v>1.9421171875395775</v>
      </c>
      <c r="F11" s="33">
        <f>$C$31*('E Balans VL '!L11+'E Balans VL '!N11)/100/3.6*1000000</f>
        <v>509.181135041331</v>
      </c>
      <c r="G11" s="34"/>
      <c r="H11" s="33"/>
      <c r="I11" s="33"/>
      <c r="J11" s="33">
        <f>$C$31*('E Balans VL '!D11+'E Balans VL '!E11)/100/3.6*1000000</f>
        <v>0</v>
      </c>
      <c r="K11" s="33"/>
      <c r="L11" s="33"/>
      <c r="M11" s="33"/>
      <c r="N11" s="33">
        <f>$C$31*'E Balans VL '!Y11/100/3.6*1000000</f>
        <v>2.0545252747712373</v>
      </c>
      <c r="O11" s="33"/>
      <c r="P11" s="33"/>
      <c r="R11" s="32"/>
    </row>
    <row r="12" spans="1:18">
      <c r="A12" s="32" t="s">
        <v>260</v>
      </c>
      <c r="B12" s="37">
        <f t="shared" si="0"/>
        <v>1217.4324583</v>
      </c>
      <c r="C12" s="33"/>
      <c r="D12" s="37">
        <f>IF(ISERROR(TER_rest_gas_kWh/1000),0,TER_rest_gas_kWh/1000)*0.902</f>
        <v>9949.7092632080003</v>
      </c>
      <c r="E12" s="33">
        <f>$C$32*'E Balans VL '!I8/100/3.6*1000000</f>
        <v>21.434738708923312</v>
      </c>
      <c r="F12" s="33">
        <f>$C$32*('E Balans VL '!L8+'E Balans VL '!N8)/100/3.6*1000000</f>
        <v>313.64873648699518</v>
      </c>
      <c r="G12" s="34"/>
      <c r="H12" s="33"/>
      <c r="I12" s="33"/>
      <c r="J12" s="33">
        <f>$C$32*('E Balans VL '!D8+'E Balans VL '!E8)/100/3.6*1000000</f>
        <v>0</v>
      </c>
      <c r="K12" s="33"/>
      <c r="L12" s="33"/>
      <c r="M12" s="33"/>
      <c r="N12" s="33">
        <f>$C$32*'E Balans VL '!Y8/100/3.6*1000000</f>
        <v>107.4286230965437</v>
      </c>
      <c r="O12" s="33"/>
      <c r="P12" s="33"/>
      <c r="R12" s="32"/>
    </row>
    <row r="13" spans="1:18">
      <c r="A13" s="16" t="s">
        <v>491</v>
      </c>
      <c r="B13" s="247">
        <f ca="1">'lokale energieproductie'!N91+'lokale energieproductie'!N60</f>
        <v>14094</v>
      </c>
      <c r="C13" s="247">
        <f ca="1">'lokale energieproductie'!O91+'lokale energieproductie'!O60</f>
        <v>20134.285714285714</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-40268.571428571428</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63361.748017000005</v>
      </c>
      <c r="C16" s="21">
        <f t="shared" ca="1" si="1"/>
        <v>20134.285714285714</v>
      </c>
      <c r="D16" s="21">
        <f t="shared" ca="1" si="1"/>
        <v>52199.029966300805</v>
      </c>
      <c r="E16" s="21">
        <f t="shared" si="1"/>
        <v>868.5413300676646</v>
      </c>
      <c r="F16" s="21">
        <f t="shared" ca="1" si="1"/>
        <v>11835.840211428293</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0.1734333141864218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10989.037951233251</v>
      </c>
      <c r="C20" s="23">
        <f t="shared" ref="C20:P20" ca="1" si="2">C16*C18</f>
        <v>0</v>
      </c>
      <c r="D20" s="23">
        <f t="shared" ca="1" si="2"/>
        <v>10544.204053192763</v>
      </c>
      <c r="E20" s="23">
        <f t="shared" si="2"/>
        <v>197.15888192535988</v>
      </c>
      <c r="F20" s="23">
        <f t="shared" ca="1" si="2"/>
        <v>3160.1693364513544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14110.425137</v>
      </c>
      <c r="C26" s="39">
        <f>IF(ISERROR(B26*3.6/1000000/'E Balans VL '!Z12*100),0,B26*3.6/1000000/'E Balans VL '!Z12*100)</f>
        <v>0.30225626839697528</v>
      </c>
      <c r="D26" s="237" t="s">
        <v>660</v>
      </c>
      <c r="F26" s="6"/>
    </row>
    <row r="27" spans="1:18">
      <c r="A27" s="231" t="s">
        <v>53</v>
      </c>
      <c r="B27" s="33">
        <f>IF(ISERROR(TER_horeca_ele_kWh/1000),0,TER_horeca_ele_kWh/1000)</f>
        <v>3197.7178217999999</v>
      </c>
      <c r="C27" s="39">
        <f>IF(ISERROR(B27*3.6/1000000/'E Balans VL '!Z9*100),0,B27*3.6/1000000/'E Balans VL '!Z9*100)</f>
        <v>0.25660574004575565</v>
      </c>
      <c r="D27" s="237" t="s">
        <v>660</v>
      </c>
      <c r="F27" s="6"/>
    </row>
    <row r="28" spans="1:18">
      <c r="A28" s="171" t="s">
        <v>52</v>
      </c>
      <c r="B28" s="33">
        <f>IF(ISERROR(TER_handel_ele_kWh/1000),0,TER_handel_ele_kWh/1000)</f>
        <v>17256.370613999999</v>
      </c>
      <c r="C28" s="39">
        <f>IF(ISERROR(B28*3.6/1000000/'E Balans VL '!Z13*100),0,B28*3.6/1000000/'E Balans VL '!Z13*100)</f>
        <v>0.50896395451909349</v>
      </c>
      <c r="D28" s="237" t="s">
        <v>660</v>
      </c>
      <c r="F28" s="6"/>
    </row>
    <row r="29" spans="1:18">
      <c r="A29" s="231" t="s">
        <v>51</v>
      </c>
      <c r="B29" s="33">
        <f>IF(ISERROR(TER_gezond_ele_kWh/1000),0,TER_gezond_ele_kWh/1000)</f>
        <v>6281.6815685000001</v>
      </c>
      <c r="C29" s="39">
        <f>IF(ISERROR(B29*3.6/1000000/'E Balans VL '!Z10*100),0,B29*3.6/1000000/'E Balans VL '!Z10*100)</f>
        <v>0.67071517331731811</v>
      </c>
      <c r="D29" s="237" t="s">
        <v>660</v>
      </c>
      <c r="F29" s="6"/>
    </row>
    <row r="30" spans="1:18">
      <c r="A30" s="231" t="s">
        <v>50</v>
      </c>
      <c r="B30" s="33">
        <f>IF(ISERROR(TER_ander_ele_kWh/1000),0,TER_ander_ele_kWh/1000)</f>
        <v>6101.3238395999997</v>
      </c>
      <c r="C30" s="39">
        <f>IF(ISERROR(B30*3.6/1000000/'E Balans VL '!Z14*100),0,B30*3.6/1000000/'E Balans VL '!Z14*100)</f>
        <v>0.46085694853728243</v>
      </c>
      <c r="D30" s="237" t="s">
        <v>660</v>
      </c>
      <c r="F30" s="6"/>
    </row>
    <row r="31" spans="1:18">
      <c r="A31" s="231" t="s">
        <v>55</v>
      </c>
      <c r="B31" s="33">
        <f>IF(ISERROR(TER_onderwijs_ele_kWh/1000),0,TER_onderwijs_ele_kWh/1000)</f>
        <v>1102.7965778</v>
      </c>
      <c r="C31" s="39">
        <f>IF(ISERROR(B31*3.6/1000000/'E Balans VL '!Z11*100),0,B31*3.6/1000000/'E Balans VL '!Z11*100)</f>
        <v>0.22269144325163848</v>
      </c>
      <c r="D31" s="237" t="s">
        <v>660</v>
      </c>
    </row>
    <row r="32" spans="1:18">
      <c r="A32" s="231" t="s">
        <v>260</v>
      </c>
      <c r="B32" s="33">
        <f>IF(ISERROR(TER_rest_ele_kWh/1000),0,TER_rest_ele_kWh/1000)</f>
        <v>1217.4324583</v>
      </c>
      <c r="C32" s="39">
        <f>IF(ISERROR(B32*3.6/1000000/'E Balans VL '!Z8*100),0,B32*3.6/1000000/'E Balans VL '!Z8*100)</f>
        <v>1.0094210341775357E-2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42075.683480709995</v>
      </c>
      <c r="C5" s="17">
        <f>IF(ISERROR('Eigen informatie GS &amp; warmtenet'!B59),0,'Eigen informatie GS &amp; warmtenet'!B59)</f>
        <v>0</v>
      </c>
      <c r="D5" s="30">
        <f>SUM(D6:D15)</f>
        <v>56892.073775484416</v>
      </c>
      <c r="E5" s="17">
        <f>SUM(E6:E15)</f>
        <v>3907.1298802629517</v>
      </c>
      <c r="F5" s="17">
        <f>SUM(F6:F15)</f>
        <v>15101.620904508203</v>
      </c>
      <c r="G5" s="18"/>
      <c r="H5" s="17"/>
      <c r="I5" s="17"/>
      <c r="J5" s="17">
        <f>SUM(J6:J15)</f>
        <v>207.19423781380189</v>
      </c>
      <c r="K5" s="17"/>
      <c r="L5" s="17"/>
      <c r="M5" s="17"/>
      <c r="N5" s="17">
        <f>SUM(N6:N15)</f>
        <v>9918.5245155416724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877.04950781000002</v>
      </c>
      <c r="C8" s="33"/>
      <c r="D8" s="37">
        <f>IF( ISERROR(IND_metaal_Gas_kWH/1000),0,IND_metaal_Gas_kWH/1000)*0.902</f>
        <v>709.00089055488002</v>
      </c>
      <c r="E8" s="33">
        <f>C30*'E Balans VL '!I18/100/3.6*1000000</f>
        <v>31.558894545623765</v>
      </c>
      <c r="F8" s="33">
        <f>C30*'E Balans VL '!L18/100/3.6*1000000+C30*'E Balans VL '!N18/100/3.6*1000000</f>
        <v>382.9790891744592</v>
      </c>
      <c r="G8" s="34"/>
      <c r="H8" s="33"/>
      <c r="I8" s="33"/>
      <c r="J8" s="40">
        <f>C30*'E Balans VL '!D18/100/3.6*1000000+C30*'E Balans VL '!E18/100/3.6*1000000</f>
        <v>0</v>
      </c>
      <c r="K8" s="33"/>
      <c r="L8" s="33"/>
      <c r="M8" s="33"/>
      <c r="N8" s="33">
        <f>C30*'E Balans VL '!Y18/100/3.6*1000000</f>
        <v>43.957125313142789</v>
      </c>
      <c r="O8" s="33"/>
      <c r="P8" s="33"/>
      <c r="R8" s="32"/>
    </row>
    <row r="9" spans="1:18">
      <c r="A9" s="6" t="s">
        <v>33</v>
      </c>
      <c r="B9" s="37">
        <f t="shared" si="0"/>
        <v>9249.0652804000001</v>
      </c>
      <c r="C9" s="33"/>
      <c r="D9" s="37">
        <f>IF( ISERROR(IND_andere_gas_kWh/1000),0,IND_andere_gas_kWh/1000)*0.902</f>
        <v>2839.2821373334</v>
      </c>
      <c r="E9" s="33">
        <f>C31*'E Balans VL '!I19/100/3.6*1000000</f>
        <v>2360.1521935947894</v>
      </c>
      <c r="F9" s="33">
        <f>C31*'E Balans VL '!L19/100/3.6*1000000+C31*'E Balans VL '!N19/100/3.6*1000000</f>
        <v>7962.7500196513847</v>
      </c>
      <c r="G9" s="34"/>
      <c r="H9" s="33"/>
      <c r="I9" s="33"/>
      <c r="J9" s="40">
        <f>C31*'E Balans VL '!D19/100/3.6*1000000+C31*'E Balans VL '!E19/100/3.6*1000000</f>
        <v>0</v>
      </c>
      <c r="K9" s="33"/>
      <c r="L9" s="33"/>
      <c r="M9" s="33"/>
      <c r="N9" s="33">
        <f>C31*'E Balans VL '!Y19/100/3.6*1000000</f>
        <v>2892.4994605862216</v>
      </c>
      <c r="O9" s="33"/>
      <c r="P9" s="33"/>
      <c r="R9" s="32"/>
    </row>
    <row r="10" spans="1:18">
      <c r="A10" s="6" t="s">
        <v>41</v>
      </c>
      <c r="B10" s="37">
        <f t="shared" si="0"/>
        <v>4886.7682107000001</v>
      </c>
      <c r="C10" s="33"/>
      <c r="D10" s="37">
        <f>IF( ISERROR(IND_voed_gas_kWh/1000),0,IND_voed_gas_kWh/1000)*0.902</f>
        <v>4214.8875968936009</v>
      </c>
      <c r="E10" s="33">
        <f>C32*'E Balans VL '!I20/100/3.6*1000000</f>
        <v>124.2283579986272</v>
      </c>
      <c r="F10" s="33">
        <f>C32*'E Balans VL '!L20/100/3.6*1000000+C32*'E Balans VL '!N20/100/3.6*1000000</f>
        <v>1105.8022893642799</v>
      </c>
      <c r="G10" s="34"/>
      <c r="H10" s="33"/>
      <c r="I10" s="33"/>
      <c r="J10" s="40">
        <f>C32*'E Balans VL '!D20/100/3.6*1000000+C32*'E Balans VL '!E20/100/3.6*1000000</f>
        <v>0</v>
      </c>
      <c r="K10" s="33"/>
      <c r="L10" s="33"/>
      <c r="M10" s="33"/>
      <c r="N10" s="33">
        <f>C32*'E Balans VL '!Y20/100/3.6*1000000</f>
        <v>1832.6705400750293</v>
      </c>
      <c r="O10" s="33"/>
      <c r="P10" s="33"/>
      <c r="R10" s="32"/>
    </row>
    <row r="11" spans="1:18">
      <c r="A11" s="6" t="s">
        <v>40</v>
      </c>
      <c r="B11" s="37">
        <f t="shared" si="0"/>
        <v>1505.7159047999999</v>
      </c>
      <c r="C11" s="33"/>
      <c r="D11" s="37">
        <f>IF( ISERROR(IND_textiel_gas_kWh/1000),0,IND_textiel_gas_kWh/1000)*0.902</f>
        <v>437.19462099653998</v>
      </c>
      <c r="E11" s="33">
        <f>C33*'E Balans VL '!I21/100/3.6*1000000</f>
        <v>4.1335950800886891</v>
      </c>
      <c r="F11" s="33">
        <f>C33*'E Balans VL '!L21/100/3.6*1000000+C33*'E Balans VL '!N21/100/3.6*1000000</f>
        <v>79.826782145745838</v>
      </c>
      <c r="G11" s="34"/>
      <c r="H11" s="33"/>
      <c r="I11" s="33"/>
      <c r="J11" s="40">
        <f>C33*'E Balans VL '!D21/100/3.6*1000000+C33*'E Balans VL '!E21/100/3.6*1000000</f>
        <v>0</v>
      </c>
      <c r="K11" s="33"/>
      <c r="L11" s="33"/>
      <c r="M11" s="33"/>
      <c r="N11" s="33">
        <f>C33*'E Balans VL '!Y21/100/3.6*1000000</f>
        <v>3.0262397988557908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25557.084576999998</v>
      </c>
      <c r="C15" s="33"/>
      <c r="D15" s="37">
        <f>IF( ISERROR(IND_rest_gas_kWh/1000),0,IND_rest_gas_kWh/1000)*0.902</f>
        <v>48691.708529705997</v>
      </c>
      <c r="E15" s="33">
        <f>C37*'E Balans VL '!I15/100/3.6*1000000</f>
        <v>1387.0568390438227</v>
      </c>
      <c r="F15" s="33">
        <f>C37*'E Balans VL '!L15/100/3.6*1000000+C37*'E Balans VL '!N15/100/3.6*1000000</f>
        <v>5570.262724172333</v>
      </c>
      <c r="G15" s="34"/>
      <c r="H15" s="33"/>
      <c r="I15" s="33"/>
      <c r="J15" s="40">
        <f>C37*'E Balans VL '!D15/100/3.6*1000000+C37*'E Balans VL '!E15/100/3.6*1000000</f>
        <v>207.19423781380189</v>
      </c>
      <c r="K15" s="33"/>
      <c r="L15" s="33"/>
      <c r="M15" s="33"/>
      <c r="N15" s="33">
        <f>C37*'E Balans VL '!Y15/100/3.6*1000000</f>
        <v>5146.3711497684235</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42075.683480709995</v>
      </c>
      <c r="C18" s="21">
        <f>C5+C16</f>
        <v>0</v>
      </c>
      <c r="D18" s="21">
        <f>MAX((D5+D16),0)</f>
        <v>56892.073775484416</v>
      </c>
      <c r="E18" s="21">
        <f>MAX((E5+E16),0)</f>
        <v>3907.1298802629517</v>
      </c>
      <c r="F18" s="21">
        <f>MAX((F5+F16),0)</f>
        <v>15101.620904508203</v>
      </c>
      <c r="G18" s="21"/>
      <c r="H18" s="21"/>
      <c r="I18" s="21"/>
      <c r="J18" s="21">
        <f>MAX((J5+J16),0)</f>
        <v>207.19423781380189</v>
      </c>
      <c r="K18" s="21"/>
      <c r="L18" s="21">
        <f>MAX((L5+L16),0)</f>
        <v>0</v>
      </c>
      <c r="M18" s="21"/>
      <c r="N18" s="21">
        <f>MAX((N5+N16),0)</f>
        <v>9918.5245155416724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0.1734333141864218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7297.3252327184146</v>
      </c>
      <c r="C22" s="23">
        <f ca="1">C18*C20</f>
        <v>0</v>
      </c>
      <c r="D22" s="23">
        <f>D18*D20</f>
        <v>11492.198902647853</v>
      </c>
      <c r="E22" s="23">
        <f>E18*E20</f>
        <v>886.9184828196901</v>
      </c>
      <c r="F22" s="23">
        <f>F18*F20</f>
        <v>4032.1327815036907</v>
      </c>
      <c r="G22" s="23"/>
      <c r="H22" s="23"/>
      <c r="I22" s="23"/>
      <c r="J22" s="23">
        <f>J18*J20</f>
        <v>73.346760186085859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877.04950781000002</v>
      </c>
      <c r="C30" s="39">
        <f>IF(ISERROR(B30*3.6/1000000/'E Balans VL '!Z18*100),0,B30*3.6/1000000/'E Balans VL '!Z18*100)</f>
        <v>0.18582798725906657</v>
      </c>
      <c r="D30" s="237" t="s">
        <v>660</v>
      </c>
    </row>
    <row r="31" spans="1:18">
      <c r="A31" s="6" t="s">
        <v>33</v>
      </c>
      <c r="B31" s="37">
        <f>IF( ISERROR(IND_ander_ele_kWh/1000),0,IND_ander_ele_kWh/1000)</f>
        <v>9249.0652804000001</v>
      </c>
      <c r="C31" s="39">
        <f>IF(ISERROR(B31*3.6/1000000/'E Balans VL '!Z19*100),0,B31*3.6/1000000/'E Balans VL '!Z19*100)</f>
        <v>0.38931415918211065</v>
      </c>
      <c r="D31" s="237" t="s">
        <v>660</v>
      </c>
    </row>
    <row r="32" spans="1:18">
      <c r="A32" s="171" t="s">
        <v>41</v>
      </c>
      <c r="B32" s="37">
        <f>IF( ISERROR(IND_voed_ele_kWh/1000),0,IND_voed_ele_kWh/1000)</f>
        <v>4886.7682107000001</v>
      </c>
      <c r="C32" s="39">
        <f>IF(ISERROR(B32*3.6/1000000/'E Balans VL '!Z20*100),0,B32*3.6/1000000/'E Balans VL '!Z20*100)</f>
        <v>0.81638991957707818</v>
      </c>
      <c r="D32" s="237" t="s">
        <v>660</v>
      </c>
    </row>
    <row r="33" spans="1:5">
      <c r="A33" s="171" t="s">
        <v>40</v>
      </c>
      <c r="B33" s="37">
        <f>IF( ISERROR(IND_textiel_ele_kWh/1000),0,IND_textiel_ele_kWh/1000)</f>
        <v>1505.7159047999999</v>
      </c>
      <c r="C33" s="39">
        <f>IF(ISERROR(B33*3.6/1000000/'E Balans VL '!Z21*100),0,B33*3.6/1000000/'E Balans VL '!Z21*100)</f>
        <v>8.7908200402492115E-2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25557.084576999998</v>
      </c>
      <c r="C37" s="39">
        <f>IF(ISERROR(B37*3.6/1000000/'E Balans VL '!Z15*100),0,B37*3.6/1000000/'E Balans VL '!Z15*100)</f>
        <v>0.2063322399468471</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1182.0656880500001</v>
      </c>
      <c r="C5" s="17">
        <f>'Eigen informatie GS &amp; warmtenet'!B60</f>
        <v>0</v>
      </c>
      <c r="D5" s="30">
        <f>IF(ISERROR(SUM(LB_lb_gas_kWh,LB_rest_gas_kWh)/1000),0,SUM(LB_lb_gas_kWh,LB_rest_gas_kWh)/1000)*0.902</f>
        <v>305.35324944475997</v>
      </c>
      <c r="E5" s="17">
        <f>B17*'E Balans VL '!I25/3.6*1000000/100</f>
        <v>30.480935487297398</v>
      </c>
      <c r="F5" s="17">
        <f>B17*('E Balans VL '!L25/3.6*1000000+'E Balans VL '!N25/3.6*1000000)/100</f>
        <v>4320.675203297671</v>
      </c>
      <c r="G5" s="18"/>
      <c r="H5" s="17"/>
      <c r="I5" s="17"/>
      <c r="J5" s="17">
        <f>('E Balans VL '!D25+'E Balans VL '!E25)/3.6*1000000*landbouw!B17/100</f>
        <v>170.17397483409465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1182.0656880500001</v>
      </c>
      <c r="C8" s="21">
        <f>C5+C6</f>
        <v>0</v>
      </c>
      <c r="D8" s="21">
        <f>MAX((D5+D6),0)</f>
        <v>305.35324944475997</v>
      </c>
      <c r="E8" s="21">
        <f>MAX((E5+E6),0)</f>
        <v>30.480935487297398</v>
      </c>
      <c r="F8" s="21">
        <f>MAX((F5+F6),0)</f>
        <v>4320.675203297671</v>
      </c>
      <c r="G8" s="21"/>
      <c r="H8" s="21"/>
      <c r="I8" s="21"/>
      <c r="J8" s="21">
        <f>MAX((J5+J6),0)</f>
        <v>170.17397483409465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0.1734333141864218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205.00956986456453</v>
      </c>
      <c r="C12" s="23">
        <f ca="1">C8*C10</f>
        <v>0</v>
      </c>
      <c r="D12" s="23">
        <f>D8*D10</f>
        <v>61.681356387841518</v>
      </c>
      <c r="E12" s="23">
        <f>E8*E10</f>
        <v>6.9191723556165092</v>
      </c>
      <c r="F12" s="23">
        <f>F8*F10</f>
        <v>1153.6202792804781</v>
      </c>
      <c r="G12" s="23"/>
      <c r="H12" s="23"/>
      <c r="I12" s="23"/>
      <c r="J12" s="23">
        <f>J8*J10</f>
        <v>60.241587091269501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0.16667909184260044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181.10229050276396</v>
      </c>
      <c r="C26" s="247">
        <f>B26*'GWP N2O_CH4'!B5</f>
        <v>3803.1481005580431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80.985840221843574</v>
      </c>
      <c r="C27" s="247">
        <f>B27*'GWP N2O_CH4'!B5</f>
        <v>1700.7026446587151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2.4029133868634696</v>
      </c>
      <c r="C28" s="247">
        <f>B28*'GWP N2O_CH4'!B4</f>
        <v>744.9031499276756</v>
      </c>
      <c r="D28" s="50"/>
    </row>
    <row r="29" spans="1:4">
      <c r="A29" s="41" t="s">
        <v>277</v>
      </c>
      <c r="B29" s="247">
        <f>B34*'ha_N2O bodem landbouw'!B4</f>
        <v>9.6199948956721197</v>
      </c>
      <c r="C29" s="247">
        <f>B29*'GWP N2O_CH4'!B4</f>
        <v>2982.1984176583569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2.1650216172557964E-3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1.6397047609863127E-4</v>
      </c>
      <c r="C5" s="463" t="s">
        <v>211</v>
      </c>
      <c r="D5" s="448">
        <f>SUM(D6:D11)</f>
        <v>3.6803756706134654E-4</v>
      </c>
      <c r="E5" s="448">
        <f>SUM(E6:E11)</f>
        <v>1.5598921366453053E-3</v>
      </c>
      <c r="F5" s="461" t="s">
        <v>211</v>
      </c>
      <c r="G5" s="448">
        <f>SUM(G6:G11)</f>
        <v>0.58031631409091711</v>
      </c>
      <c r="H5" s="448">
        <f>SUM(H6:H11)</f>
        <v>0.1006302122226827</v>
      </c>
      <c r="I5" s="463" t="s">
        <v>211</v>
      </c>
      <c r="J5" s="463" t="s">
        <v>211</v>
      </c>
      <c r="K5" s="463" t="s">
        <v>211</v>
      </c>
      <c r="L5" s="463" t="s">
        <v>211</v>
      </c>
      <c r="M5" s="448">
        <f>SUM(M6:M11)</f>
        <v>2.1297481060329946E-2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7.2998521797157438E-5</v>
      </c>
      <c r="C6" s="449"/>
      <c r="D6" s="892">
        <f>vkm_2011_GW_PW*SUMIFS(TableVerdeelsleutelVkm[CNG],TableVerdeelsleutelVkm[Voertuigtype],"Lichte voertuigen")*SUMIFS(TableECFTransport[EnergieConsumptieFactor (PJ per km)],TableECFTransport[Index],CONCATENATE($A6,"_CNG_CNG"))</f>
        <v>1.4504934149207451E-4</v>
      </c>
      <c r="E6" s="892">
        <f>vkm_2011_GW_PW*SUMIFS(TableVerdeelsleutelVkm[LPG],TableVerdeelsleutelVkm[Voertuigtype],"Lichte voertuigen")*SUMIFS(TableECFTransport[EnergieConsumptieFactor (PJ per km)],TableECFTransport[Index],CONCATENATE($A6,"_LPG_LPG"))</f>
        <v>5.7082115506236388E-4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0.13572168465790616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3.9269220454870857E-2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5.4528781922785242E-3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6.4260874989783209E-2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2.0759007429083968E-5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2.0247618469012765E-3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2.3472552242985223E-5</v>
      </c>
      <c r="C8" s="449"/>
      <c r="D8" s="451">
        <f>vkm_2011_NGW_PW*SUMIFS(TableVerdeelsleutelVkm[CNG],TableVerdeelsleutelVkm[Voertuigtype],"Lichte voertuigen")*SUMIFS(TableECFTransport[EnergieConsumptieFactor (PJ per km)],TableECFTransport[Index],CONCATENATE($A8,"_CNG_CNG"))</f>
        <v>8.2583085679065193E-5</v>
      </c>
      <c r="E8" s="451">
        <f>vkm_2011_NGW_PW*SUMIFS(TableVerdeelsleutelVkm[LPG],TableVerdeelsleutelVkm[Voertuigtype],"Lichte voertuigen")*SUMIFS(TableECFTransport[EnergieConsumptieFactor (PJ per km)],TableECFTransport[Index],CONCATENATE($A8,"_LPG_LPG"))</f>
        <v>3.0056207751587451E-4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6.6733230316136094E-2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2.1679269282220484E-2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2.7522466130507467E-3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1.2392767326879816E-2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3.7860954979415518E-6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3.9047061913472409E-4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6.7499402058488619E-5</v>
      </c>
      <c r="C10" s="449"/>
      <c r="D10" s="451">
        <f>vkm_2011_SW_PW*SUMIFS(TableVerdeelsleutelVkm[CNG],TableVerdeelsleutelVkm[Voertuigtype],"Lichte voertuigen")*SUMIFS(TableECFTransport[EnergieConsumptieFactor (PJ per km)],TableECFTransport[Index],CONCATENATE($A10,"_CNG_CNG"))</f>
        <v>1.4040513989020681E-4</v>
      </c>
      <c r="E10" s="451">
        <f>vkm_2011_SW_PW*SUMIFS(TableVerdeelsleutelVkm[LPG],TableVerdeelsleutelVkm[Voertuigtype],"Lichte voertuigen")*SUMIFS(TableECFTransport[EnergieConsumptieFactor (PJ per km)],TableECFTransport[Index],CONCATENATE($A10,"_LPG_LPG"))</f>
        <v>6.8850890406706687E-4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0.14664449136610658</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3.9603380325892362E-2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5.8069558192790525E-3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0.15456326543410528</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5.3797056771972682E-5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4.8701679696856208E-3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45.54735447184202</v>
      </c>
      <c r="C14" s="21"/>
      <c r="D14" s="21">
        <f t="shared" ref="D14:M14" si="0">((D5)*10^9/3600)+D12</f>
        <v>102.23265751704071</v>
      </c>
      <c r="E14" s="21">
        <f t="shared" si="0"/>
        <v>433.30337129036263</v>
      </c>
      <c r="F14" s="21"/>
      <c r="G14" s="21">
        <f t="shared" si="0"/>
        <v>161198.97613636588</v>
      </c>
      <c r="H14" s="21">
        <f t="shared" si="0"/>
        <v>27952.836728522972</v>
      </c>
      <c r="I14" s="21"/>
      <c r="J14" s="21"/>
      <c r="K14" s="21"/>
      <c r="L14" s="21"/>
      <c r="M14" s="21">
        <f t="shared" si="0"/>
        <v>5915.9669612027628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0.1734333141864218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7.8994286384753014</v>
      </c>
      <c r="C18" s="23"/>
      <c r="D18" s="23">
        <f t="shared" ref="D18:M18" si="1">D14*D16</f>
        <v>20.650996818442223</v>
      </c>
      <c r="E18" s="23">
        <f t="shared" si="1"/>
        <v>98.359865282912324</v>
      </c>
      <c r="F18" s="23"/>
      <c r="G18" s="23">
        <f t="shared" si="1"/>
        <v>43040.126628409693</v>
      </c>
      <c r="H18" s="23">
        <f t="shared" si="1"/>
        <v>6960.2563454022202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7.9989801600403136E-3</v>
      </c>
      <c r="H50" s="321">
        <f t="shared" si="2"/>
        <v>0</v>
      </c>
      <c r="I50" s="321">
        <f t="shared" si="2"/>
        <v>0</v>
      </c>
      <c r="J50" s="321">
        <f t="shared" si="2"/>
        <v>0</v>
      </c>
      <c r="K50" s="321">
        <f t="shared" si="2"/>
        <v>0</v>
      </c>
      <c r="L50" s="321">
        <f t="shared" si="2"/>
        <v>0</v>
      </c>
      <c r="M50" s="321">
        <f t="shared" si="2"/>
        <v>2.4811046938931312E-4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7.9989801600403136E-3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2.4811046938931312E-4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2221.9389333445315</v>
      </c>
      <c r="H54" s="21">
        <f t="shared" si="3"/>
        <v>0</v>
      </c>
      <c r="I54" s="21">
        <f t="shared" si="3"/>
        <v>0</v>
      </c>
      <c r="J54" s="21">
        <f t="shared" si="3"/>
        <v>0</v>
      </c>
      <c r="K54" s="21">
        <f t="shared" si="3"/>
        <v>0</v>
      </c>
      <c r="L54" s="21">
        <f t="shared" si="3"/>
        <v>0</v>
      </c>
      <c r="M54" s="21">
        <f t="shared" si="3"/>
        <v>68.919574830364766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0.1734333141864218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593.25769520298991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65802.985016999999</v>
      </c>
      <c r="D10" s="1012">
        <f ca="1">tertiair!C16</f>
        <v>20134.285714285714</v>
      </c>
      <c r="E10" s="1012">
        <f ca="1">tertiair!D16</f>
        <v>52199.029966300805</v>
      </c>
      <c r="F10" s="1012">
        <f>tertiair!E16</f>
        <v>868.5413300676646</v>
      </c>
      <c r="G10" s="1012">
        <f ca="1">tertiair!F16</f>
        <v>11835.840211428293</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4.6900000000000004</v>
      </c>
      <c r="Q10" s="1013">
        <f>tertiair!P16</f>
        <v>38.133333333333333</v>
      </c>
      <c r="R10" s="700">
        <f ca="1">SUM(C10:Q10)</f>
        <v>150883.5055724158</v>
      </c>
      <c r="S10" s="67"/>
    </row>
    <row r="11" spans="1:19" s="473" customFormat="1">
      <c r="A11" s="809" t="s">
        <v>225</v>
      </c>
      <c r="B11" s="814"/>
      <c r="C11" s="1012">
        <f>huishoudens!B8</f>
        <v>48083.326920412779</v>
      </c>
      <c r="D11" s="1012">
        <f>huishoudens!C8</f>
        <v>0</v>
      </c>
      <c r="E11" s="1012">
        <f>huishoudens!D8</f>
        <v>146455.46290099999</v>
      </c>
      <c r="F11" s="1012">
        <f>huishoudens!E8</f>
        <v>3990.2419171349866</v>
      </c>
      <c r="G11" s="1012">
        <f>huishoudens!F8</f>
        <v>0</v>
      </c>
      <c r="H11" s="1012">
        <f>huishoudens!G8</f>
        <v>0</v>
      </c>
      <c r="I11" s="1012">
        <f>huishoudens!H8</f>
        <v>0</v>
      </c>
      <c r="J11" s="1012">
        <f>huishoudens!I8</f>
        <v>0</v>
      </c>
      <c r="K11" s="1012">
        <f>huishoudens!J8</f>
        <v>6800.7212525666</v>
      </c>
      <c r="L11" s="1012">
        <f>huishoudens!K8</f>
        <v>0</v>
      </c>
      <c r="M11" s="1012">
        <f>huishoudens!L8</f>
        <v>0</v>
      </c>
      <c r="N11" s="1012">
        <f>huishoudens!M8</f>
        <v>0</v>
      </c>
      <c r="O11" s="1012">
        <f>huishoudens!N8</f>
        <v>17943.204550523056</v>
      </c>
      <c r="P11" s="1012">
        <f>huishoudens!O8</f>
        <v>315.79333333333335</v>
      </c>
      <c r="Q11" s="1013">
        <f>huishoudens!P8</f>
        <v>476.66666666666663</v>
      </c>
      <c r="R11" s="700">
        <f>SUM(C11:Q11)</f>
        <v>224065.41754163741</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42075.683480709995</v>
      </c>
      <c r="D13" s="1012">
        <f>industrie!C18</f>
        <v>0</v>
      </c>
      <c r="E13" s="1012">
        <f>industrie!D18</f>
        <v>56892.073775484416</v>
      </c>
      <c r="F13" s="1012">
        <f>industrie!E18</f>
        <v>3907.1298802629517</v>
      </c>
      <c r="G13" s="1012">
        <f>industrie!F18</f>
        <v>15101.620904508203</v>
      </c>
      <c r="H13" s="1012">
        <f>industrie!G18</f>
        <v>0</v>
      </c>
      <c r="I13" s="1012">
        <f>industrie!H18</f>
        <v>0</v>
      </c>
      <c r="J13" s="1012">
        <f>industrie!I18</f>
        <v>0</v>
      </c>
      <c r="K13" s="1012">
        <f>industrie!J18</f>
        <v>207.19423781380189</v>
      </c>
      <c r="L13" s="1012">
        <f>industrie!K18</f>
        <v>0</v>
      </c>
      <c r="M13" s="1012">
        <f>industrie!L18</f>
        <v>0</v>
      </c>
      <c r="N13" s="1012">
        <f>industrie!M18</f>
        <v>0</v>
      </c>
      <c r="O13" s="1012">
        <f>industrie!N18</f>
        <v>9918.5245155416724</v>
      </c>
      <c r="P13" s="1012">
        <f>industrie!O18</f>
        <v>0</v>
      </c>
      <c r="Q13" s="1013">
        <f>industrie!P18</f>
        <v>0</v>
      </c>
      <c r="R13" s="700">
        <f>SUM(C13:Q13)</f>
        <v>128102.22679432105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155961.99541812277</v>
      </c>
      <c r="D16" s="732">
        <f t="shared" ref="D16:R16" ca="1" si="0">SUM(D9:D15)</f>
        <v>20134.285714285714</v>
      </c>
      <c r="E16" s="732">
        <f t="shared" ca="1" si="0"/>
        <v>255546.56664278521</v>
      </c>
      <c r="F16" s="732">
        <f t="shared" si="0"/>
        <v>8765.9131274656029</v>
      </c>
      <c r="G16" s="732">
        <f t="shared" ca="1" si="0"/>
        <v>26937.461115936494</v>
      </c>
      <c r="H16" s="732">
        <f t="shared" si="0"/>
        <v>0</v>
      </c>
      <c r="I16" s="732">
        <f t="shared" si="0"/>
        <v>0</v>
      </c>
      <c r="J16" s="732">
        <f t="shared" si="0"/>
        <v>0</v>
      </c>
      <c r="K16" s="732">
        <f t="shared" si="0"/>
        <v>7007.9154903804019</v>
      </c>
      <c r="L16" s="732">
        <f t="shared" si="0"/>
        <v>0</v>
      </c>
      <c r="M16" s="732">
        <f t="shared" ca="1" si="0"/>
        <v>0</v>
      </c>
      <c r="N16" s="732">
        <f t="shared" si="0"/>
        <v>0</v>
      </c>
      <c r="O16" s="732">
        <f t="shared" ca="1" si="0"/>
        <v>27861.729066064727</v>
      </c>
      <c r="P16" s="732">
        <f t="shared" si="0"/>
        <v>320.48333333333335</v>
      </c>
      <c r="Q16" s="732">
        <f t="shared" si="0"/>
        <v>514.79999999999995</v>
      </c>
      <c r="R16" s="732">
        <f t="shared" ca="1" si="0"/>
        <v>503051.14990837424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2221.9389333445315</v>
      </c>
      <c r="I19" s="1012">
        <f>transport!H54</f>
        <v>0</v>
      </c>
      <c r="J19" s="1012">
        <f>transport!I54</f>
        <v>0</v>
      </c>
      <c r="K19" s="1012">
        <f>transport!J54</f>
        <v>0</v>
      </c>
      <c r="L19" s="1012">
        <f>transport!K54</f>
        <v>0</v>
      </c>
      <c r="M19" s="1012">
        <f>transport!L54</f>
        <v>0</v>
      </c>
      <c r="N19" s="1012">
        <f>transport!M54</f>
        <v>68.919574830364766</v>
      </c>
      <c r="O19" s="1012">
        <f>transport!N54</f>
        <v>0</v>
      </c>
      <c r="P19" s="1012">
        <f>transport!O54</f>
        <v>0</v>
      </c>
      <c r="Q19" s="1013">
        <f>transport!P54</f>
        <v>0</v>
      </c>
      <c r="R19" s="700">
        <f>SUM(C19:Q19)</f>
        <v>2290.8585081748961</v>
      </c>
      <c r="S19" s="67"/>
    </row>
    <row r="20" spans="1:19" s="473" customFormat="1">
      <c r="A20" s="809" t="s">
        <v>307</v>
      </c>
      <c r="B20" s="814"/>
      <c r="C20" s="1012">
        <f>transport!B14</f>
        <v>45.54735447184202</v>
      </c>
      <c r="D20" s="1012">
        <f>transport!C14</f>
        <v>0</v>
      </c>
      <c r="E20" s="1012">
        <f>transport!D14</f>
        <v>102.23265751704071</v>
      </c>
      <c r="F20" s="1012">
        <f>transport!E14</f>
        <v>433.30337129036263</v>
      </c>
      <c r="G20" s="1012">
        <f>transport!F14</f>
        <v>0</v>
      </c>
      <c r="H20" s="1012">
        <f>transport!G14</f>
        <v>161198.97613636588</v>
      </c>
      <c r="I20" s="1012">
        <f>transport!H14</f>
        <v>27952.836728522972</v>
      </c>
      <c r="J20" s="1012">
        <f>transport!I14</f>
        <v>0</v>
      </c>
      <c r="K20" s="1012">
        <f>transport!J14</f>
        <v>0</v>
      </c>
      <c r="L20" s="1012">
        <f>transport!K14</f>
        <v>0</v>
      </c>
      <c r="M20" s="1012">
        <f>transport!L14</f>
        <v>0</v>
      </c>
      <c r="N20" s="1012">
        <f>transport!M14</f>
        <v>5915.9669612027628</v>
      </c>
      <c r="O20" s="1012">
        <f>transport!N14</f>
        <v>0</v>
      </c>
      <c r="P20" s="1012">
        <f>transport!O14</f>
        <v>0</v>
      </c>
      <c r="Q20" s="1013">
        <f>transport!P14</f>
        <v>0</v>
      </c>
      <c r="R20" s="700">
        <f>SUM(C20:Q20)</f>
        <v>195648.86320937084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45.54735447184202</v>
      </c>
      <c r="D22" s="812">
        <f t="shared" ref="D22:R22" si="1">SUM(D18:D21)</f>
        <v>0</v>
      </c>
      <c r="E22" s="812">
        <f t="shared" si="1"/>
        <v>102.23265751704071</v>
      </c>
      <c r="F22" s="812">
        <f t="shared" si="1"/>
        <v>433.30337129036263</v>
      </c>
      <c r="G22" s="812">
        <f t="shared" si="1"/>
        <v>0</v>
      </c>
      <c r="H22" s="812">
        <f t="shared" si="1"/>
        <v>163420.91506971041</v>
      </c>
      <c r="I22" s="812">
        <f t="shared" si="1"/>
        <v>27952.836728522972</v>
      </c>
      <c r="J22" s="812">
        <f t="shared" si="1"/>
        <v>0</v>
      </c>
      <c r="K22" s="812">
        <f t="shared" si="1"/>
        <v>0</v>
      </c>
      <c r="L22" s="812">
        <f t="shared" si="1"/>
        <v>0</v>
      </c>
      <c r="M22" s="812">
        <f t="shared" si="1"/>
        <v>0</v>
      </c>
      <c r="N22" s="812">
        <f t="shared" si="1"/>
        <v>5984.8865360331274</v>
      </c>
      <c r="O22" s="812">
        <f t="shared" si="1"/>
        <v>0</v>
      </c>
      <c r="P22" s="812">
        <f t="shared" si="1"/>
        <v>0</v>
      </c>
      <c r="Q22" s="812">
        <f t="shared" si="1"/>
        <v>0</v>
      </c>
      <c r="R22" s="812">
        <f t="shared" si="1"/>
        <v>197939.72171754573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1182.0656880500001</v>
      </c>
      <c r="D24" s="1012">
        <f>+landbouw!C8</f>
        <v>0</v>
      </c>
      <c r="E24" s="1012">
        <f>+landbouw!D8</f>
        <v>305.35324944475997</v>
      </c>
      <c r="F24" s="1012">
        <f>+landbouw!E8</f>
        <v>30.480935487297398</v>
      </c>
      <c r="G24" s="1012">
        <f>+landbouw!F8</f>
        <v>4320.675203297671</v>
      </c>
      <c r="H24" s="1012">
        <f>+landbouw!G8</f>
        <v>0</v>
      </c>
      <c r="I24" s="1012">
        <f>+landbouw!H8</f>
        <v>0</v>
      </c>
      <c r="J24" s="1012">
        <f>+landbouw!I8</f>
        <v>0</v>
      </c>
      <c r="K24" s="1012">
        <f>+landbouw!J8</f>
        <v>170.17397483409465</v>
      </c>
      <c r="L24" s="1012">
        <f>+landbouw!K8</f>
        <v>0</v>
      </c>
      <c r="M24" s="1012">
        <f>+landbouw!L8</f>
        <v>0</v>
      </c>
      <c r="N24" s="1012">
        <f>+landbouw!M8</f>
        <v>0</v>
      </c>
      <c r="O24" s="1012">
        <f>+landbouw!N8</f>
        <v>0</v>
      </c>
      <c r="P24" s="1012">
        <f>+landbouw!O8</f>
        <v>0</v>
      </c>
      <c r="Q24" s="1013">
        <f>+landbouw!P8</f>
        <v>0</v>
      </c>
      <c r="R24" s="700">
        <f>SUM(C24:Q24)</f>
        <v>6008.749051113823</v>
      </c>
      <c r="S24" s="67"/>
    </row>
    <row r="25" spans="1:19" s="473" customFormat="1" ht="15" thickBot="1">
      <c r="A25" s="831" t="s">
        <v>848</v>
      </c>
      <c r="B25" s="1015"/>
      <c r="C25" s="1016">
        <f>IF(Onbekend_ele_kWh="---",0,Onbekend_ele_kWh)/1000+IF(REST_rest_ele_kWh="---",0,REST_rest_ele_kWh)/1000</f>
        <v>1495.6072101</v>
      </c>
      <c r="D25" s="1016"/>
      <c r="E25" s="1016">
        <f>IF(onbekend_gas_kWh="---",0,onbekend_gas_kWh)/1000+IF(REST_rest_gas_kWh="---",0,REST_rest_gas_kWh)/1000</f>
        <v>5076.5575988999999</v>
      </c>
      <c r="F25" s="1016"/>
      <c r="G25" s="1016"/>
      <c r="H25" s="1016"/>
      <c r="I25" s="1016"/>
      <c r="J25" s="1016"/>
      <c r="K25" s="1016"/>
      <c r="L25" s="1016"/>
      <c r="M25" s="1016"/>
      <c r="N25" s="1016"/>
      <c r="O25" s="1016"/>
      <c r="P25" s="1016"/>
      <c r="Q25" s="1017"/>
      <c r="R25" s="700">
        <f>SUM(C25:Q25)</f>
        <v>6572.1648089999999</v>
      </c>
      <c r="S25" s="67"/>
    </row>
    <row r="26" spans="1:19" s="473" customFormat="1" ht="15.75" thickBot="1">
      <c r="A26" s="705" t="s">
        <v>849</v>
      </c>
      <c r="B26" s="817"/>
      <c r="C26" s="812">
        <f>SUM(C24:C25)</f>
        <v>2677.67289815</v>
      </c>
      <c r="D26" s="812">
        <f t="shared" ref="D26:R26" si="2">SUM(D24:D25)</f>
        <v>0</v>
      </c>
      <c r="E26" s="812">
        <f t="shared" si="2"/>
        <v>5381.9108483447599</v>
      </c>
      <c r="F26" s="812">
        <f t="shared" si="2"/>
        <v>30.480935487297398</v>
      </c>
      <c r="G26" s="812">
        <f t="shared" si="2"/>
        <v>4320.675203297671</v>
      </c>
      <c r="H26" s="812">
        <f t="shared" si="2"/>
        <v>0</v>
      </c>
      <c r="I26" s="812">
        <f t="shared" si="2"/>
        <v>0</v>
      </c>
      <c r="J26" s="812">
        <f t="shared" si="2"/>
        <v>0</v>
      </c>
      <c r="K26" s="812">
        <f t="shared" si="2"/>
        <v>170.17397483409465</v>
      </c>
      <c r="L26" s="812">
        <f t="shared" si="2"/>
        <v>0</v>
      </c>
      <c r="M26" s="812">
        <f t="shared" si="2"/>
        <v>0</v>
      </c>
      <c r="N26" s="812">
        <f t="shared" si="2"/>
        <v>0</v>
      </c>
      <c r="O26" s="812">
        <f t="shared" si="2"/>
        <v>0</v>
      </c>
      <c r="P26" s="812">
        <f t="shared" si="2"/>
        <v>0</v>
      </c>
      <c r="Q26" s="812">
        <f t="shared" si="2"/>
        <v>0</v>
      </c>
      <c r="R26" s="812">
        <f t="shared" si="2"/>
        <v>12580.913860113822</v>
      </c>
      <c r="S26" s="67"/>
    </row>
    <row r="27" spans="1:19" s="473" customFormat="1" ht="17.25" thickTop="1" thickBot="1">
      <c r="A27" s="706" t="s">
        <v>116</v>
      </c>
      <c r="B27" s="805"/>
      <c r="C27" s="707">
        <f ca="1">C22+C16+C26</f>
        <v>158685.2156707446</v>
      </c>
      <c r="D27" s="707">
        <f t="shared" ref="D27:R27" ca="1" si="3">D22+D16+D26</f>
        <v>20134.285714285714</v>
      </c>
      <c r="E27" s="707">
        <f t="shared" ca="1" si="3"/>
        <v>261030.71014864702</v>
      </c>
      <c r="F27" s="707">
        <f t="shared" si="3"/>
        <v>9229.6974342432641</v>
      </c>
      <c r="G27" s="707">
        <f t="shared" ca="1" si="3"/>
        <v>31258.136319234167</v>
      </c>
      <c r="H27" s="707">
        <f t="shared" si="3"/>
        <v>163420.91506971041</v>
      </c>
      <c r="I27" s="707">
        <f t="shared" si="3"/>
        <v>27952.836728522972</v>
      </c>
      <c r="J27" s="707">
        <f t="shared" si="3"/>
        <v>0</v>
      </c>
      <c r="K27" s="707">
        <f t="shared" si="3"/>
        <v>7178.0894652144962</v>
      </c>
      <c r="L27" s="707">
        <f t="shared" si="3"/>
        <v>0</v>
      </c>
      <c r="M27" s="707">
        <f t="shared" ca="1" si="3"/>
        <v>0</v>
      </c>
      <c r="N27" s="707">
        <f t="shared" si="3"/>
        <v>5984.8865360331274</v>
      </c>
      <c r="O27" s="707">
        <f t="shared" ca="1" si="3"/>
        <v>27861.729066064727</v>
      </c>
      <c r="P27" s="707">
        <f t="shared" si="3"/>
        <v>320.48333333333335</v>
      </c>
      <c r="Q27" s="707">
        <f t="shared" si="3"/>
        <v>514.79999999999995</v>
      </c>
      <c r="R27" s="707">
        <f t="shared" ca="1" si="3"/>
        <v>713571.78548603377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11412.429774857768</v>
      </c>
      <c r="D40" s="1012">
        <f ca="1">tertiair!C20</f>
        <v>0</v>
      </c>
      <c r="E40" s="1012">
        <f ca="1">tertiair!D20</f>
        <v>10544.204053192763</v>
      </c>
      <c r="F40" s="1012">
        <f>tertiair!E20</f>
        <v>197.15888192535988</v>
      </c>
      <c r="G40" s="1012">
        <f ca="1">tertiair!F20</f>
        <v>3160.1693364513544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25313.962046427245</v>
      </c>
    </row>
    <row r="41" spans="1:18">
      <c r="A41" s="822" t="s">
        <v>225</v>
      </c>
      <c r="B41" s="829"/>
      <c r="C41" s="1012">
        <f ca="1">huishoudens!B12</f>
        <v>8339.2507449163822</v>
      </c>
      <c r="D41" s="1012">
        <f ca="1">huishoudens!C12</f>
        <v>0</v>
      </c>
      <c r="E41" s="1012">
        <f>huishoudens!D12</f>
        <v>29584.003506002002</v>
      </c>
      <c r="F41" s="1012">
        <f>huishoudens!E12</f>
        <v>905.78491518964199</v>
      </c>
      <c r="G41" s="1012">
        <f>huishoudens!F12</f>
        <v>0</v>
      </c>
      <c r="H41" s="1012">
        <f>huishoudens!G12</f>
        <v>0</v>
      </c>
      <c r="I41" s="1012">
        <f>huishoudens!H12</f>
        <v>0</v>
      </c>
      <c r="J41" s="1012">
        <f>huishoudens!I12</f>
        <v>0</v>
      </c>
      <c r="K41" s="1012">
        <f>huishoudens!J12</f>
        <v>2407.4553234085761</v>
      </c>
      <c r="L41" s="1012">
        <f>huishoudens!K12</f>
        <v>0</v>
      </c>
      <c r="M41" s="1012">
        <f>huishoudens!L12</f>
        <v>0</v>
      </c>
      <c r="N41" s="1012">
        <f>huishoudens!M12</f>
        <v>0</v>
      </c>
      <c r="O41" s="1012">
        <f>huishoudens!N12</f>
        <v>0</v>
      </c>
      <c r="P41" s="1012">
        <f>huishoudens!O12</f>
        <v>0</v>
      </c>
      <c r="Q41" s="774">
        <f>huishoudens!P12</f>
        <v>0</v>
      </c>
      <c r="R41" s="850">
        <f t="shared" ca="1" si="4"/>
        <v>41236.494489516605</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7297.3252327184146</v>
      </c>
      <c r="D43" s="1012">
        <f ca="1">industrie!C22</f>
        <v>0</v>
      </c>
      <c r="E43" s="1012">
        <f>industrie!D22</f>
        <v>11492.198902647853</v>
      </c>
      <c r="F43" s="1012">
        <f>industrie!E22</f>
        <v>886.9184828196901</v>
      </c>
      <c r="G43" s="1012">
        <f>industrie!F22</f>
        <v>4032.1327815036907</v>
      </c>
      <c r="H43" s="1012">
        <f>industrie!G22</f>
        <v>0</v>
      </c>
      <c r="I43" s="1012">
        <f>industrie!H22</f>
        <v>0</v>
      </c>
      <c r="J43" s="1012">
        <f>industrie!I22</f>
        <v>0</v>
      </c>
      <c r="K43" s="1012">
        <f>industrie!J22</f>
        <v>73.346760186085859</v>
      </c>
      <c r="L43" s="1012">
        <f>industrie!K22</f>
        <v>0</v>
      </c>
      <c r="M43" s="1012">
        <f>industrie!L22</f>
        <v>0</v>
      </c>
      <c r="N43" s="1012">
        <f>industrie!M22</f>
        <v>0</v>
      </c>
      <c r="O43" s="1012">
        <f>industrie!N22</f>
        <v>0</v>
      </c>
      <c r="P43" s="1012">
        <f>industrie!O22</f>
        <v>0</v>
      </c>
      <c r="Q43" s="774">
        <f>industrie!P22</f>
        <v>0</v>
      </c>
      <c r="R43" s="849">
        <f t="shared" ca="1" si="4"/>
        <v>23781.922159875732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27049.005752492565</v>
      </c>
      <c r="D46" s="732">
        <f t="shared" ref="D46:Q46" ca="1" si="5">SUM(D39:D45)</f>
        <v>0</v>
      </c>
      <c r="E46" s="732">
        <f t="shared" ca="1" si="5"/>
        <v>51620.40646184262</v>
      </c>
      <c r="F46" s="732">
        <f t="shared" si="5"/>
        <v>1989.862279934692</v>
      </c>
      <c r="G46" s="732">
        <f t="shared" ca="1" si="5"/>
        <v>7192.3021179550451</v>
      </c>
      <c r="H46" s="732">
        <f t="shared" si="5"/>
        <v>0</v>
      </c>
      <c r="I46" s="732">
        <f t="shared" si="5"/>
        <v>0</v>
      </c>
      <c r="J46" s="732">
        <f t="shared" si="5"/>
        <v>0</v>
      </c>
      <c r="K46" s="732">
        <f t="shared" si="5"/>
        <v>2480.8020835946618</v>
      </c>
      <c r="L46" s="732">
        <f t="shared" si="5"/>
        <v>0</v>
      </c>
      <c r="M46" s="732">
        <f t="shared" ca="1" si="5"/>
        <v>0</v>
      </c>
      <c r="N46" s="732">
        <f t="shared" si="5"/>
        <v>0</v>
      </c>
      <c r="O46" s="732">
        <f t="shared" ca="1" si="5"/>
        <v>0</v>
      </c>
      <c r="P46" s="732">
        <f t="shared" si="5"/>
        <v>0</v>
      </c>
      <c r="Q46" s="732">
        <f t="shared" si="5"/>
        <v>0</v>
      </c>
      <c r="R46" s="732">
        <f ca="1">SUM(R39:R45)</f>
        <v>90332.378695819571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593.25769520298991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593.25769520298991</v>
      </c>
    </row>
    <row r="50" spans="1:18">
      <c r="A50" s="825" t="s">
        <v>307</v>
      </c>
      <c r="B50" s="835"/>
      <c r="C50" s="703">
        <f ca="1">transport!B18</f>
        <v>7.8994286384753014</v>
      </c>
      <c r="D50" s="703">
        <f>transport!C18</f>
        <v>0</v>
      </c>
      <c r="E50" s="703">
        <f>transport!D18</f>
        <v>20.650996818442223</v>
      </c>
      <c r="F50" s="703">
        <f>transport!E18</f>
        <v>98.359865282912324</v>
      </c>
      <c r="G50" s="703">
        <f>transport!F18</f>
        <v>0</v>
      </c>
      <c r="H50" s="703">
        <f>transport!G18</f>
        <v>43040.126628409693</v>
      </c>
      <c r="I50" s="703">
        <f>transport!H18</f>
        <v>6960.2563454022202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50127.293264551743</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7.8994286384753014</v>
      </c>
      <c r="D52" s="732">
        <f t="shared" ref="D52:Q52" ca="1" si="6">SUM(D48:D51)</f>
        <v>0</v>
      </c>
      <c r="E52" s="732">
        <f t="shared" si="6"/>
        <v>20.650996818442223</v>
      </c>
      <c r="F52" s="732">
        <f t="shared" si="6"/>
        <v>98.359865282912324</v>
      </c>
      <c r="G52" s="732">
        <f t="shared" si="6"/>
        <v>0</v>
      </c>
      <c r="H52" s="732">
        <f t="shared" si="6"/>
        <v>43633.384323612685</v>
      </c>
      <c r="I52" s="732">
        <f t="shared" si="6"/>
        <v>6960.2563454022202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50720.550959754735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205.00956986456453</v>
      </c>
      <c r="D54" s="703">
        <f ca="1">+landbouw!C12</f>
        <v>0</v>
      </c>
      <c r="E54" s="703">
        <f>+landbouw!D12</f>
        <v>61.681356387841518</v>
      </c>
      <c r="F54" s="703">
        <f>+landbouw!E12</f>
        <v>6.9191723556165092</v>
      </c>
      <c r="G54" s="703">
        <f>+landbouw!F12</f>
        <v>1153.6202792804781</v>
      </c>
      <c r="H54" s="703">
        <f>+landbouw!G12</f>
        <v>0</v>
      </c>
      <c r="I54" s="703">
        <f>+landbouw!H12</f>
        <v>0</v>
      </c>
      <c r="J54" s="703">
        <f>+landbouw!I12</f>
        <v>0</v>
      </c>
      <c r="K54" s="703">
        <f>+landbouw!J12</f>
        <v>60.241587091269501</v>
      </c>
      <c r="L54" s="703">
        <f>+landbouw!K12</f>
        <v>0</v>
      </c>
      <c r="M54" s="703">
        <f>+landbouw!L12</f>
        <v>0</v>
      </c>
      <c r="N54" s="703">
        <f>+landbouw!M12</f>
        <v>0</v>
      </c>
      <c r="O54" s="703">
        <f>+landbouw!N12</f>
        <v>0</v>
      </c>
      <c r="P54" s="703">
        <f>+landbouw!O12</f>
        <v>0</v>
      </c>
      <c r="Q54" s="704">
        <f>+landbouw!P12</f>
        <v>0</v>
      </c>
      <c r="R54" s="731">
        <f ca="1">SUM(C54:Q54)</f>
        <v>1487.4719649797703</v>
      </c>
    </row>
    <row r="55" spans="1:18" ht="15" thickBot="1">
      <c r="A55" s="825" t="s">
        <v>848</v>
      </c>
      <c r="B55" s="835"/>
      <c r="C55" s="703">
        <f ca="1">C25*'EF ele_warmte'!B12</f>
        <v>259.38811516875103</v>
      </c>
      <c r="D55" s="703"/>
      <c r="E55" s="703">
        <f>E25*EF_CO2_aardgas</f>
        <v>1025.4646349778</v>
      </c>
      <c r="F55" s="703"/>
      <c r="G55" s="703"/>
      <c r="H55" s="703"/>
      <c r="I55" s="703"/>
      <c r="J55" s="703"/>
      <c r="K55" s="703"/>
      <c r="L55" s="703"/>
      <c r="M55" s="703"/>
      <c r="N55" s="703"/>
      <c r="O55" s="703"/>
      <c r="P55" s="703"/>
      <c r="Q55" s="704"/>
      <c r="R55" s="731">
        <f ca="1">SUM(C55:Q55)</f>
        <v>1284.852750146551</v>
      </c>
    </row>
    <row r="56" spans="1:18" ht="15.75" thickBot="1">
      <c r="A56" s="823" t="s">
        <v>849</v>
      </c>
      <c r="B56" s="836"/>
      <c r="C56" s="732">
        <f ca="1">SUM(C54:C55)</f>
        <v>464.39768503331555</v>
      </c>
      <c r="D56" s="732">
        <f t="shared" ref="D56:Q56" ca="1" si="7">SUM(D54:D55)</f>
        <v>0</v>
      </c>
      <c r="E56" s="732">
        <f t="shared" si="7"/>
        <v>1087.1459913656415</v>
      </c>
      <c r="F56" s="732">
        <f t="shared" si="7"/>
        <v>6.9191723556165092</v>
      </c>
      <c r="G56" s="732">
        <f t="shared" si="7"/>
        <v>1153.6202792804781</v>
      </c>
      <c r="H56" s="732">
        <f t="shared" si="7"/>
        <v>0</v>
      </c>
      <c r="I56" s="732">
        <f t="shared" si="7"/>
        <v>0</v>
      </c>
      <c r="J56" s="732">
        <f t="shared" si="7"/>
        <v>0</v>
      </c>
      <c r="K56" s="732">
        <f t="shared" si="7"/>
        <v>60.241587091269501</v>
      </c>
      <c r="L56" s="732">
        <f t="shared" si="7"/>
        <v>0</v>
      </c>
      <c r="M56" s="732">
        <f t="shared" si="7"/>
        <v>0</v>
      </c>
      <c r="N56" s="732">
        <f t="shared" si="7"/>
        <v>0</v>
      </c>
      <c r="O56" s="732">
        <f t="shared" si="7"/>
        <v>0</v>
      </c>
      <c r="P56" s="732">
        <f t="shared" si="7"/>
        <v>0</v>
      </c>
      <c r="Q56" s="733">
        <f t="shared" si="7"/>
        <v>0</v>
      </c>
      <c r="R56" s="734">
        <f ca="1">SUM(R54:R55)</f>
        <v>2772.3247151263213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27521.302866164358</v>
      </c>
      <c r="D61" s="740">
        <f t="shared" ref="D61:Q61" ca="1" si="8">D46+D52+D56</f>
        <v>0</v>
      </c>
      <c r="E61" s="740">
        <f t="shared" ca="1" si="8"/>
        <v>52728.203450026704</v>
      </c>
      <c r="F61" s="740">
        <f t="shared" si="8"/>
        <v>2095.1413175732209</v>
      </c>
      <c r="G61" s="740">
        <f t="shared" ca="1" si="8"/>
        <v>8345.922397235523</v>
      </c>
      <c r="H61" s="740">
        <f t="shared" si="8"/>
        <v>43633.384323612685</v>
      </c>
      <c r="I61" s="740">
        <f t="shared" si="8"/>
        <v>6960.2563454022202</v>
      </c>
      <c r="J61" s="740">
        <f t="shared" si="8"/>
        <v>0</v>
      </c>
      <c r="K61" s="740">
        <f t="shared" si="8"/>
        <v>2541.0436706859314</v>
      </c>
      <c r="L61" s="740">
        <f t="shared" si="8"/>
        <v>0</v>
      </c>
      <c r="M61" s="740">
        <f t="shared" ca="1" si="8"/>
        <v>0</v>
      </c>
      <c r="N61" s="740">
        <f t="shared" si="8"/>
        <v>0</v>
      </c>
      <c r="O61" s="740">
        <f t="shared" ca="1" si="8"/>
        <v>0</v>
      </c>
      <c r="P61" s="740">
        <f t="shared" si="8"/>
        <v>0</v>
      </c>
      <c r="Q61" s="740">
        <f t="shared" si="8"/>
        <v>0</v>
      </c>
      <c r="R61" s="740">
        <f ca="1">R46+R52+R56</f>
        <v>143825.25437070066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0.17343331418642183</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8113.7159571026823</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11946.717513803216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14094</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16581.176470588238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34154.433470905897</v>
      </c>
      <c r="C78" s="755">
        <f>SUM(C72:C77)</f>
        <v>0</v>
      </c>
      <c r="D78" s="756">
        <f t="shared" ref="D78:H78" si="10">SUM(D76:D77)</f>
        <v>0</v>
      </c>
      <c r="E78" s="756">
        <f t="shared" si="10"/>
        <v>0</v>
      </c>
      <c r="F78" s="756">
        <f t="shared" si="10"/>
        <v>0</v>
      </c>
      <c r="G78" s="756">
        <f t="shared" si="10"/>
        <v>0</v>
      </c>
      <c r="H78" s="756">
        <f t="shared" si="10"/>
        <v>0</v>
      </c>
      <c r="I78" s="756">
        <f>SUM(I76:I77)</f>
        <v>0</v>
      </c>
      <c r="J78" s="756">
        <f>SUM(J76:J77)</f>
        <v>16581.176470588238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20134.285714285714</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23687.394957983193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20134.285714285714</v>
      </c>
      <c r="C90" s="755">
        <f>SUM(C87:C89)</f>
        <v>0</v>
      </c>
      <c r="D90" s="755">
        <f t="shared" ref="D90:H90" si="12">SUM(D87:D89)</f>
        <v>0</v>
      </c>
      <c r="E90" s="755">
        <f t="shared" si="12"/>
        <v>0</v>
      </c>
      <c r="F90" s="755">
        <f t="shared" si="12"/>
        <v>0</v>
      </c>
      <c r="G90" s="755">
        <f t="shared" si="12"/>
        <v>0</v>
      </c>
      <c r="H90" s="755">
        <f t="shared" si="12"/>
        <v>0</v>
      </c>
      <c r="I90" s="755">
        <f>SUM(I87:I89)</f>
        <v>0</v>
      </c>
      <c r="J90" s="755">
        <f>SUM(J87:J89)</f>
        <v>23687.394957983193</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8113.7159571026823</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11946.717513803216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14094</v>
      </c>
      <c r="C8" s="570">
        <f>B101</f>
        <v>0</v>
      </c>
      <c r="D8" s="1043"/>
      <c r="E8" s="1043">
        <f>E101</f>
        <v>0</v>
      </c>
      <c r="F8" s="1044"/>
      <c r="G8" s="571"/>
      <c r="H8" s="1043">
        <f>I101</f>
        <v>0</v>
      </c>
      <c r="I8" s="1043">
        <f>G101+F101</f>
        <v>0</v>
      </c>
      <c r="J8" s="1043">
        <f>H101+D101+C101</f>
        <v>16581.176470588238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34154.433470905897</v>
      </c>
      <c r="C10" s="583">
        <f t="shared" ref="C10:L10" si="0">SUM(C8:C9)</f>
        <v>0</v>
      </c>
      <c r="D10" s="583">
        <f t="shared" si="0"/>
        <v>0</v>
      </c>
      <c r="E10" s="583">
        <f t="shared" si="0"/>
        <v>0</v>
      </c>
      <c r="F10" s="583">
        <f t="shared" si="0"/>
        <v>0</v>
      </c>
      <c r="G10" s="583">
        <f t="shared" si="0"/>
        <v>0</v>
      </c>
      <c r="H10" s="583">
        <f t="shared" si="0"/>
        <v>0</v>
      </c>
      <c r="I10" s="583">
        <f t="shared" si="0"/>
        <v>0</v>
      </c>
      <c r="J10" s="583">
        <f t="shared" si="0"/>
        <v>16581.176470588238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20134.285714285714</v>
      </c>
      <c r="C17" s="595">
        <f>B102</f>
        <v>0</v>
      </c>
      <c r="D17" s="596"/>
      <c r="E17" s="596">
        <f>E102</f>
        <v>0</v>
      </c>
      <c r="F17" s="1049"/>
      <c r="G17" s="597"/>
      <c r="H17" s="595">
        <f>I102</f>
        <v>0</v>
      </c>
      <c r="I17" s="596">
        <f>G102+F102</f>
        <v>0</v>
      </c>
      <c r="J17" s="596">
        <f>H102+D102+C102</f>
        <v>23687.394957983193</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20134.285714285714</v>
      </c>
      <c r="C20" s="582">
        <f>SUM(C17:C19)</f>
        <v>0</v>
      </c>
      <c r="D20" s="582">
        <f t="shared" ref="D20:L20" si="1">SUM(D17:D19)</f>
        <v>0</v>
      </c>
      <c r="E20" s="582">
        <f t="shared" si="1"/>
        <v>0</v>
      </c>
      <c r="F20" s="582">
        <f t="shared" si="1"/>
        <v>0</v>
      </c>
      <c r="G20" s="582">
        <f t="shared" si="1"/>
        <v>0</v>
      </c>
      <c r="H20" s="582">
        <f t="shared" si="1"/>
        <v>0</v>
      </c>
      <c r="I20" s="582">
        <f t="shared" si="1"/>
        <v>0</v>
      </c>
      <c r="J20" s="582">
        <f t="shared" si="1"/>
        <v>23687.394957983193</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34027</v>
      </c>
      <c r="C28" s="796">
        <v>8930</v>
      </c>
      <c r="D28" s="653" t="s">
        <v>890</v>
      </c>
      <c r="E28" s="652" t="s">
        <v>891</v>
      </c>
      <c r="F28" s="652" t="s">
        <v>892</v>
      </c>
      <c r="G28" s="652" t="s">
        <v>893</v>
      </c>
      <c r="H28" s="652" t="s">
        <v>894</v>
      </c>
      <c r="I28" s="652" t="s">
        <v>895</v>
      </c>
      <c r="J28" s="795">
        <v>41613</v>
      </c>
      <c r="K28" s="795">
        <v>41613</v>
      </c>
      <c r="L28" s="652" t="s">
        <v>896</v>
      </c>
      <c r="M28" s="652">
        <v>3132</v>
      </c>
      <c r="N28" s="652">
        <v>14094</v>
      </c>
      <c r="O28" s="652">
        <v>20134.285714285714</v>
      </c>
      <c r="P28" s="652">
        <v>0</v>
      </c>
      <c r="Q28" s="652">
        <v>40268.571428571428</v>
      </c>
      <c r="R28" s="652">
        <v>0</v>
      </c>
      <c r="S28" s="652">
        <v>0</v>
      </c>
      <c r="T28" s="652">
        <v>0</v>
      </c>
      <c r="U28" s="652">
        <v>0</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3132</v>
      </c>
      <c r="N58" s="610">
        <f>SUM(N28:N57)</f>
        <v>14094</v>
      </c>
      <c r="O58" s="610">
        <f t="shared" ref="O58:W58" si="2">SUM(O28:O57)</f>
        <v>20134.285714285714</v>
      </c>
      <c r="P58" s="610">
        <f t="shared" si="2"/>
        <v>0</v>
      </c>
      <c r="Q58" s="610">
        <f t="shared" si="2"/>
        <v>40268.571428571428</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3132</v>
      </c>
      <c r="N60" s="610">
        <f ca="1">SUMIF($Z$28:AD57,"tertiair",N28:N57)</f>
        <v>14094</v>
      </c>
      <c r="O60" s="610">
        <f ca="1">SUMIF($Z$28:AE57,"tertiair",O28:O57)</f>
        <v>20134.285714285714</v>
      </c>
      <c r="P60" s="610">
        <f ca="1">SUMIF($Z$28:AF57,"tertiair",P28:P57)</f>
        <v>0</v>
      </c>
      <c r="Q60" s="610">
        <f ca="1">SUMIF($Z$28:AG57,"tertiair",Q28:Q57)</f>
        <v>40268.571428571428</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16581.176470588238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23687.394957983193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48083.326920412779</v>
      </c>
      <c r="C4" s="477">
        <f>huishoudens!C8</f>
        <v>0</v>
      </c>
      <c r="D4" s="477">
        <f>huishoudens!D8</f>
        <v>146455.46290099999</v>
      </c>
      <c r="E4" s="477">
        <f>huishoudens!E8</f>
        <v>3990.2419171349866</v>
      </c>
      <c r="F4" s="477">
        <f>huishoudens!F8</f>
        <v>0</v>
      </c>
      <c r="G4" s="477">
        <f>huishoudens!G8</f>
        <v>0</v>
      </c>
      <c r="H4" s="477">
        <f>huishoudens!H8</f>
        <v>0</v>
      </c>
      <c r="I4" s="477">
        <f>huishoudens!I8</f>
        <v>0</v>
      </c>
      <c r="J4" s="477">
        <f>huishoudens!J8</f>
        <v>6800.7212525666</v>
      </c>
      <c r="K4" s="477">
        <f>huishoudens!K8</f>
        <v>0</v>
      </c>
      <c r="L4" s="477">
        <f>huishoudens!L8</f>
        <v>0</v>
      </c>
      <c r="M4" s="477">
        <f>huishoudens!M8</f>
        <v>0</v>
      </c>
      <c r="N4" s="477">
        <f>huishoudens!N8</f>
        <v>17943.204550523056</v>
      </c>
      <c r="O4" s="477">
        <f>huishoudens!O8</f>
        <v>315.79333333333335</v>
      </c>
      <c r="P4" s="478">
        <f>huishoudens!P8</f>
        <v>476.66666666666663</v>
      </c>
      <c r="Q4" s="479">
        <f>SUM(B4:P4)</f>
        <v>224065.41754163741</v>
      </c>
    </row>
    <row r="5" spans="1:17">
      <c r="A5" s="476" t="s">
        <v>156</v>
      </c>
      <c r="B5" s="477">
        <f ca="1">tertiair!B16</f>
        <v>63361.748017000005</v>
      </c>
      <c r="C5" s="477">
        <f ca="1">tertiair!C16</f>
        <v>20134.285714285714</v>
      </c>
      <c r="D5" s="477">
        <f ca="1">tertiair!D16</f>
        <v>52199.029966300805</v>
      </c>
      <c r="E5" s="477">
        <f>tertiair!E16</f>
        <v>868.5413300676646</v>
      </c>
      <c r="F5" s="477">
        <f ca="1">tertiair!F16</f>
        <v>11835.840211428293</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4.6900000000000004</v>
      </c>
      <c r="P5" s="478">
        <f>tertiair!P16</f>
        <v>38.133333333333333</v>
      </c>
      <c r="Q5" s="476">
        <f t="shared" ref="Q5:Q14" ca="1" si="0">SUM(B5:P5)</f>
        <v>148442.26857241584</v>
      </c>
    </row>
    <row r="6" spans="1:17">
      <c r="A6" s="476" t="s">
        <v>194</v>
      </c>
      <c r="B6" s="477">
        <f>'openbare verlichting'!B8</f>
        <v>2441.2370000000001</v>
      </c>
      <c r="C6" s="477"/>
      <c r="D6" s="477"/>
      <c r="E6" s="477"/>
      <c r="F6" s="477"/>
      <c r="G6" s="477"/>
      <c r="H6" s="477"/>
      <c r="I6" s="477"/>
      <c r="J6" s="477"/>
      <c r="K6" s="477"/>
      <c r="L6" s="477"/>
      <c r="M6" s="477"/>
      <c r="N6" s="477"/>
      <c r="O6" s="477"/>
      <c r="P6" s="478"/>
      <c r="Q6" s="476">
        <f t="shared" si="0"/>
        <v>2441.2370000000001</v>
      </c>
    </row>
    <row r="7" spans="1:17">
      <c r="A7" s="476" t="s">
        <v>112</v>
      </c>
      <c r="B7" s="477">
        <f>landbouw!B8</f>
        <v>1182.0656880500001</v>
      </c>
      <c r="C7" s="477">
        <f>landbouw!C8</f>
        <v>0</v>
      </c>
      <c r="D7" s="477">
        <f>landbouw!D8</f>
        <v>305.35324944475997</v>
      </c>
      <c r="E7" s="477">
        <f>landbouw!E8</f>
        <v>30.480935487297398</v>
      </c>
      <c r="F7" s="477">
        <f>landbouw!F8</f>
        <v>4320.675203297671</v>
      </c>
      <c r="G7" s="477">
        <f>landbouw!G8</f>
        <v>0</v>
      </c>
      <c r="H7" s="477">
        <f>landbouw!H8</f>
        <v>0</v>
      </c>
      <c r="I7" s="477">
        <f>landbouw!I8</f>
        <v>0</v>
      </c>
      <c r="J7" s="477">
        <f>landbouw!J8</f>
        <v>170.17397483409465</v>
      </c>
      <c r="K7" s="477">
        <f>landbouw!K8</f>
        <v>0</v>
      </c>
      <c r="L7" s="477">
        <f>landbouw!L8</f>
        <v>0</v>
      </c>
      <c r="M7" s="477">
        <f>landbouw!M8</f>
        <v>0</v>
      </c>
      <c r="N7" s="477">
        <f>landbouw!N8</f>
        <v>0</v>
      </c>
      <c r="O7" s="477">
        <f>landbouw!O8</f>
        <v>0</v>
      </c>
      <c r="P7" s="478">
        <f>landbouw!P8</f>
        <v>0</v>
      </c>
      <c r="Q7" s="476">
        <f t="shared" si="0"/>
        <v>6008.749051113823</v>
      </c>
    </row>
    <row r="8" spans="1:17">
      <c r="A8" s="476" t="s">
        <v>638</v>
      </c>
      <c r="B8" s="477">
        <f>industrie!B18</f>
        <v>42075.683480709995</v>
      </c>
      <c r="C8" s="477">
        <f>industrie!C18</f>
        <v>0</v>
      </c>
      <c r="D8" s="477">
        <f>industrie!D18</f>
        <v>56892.073775484416</v>
      </c>
      <c r="E8" s="477">
        <f>industrie!E18</f>
        <v>3907.1298802629517</v>
      </c>
      <c r="F8" s="477">
        <f>industrie!F18</f>
        <v>15101.620904508203</v>
      </c>
      <c r="G8" s="477">
        <f>industrie!G18</f>
        <v>0</v>
      </c>
      <c r="H8" s="477">
        <f>industrie!H18</f>
        <v>0</v>
      </c>
      <c r="I8" s="477">
        <f>industrie!I18</f>
        <v>0</v>
      </c>
      <c r="J8" s="477">
        <f>industrie!J18</f>
        <v>207.19423781380189</v>
      </c>
      <c r="K8" s="477">
        <f>industrie!K18</f>
        <v>0</v>
      </c>
      <c r="L8" s="477">
        <f>industrie!L18</f>
        <v>0</v>
      </c>
      <c r="M8" s="477">
        <f>industrie!M18</f>
        <v>0</v>
      </c>
      <c r="N8" s="477">
        <f>industrie!N18</f>
        <v>9918.5245155416724</v>
      </c>
      <c r="O8" s="477">
        <f>industrie!O18</f>
        <v>0</v>
      </c>
      <c r="P8" s="478">
        <f>industrie!P18</f>
        <v>0</v>
      </c>
      <c r="Q8" s="476">
        <f t="shared" si="0"/>
        <v>128102.22679432105</v>
      </c>
    </row>
    <row r="9" spans="1:17" s="482" customFormat="1">
      <c r="A9" s="480" t="s">
        <v>564</v>
      </c>
      <c r="B9" s="481">
        <f>transport!B14</f>
        <v>45.54735447184202</v>
      </c>
      <c r="C9" s="481">
        <f>transport!C14</f>
        <v>0</v>
      </c>
      <c r="D9" s="481">
        <f>transport!D14</f>
        <v>102.23265751704071</v>
      </c>
      <c r="E9" s="481">
        <f>transport!E14</f>
        <v>433.30337129036263</v>
      </c>
      <c r="F9" s="481">
        <f>transport!F14</f>
        <v>0</v>
      </c>
      <c r="G9" s="481">
        <f>transport!G14</f>
        <v>161198.97613636588</v>
      </c>
      <c r="H9" s="481">
        <f>transport!H14</f>
        <v>27952.836728522972</v>
      </c>
      <c r="I9" s="481">
        <f>transport!I14</f>
        <v>0</v>
      </c>
      <c r="J9" s="481">
        <f>transport!J14</f>
        <v>0</v>
      </c>
      <c r="K9" s="481">
        <f>transport!K14</f>
        <v>0</v>
      </c>
      <c r="L9" s="481">
        <f>transport!L14</f>
        <v>0</v>
      </c>
      <c r="M9" s="481">
        <f>transport!M14</f>
        <v>5915.9669612027628</v>
      </c>
      <c r="N9" s="481">
        <f>transport!N14</f>
        <v>0</v>
      </c>
      <c r="O9" s="481">
        <f>transport!O14</f>
        <v>0</v>
      </c>
      <c r="P9" s="481">
        <f>transport!P14</f>
        <v>0</v>
      </c>
      <c r="Q9" s="480">
        <f>SUM(B9:P9)</f>
        <v>195648.86320937084</v>
      </c>
    </row>
    <row r="10" spans="1:17">
      <c r="A10" s="476" t="s">
        <v>554</v>
      </c>
      <c r="B10" s="477">
        <f>transport!B54</f>
        <v>0</v>
      </c>
      <c r="C10" s="477">
        <f>transport!C54</f>
        <v>0</v>
      </c>
      <c r="D10" s="477">
        <f>transport!D54</f>
        <v>0</v>
      </c>
      <c r="E10" s="477">
        <f>transport!E54</f>
        <v>0</v>
      </c>
      <c r="F10" s="477">
        <f>transport!F54</f>
        <v>0</v>
      </c>
      <c r="G10" s="477">
        <f>transport!G54</f>
        <v>2221.9389333445315</v>
      </c>
      <c r="H10" s="477">
        <f>transport!H54</f>
        <v>0</v>
      </c>
      <c r="I10" s="477">
        <f>transport!I54</f>
        <v>0</v>
      </c>
      <c r="J10" s="477">
        <f>transport!J54</f>
        <v>0</v>
      </c>
      <c r="K10" s="477">
        <f>transport!K54</f>
        <v>0</v>
      </c>
      <c r="L10" s="477">
        <f>transport!L54</f>
        <v>0</v>
      </c>
      <c r="M10" s="477">
        <f>transport!M54</f>
        <v>68.919574830364766</v>
      </c>
      <c r="N10" s="477">
        <f>transport!N54</f>
        <v>0</v>
      </c>
      <c r="O10" s="477">
        <f>transport!O54</f>
        <v>0</v>
      </c>
      <c r="P10" s="478">
        <f>transport!P54</f>
        <v>0</v>
      </c>
      <c r="Q10" s="476">
        <f t="shared" si="0"/>
        <v>2290.8585081748961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1495.6072101</v>
      </c>
      <c r="C14" s="484"/>
      <c r="D14" s="484">
        <f>'SEAP template'!E25</f>
        <v>5076.5575988999999</v>
      </c>
      <c r="E14" s="484"/>
      <c r="F14" s="484"/>
      <c r="G14" s="484"/>
      <c r="H14" s="484"/>
      <c r="I14" s="484"/>
      <c r="J14" s="484"/>
      <c r="K14" s="484"/>
      <c r="L14" s="484"/>
      <c r="M14" s="484"/>
      <c r="N14" s="484"/>
      <c r="O14" s="484"/>
      <c r="P14" s="485"/>
      <c r="Q14" s="476">
        <f t="shared" si="0"/>
        <v>6572.1648089999999</v>
      </c>
    </row>
    <row r="15" spans="1:17" s="486" customFormat="1">
      <c r="A15" s="1038" t="s">
        <v>558</v>
      </c>
      <c r="B15" s="978">
        <f ca="1">SUM(B4:B14)</f>
        <v>158685.2156707446</v>
      </c>
      <c r="C15" s="978">
        <f t="shared" ref="C15:Q15" ca="1" si="1">SUM(C4:C14)</f>
        <v>20134.285714285714</v>
      </c>
      <c r="D15" s="978">
        <f t="shared" ca="1" si="1"/>
        <v>261030.71014864705</v>
      </c>
      <c r="E15" s="978">
        <f t="shared" si="1"/>
        <v>9229.6974342432641</v>
      </c>
      <c r="F15" s="978">
        <f t="shared" ca="1" si="1"/>
        <v>31258.136319234167</v>
      </c>
      <c r="G15" s="978">
        <f t="shared" si="1"/>
        <v>163420.91506971041</v>
      </c>
      <c r="H15" s="978">
        <f t="shared" si="1"/>
        <v>27952.836728522972</v>
      </c>
      <c r="I15" s="978">
        <f t="shared" si="1"/>
        <v>0</v>
      </c>
      <c r="J15" s="978">
        <f t="shared" si="1"/>
        <v>7178.0894652144962</v>
      </c>
      <c r="K15" s="978">
        <f t="shared" si="1"/>
        <v>0</v>
      </c>
      <c r="L15" s="978">
        <f t="shared" ca="1" si="1"/>
        <v>0</v>
      </c>
      <c r="M15" s="978">
        <f t="shared" si="1"/>
        <v>5984.8865360331274</v>
      </c>
      <c r="N15" s="978">
        <f t="shared" ca="1" si="1"/>
        <v>27861.729066064727</v>
      </c>
      <c r="O15" s="978">
        <f t="shared" si="1"/>
        <v>320.48333333333335</v>
      </c>
      <c r="P15" s="978">
        <f t="shared" si="1"/>
        <v>514.79999999999995</v>
      </c>
      <c r="Q15" s="978">
        <f t="shared" ca="1" si="1"/>
        <v>713571.78548603388</v>
      </c>
    </row>
    <row r="17" spans="1:17">
      <c r="A17" s="487" t="s">
        <v>559</v>
      </c>
      <c r="B17" s="786">
        <f ca="1">huishoudens!B10</f>
        <v>0.1734333141864218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8339.2507449163822</v>
      </c>
      <c r="C22" s="477">
        <f t="shared" ref="C22:C32" ca="1" si="3">C4*$C$17</f>
        <v>0</v>
      </c>
      <c r="D22" s="477">
        <f t="shared" ref="D22:D32" si="4">D4*$D$17</f>
        <v>29584.003506002002</v>
      </c>
      <c r="E22" s="477">
        <f t="shared" ref="E22:E32" si="5">E4*$E$17</f>
        <v>905.78491518964199</v>
      </c>
      <c r="F22" s="477">
        <f t="shared" ref="F22:F32" si="6">F4*$F$17</f>
        <v>0</v>
      </c>
      <c r="G22" s="477">
        <f t="shared" ref="G22:G32" si="7">G4*$G$17</f>
        <v>0</v>
      </c>
      <c r="H22" s="477">
        <f t="shared" ref="H22:H32" si="8">H4*$H$17</f>
        <v>0</v>
      </c>
      <c r="I22" s="477">
        <f t="shared" ref="I22:I32" si="9">I4*$I$17</f>
        <v>0</v>
      </c>
      <c r="J22" s="477">
        <f t="shared" ref="J22:J32" si="10">J4*$J$17</f>
        <v>2407.4553234085761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41236.494489516605</v>
      </c>
    </row>
    <row r="23" spans="1:17">
      <c r="A23" s="476" t="s">
        <v>156</v>
      </c>
      <c r="B23" s="477">
        <f t="shared" ca="1" si="2"/>
        <v>10989.037951233251</v>
      </c>
      <c r="C23" s="477">
        <f t="shared" ca="1" si="3"/>
        <v>0</v>
      </c>
      <c r="D23" s="477">
        <f t="shared" ca="1" si="4"/>
        <v>10544.204053192763</v>
      </c>
      <c r="E23" s="477">
        <f t="shared" si="5"/>
        <v>197.15888192535988</v>
      </c>
      <c r="F23" s="477">
        <f t="shared" ca="1" si="6"/>
        <v>3160.1693364513544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24890.570222802729</v>
      </c>
    </row>
    <row r="24" spans="1:17">
      <c r="A24" s="476" t="s">
        <v>194</v>
      </c>
      <c r="B24" s="477">
        <f t="shared" ca="1" si="2"/>
        <v>423.39182362451783</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423.39182362451783</v>
      </c>
    </row>
    <row r="25" spans="1:17">
      <c r="A25" s="476" t="s">
        <v>112</v>
      </c>
      <c r="B25" s="477">
        <f t="shared" ca="1" si="2"/>
        <v>205.00956986456453</v>
      </c>
      <c r="C25" s="477">
        <f t="shared" ca="1" si="3"/>
        <v>0</v>
      </c>
      <c r="D25" s="477">
        <f t="shared" si="4"/>
        <v>61.681356387841518</v>
      </c>
      <c r="E25" s="477">
        <f t="shared" si="5"/>
        <v>6.9191723556165092</v>
      </c>
      <c r="F25" s="477">
        <f t="shared" si="6"/>
        <v>1153.6202792804781</v>
      </c>
      <c r="G25" s="477">
        <f t="shared" si="7"/>
        <v>0</v>
      </c>
      <c r="H25" s="477">
        <f t="shared" si="8"/>
        <v>0</v>
      </c>
      <c r="I25" s="477">
        <f t="shared" si="9"/>
        <v>0</v>
      </c>
      <c r="J25" s="477">
        <f t="shared" si="10"/>
        <v>60.241587091269501</v>
      </c>
      <c r="K25" s="477">
        <f t="shared" si="11"/>
        <v>0</v>
      </c>
      <c r="L25" s="477">
        <f t="shared" si="12"/>
        <v>0</v>
      </c>
      <c r="M25" s="477">
        <f t="shared" si="13"/>
        <v>0</v>
      </c>
      <c r="N25" s="477">
        <f t="shared" si="14"/>
        <v>0</v>
      </c>
      <c r="O25" s="477">
        <f t="shared" si="15"/>
        <v>0</v>
      </c>
      <c r="P25" s="478">
        <f t="shared" si="16"/>
        <v>0</v>
      </c>
      <c r="Q25" s="476">
        <f t="shared" ca="1" si="17"/>
        <v>1487.4719649797703</v>
      </c>
    </row>
    <row r="26" spans="1:17">
      <c r="A26" s="476" t="s">
        <v>638</v>
      </c>
      <c r="B26" s="477">
        <f t="shared" ca="1" si="2"/>
        <v>7297.3252327184146</v>
      </c>
      <c r="C26" s="477">
        <f t="shared" ca="1" si="3"/>
        <v>0</v>
      </c>
      <c r="D26" s="477">
        <f t="shared" si="4"/>
        <v>11492.198902647853</v>
      </c>
      <c r="E26" s="477">
        <f t="shared" si="5"/>
        <v>886.9184828196901</v>
      </c>
      <c r="F26" s="477">
        <f t="shared" si="6"/>
        <v>4032.1327815036907</v>
      </c>
      <c r="G26" s="477">
        <f t="shared" si="7"/>
        <v>0</v>
      </c>
      <c r="H26" s="477">
        <f t="shared" si="8"/>
        <v>0</v>
      </c>
      <c r="I26" s="477">
        <f t="shared" si="9"/>
        <v>0</v>
      </c>
      <c r="J26" s="477">
        <f t="shared" si="10"/>
        <v>73.346760186085859</v>
      </c>
      <c r="K26" s="477">
        <f t="shared" si="11"/>
        <v>0</v>
      </c>
      <c r="L26" s="477">
        <f t="shared" si="12"/>
        <v>0</v>
      </c>
      <c r="M26" s="477">
        <f t="shared" si="13"/>
        <v>0</v>
      </c>
      <c r="N26" s="477">
        <f t="shared" si="14"/>
        <v>0</v>
      </c>
      <c r="O26" s="477">
        <f t="shared" si="15"/>
        <v>0</v>
      </c>
      <c r="P26" s="478">
        <f t="shared" si="16"/>
        <v>0</v>
      </c>
      <c r="Q26" s="476">
        <f t="shared" ca="1" si="17"/>
        <v>23781.922159875732</v>
      </c>
    </row>
    <row r="27" spans="1:17" s="482" customFormat="1">
      <c r="A27" s="480" t="s">
        <v>564</v>
      </c>
      <c r="B27" s="780">
        <f t="shared" ca="1" si="2"/>
        <v>7.8994286384753014</v>
      </c>
      <c r="C27" s="481">
        <f t="shared" ca="1" si="3"/>
        <v>0</v>
      </c>
      <c r="D27" s="481">
        <f t="shared" si="4"/>
        <v>20.650996818442223</v>
      </c>
      <c r="E27" s="481">
        <f t="shared" si="5"/>
        <v>98.359865282912324</v>
      </c>
      <c r="F27" s="481">
        <f t="shared" si="6"/>
        <v>0</v>
      </c>
      <c r="G27" s="481">
        <f t="shared" si="7"/>
        <v>43040.126628409693</v>
      </c>
      <c r="H27" s="481">
        <f t="shared" si="8"/>
        <v>6960.2563454022202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50127.293264551743</v>
      </c>
    </row>
    <row r="28" spans="1:17">
      <c r="A28" s="476" t="s">
        <v>554</v>
      </c>
      <c r="B28" s="477">
        <f t="shared" ca="1" si="2"/>
        <v>0</v>
      </c>
      <c r="C28" s="477">
        <f t="shared" ca="1" si="3"/>
        <v>0</v>
      </c>
      <c r="D28" s="477">
        <f t="shared" si="4"/>
        <v>0</v>
      </c>
      <c r="E28" s="477">
        <f t="shared" si="5"/>
        <v>0</v>
      </c>
      <c r="F28" s="477">
        <f t="shared" si="6"/>
        <v>0</v>
      </c>
      <c r="G28" s="477">
        <f t="shared" si="7"/>
        <v>593.25769520298991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593.25769520298991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259.38811516875103</v>
      </c>
      <c r="C32" s="477">
        <f t="shared" ca="1" si="3"/>
        <v>0</v>
      </c>
      <c r="D32" s="477">
        <f t="shared" si="4"/>
        <v>1025.4646349778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1284.852750146551</v>
      </c>
    </row>
    <row r="33" spans="1:17" s="486" customFormat="1">
      <c r="A33" s="1038" t="s">
        <v>558</v>
      </c>
      <c r="B33" s="978">
        <f ca="1">SUM(B22:B32)</f>
        <v>27521.302866164362</v>
      </c>
      <c r="C33" s="978">
        <f t="shared" ref="C33:Q33" ca="1" si="18">SUM(C22:C32)</f>
        <v>0</v>
      </c>
      <c r="D33" s="978">
        <f t="shared" ca="1" si="18"/>
        <v>52728.203450026696</v>
      </c>
      <c r="E33" s="978">
        <f t="shared" si="18"/>
        <v>2095.1413175732205</v>
      </c>
      <c r="F33" s="978">
        <f t="shared" ca="1" si="18"/>
        <v>8345.922397235523</v>
      </c>
      <c r="G33" s="978">
        <f t="shared" si="18"/>
        <v>43633.384323612685</v>
      </c>
      <c r="H33" s="978">
        <f t="shared" si="18"/>
        <v>6960.2563454022202</v>
      </c>
      <c r="I33" s="978">
        <f t="shared" si="18"/>
        <v>0</v>
      </c>
      <c r="J33" s="978">
        <f t="shared" si="18"/>
        <v>2541.0436706859314</v>
      </c>
      <c r="K33" s="978">
        <f t="shared" si="18"/>
        <v>0</v>
      </c>
      <c r="L33" s="978">
        <f t="shared" ca="1" si="18"/>
        <v>0</v>
      </c>
      <c r="M33" s="978">
        <f t="shared" si="18"/>
        <v>0</v>
      </c>
      <c r="N33" s="978">
        <f t="shared" ca="1" si="18"/>
        <v>0</v>
      </c>
      <c r="O33" s="978">
        <f t="shared" si="18"/>
        <v>0</v>
      </c>
      <c r="P33" s="978">
        <f t="shared" si="18"/>
        <v>0</v>
      </c>
      <c r="Q33" s="978">
        <f t="shared" ca="1" si="18"/>
        <v>143825.25437070063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8113.7159571026823</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11946.717513803216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14094</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16581.176470588238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34154.433470905897</v>
      </c>
      <c r="C10" s="1059">
        <f>SUM(C4:C9)</f>
        <v>0</v>
      </c>
      <c r="D10" s="1059">
        <f t="shared" ref="D10:H10" si="0">SUM(D8:D9)</f>
        <v>0</v>
      </c>
      <c r="E10" s="1059">
        <f t="shared" si="0"/>
        <v>0</v>
      </c>
      <c r="F10" s="1059">
        <f t="shared" si="0"/>
        <v>0</v>
      </c>
      <c r="G10" s="1059">
        <f t="shared" si="0"/>
        <v>0</v>
      </c>
      <c r="H10" s="1059">
        <f t="shared" si="0"/>
        <v>0</v>
      </c>
      <c r="I10" s="1059">
        <f>SUM(I8:I9)</f>
        <v>0</v>
      </c>
      <c r="J10" s="1059">
        <f>SUM(J8:J9)</f>
        <v>16581.176470588238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0.1734333141864218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20134.285714285714</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23687.394957983193</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20134.285714285714</v>
      </c>
      <c r="C20" s="1059">
        <f>SUM(C17:C19)</f>
        <v>0</v>
      </c>
      <c r="D20" s="1059">
        <f t="shared" ref="D20:H20" si="2">SUM(D17:D19)</f>
        <v>0</v>
      </c>
      <c r="E20" s="1059">
        <f t="shared" si="2"/>
        <v>0</v>
      </c>
      <c r="F20" s="1059">
        <f t="shared" si="2"/>
        <v>0</v>
      </c>
      <c r="G20" s="1059">
        <f t="shared" si="2"/>
        <v>0</v>
      </c>
      <c r="H20" s="1059">
        <f t="shared" si="2"/>
        <v>0</v>
      </c>
      <c r="I20" s="1059">
        <f>SUM(I17:I19)</f>
        <v>0</v>
      </c>
      <c r="J20" s="1059">
        <f>SUM(J17:J19)</f>
        <v>23687.394957983193</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0.1734333141864218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2019-08-12T08:24:33Z</dcterms:modified>
</cp:coreProperties>
</file>