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K10" s="1"/>
  <c r="I9"/>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L18" i="59"/>
  <c r="L20" s="1"/>
  <c r="L90" i="14"/>
  <c r="O78"/>
  <c r="O9" i="59"/>
  <c r="O10" s="1"/>
  <c r="O19"/>
  <c r="O20" s="1"/>
  <c r="O90" i="14"/>
  <c r="L78"/>
  <c r="L8" i="59"/>
  <c r="L10" s="1"/>
  <c r="E89" i="14"/>
  <c r="E19" i="59" s="1"/>
  <c r="E20" s="1"/>
  <c r="C98" i="18"/>
  <c r="B101" s="1"/>
  <c r="C8" s="1"/>
  <c r="P29" i="48"/>
  <c r="L10" i="18"/>
  <c r="K90" i="14"/>
  <c r="E77"/>
  <c r="E9" i="59" s="1"/>
  <c r="B17" i="18"/>
  <c r="B20" s="1"/>
  <c r="N77" i="14"/>
  <c r="N9" i="59" s="1"/>
  <c r="N10" s="1"/>
  <c r="K20"/>
  <c r="R25" i="14"/>
  <c r="O32" i="48"/>
  <c r="F13" i="15"/>
  <c r="H90" i="14"/>
  <c r="H18" i="59"/>
  <c r="H20" s="1"/>
  <c r="H78" i="14"/>
  <c r="H8" i="59"/>
  <c r="H10" s="1"/>
  <c r="K10"/>
  <c r="P31" i="48"/>
  <c r="E10" i="59"/>
  <c r="P25" i="48"/>
  <c r="G78" i="14"/>
  <c r="B8" i="18"/>
  <c r="B10" s="1"/>
  <c r="O19"/>
  <c r="L13" i="15"/>
  <c r="N13"/>
  <c r="Q77" i="14"/>
  <c r="P9" i="59" s="1"/>
  <c r="O9" i="18"/>
  <c r="O18"/>
  <c r="G88" i="14"/>
  <c r="F89"/>
  <c r="I101" i="18"/>
  <c r="H8" s="1"/>
  <c r="E101"/>
  <c r="E8" s="1"/>
  <c r="I102"/>
  <c r="H17" s="1"/>
  <c r="E102"/>
  <c r="E17" s="1"/>
  <c r="H102"/>
  <c r="D102"/>
  <c r="G102"/>
  <c r="C102"/>
  <c r="F102"/>
  <c r="B102"/>
  <c r="C17" s="1"/>
  <c r="Q88" i="14"/>
  <c r="P18" i="59" s="1"/>
  <c r="B88" i="14"/>
  <c r="B18" i="59" s="1"/>
  <c r="Q14" i="48"/>
  <c r="O24"/>
  <c r="O30"/>
  <c r="P24"/>
  <c r="P30"/>
  <c r="C88" i="14"/>
  <c r="C18" i="59" s="1"/>
  <c r="E78" i="14"/>
  <c r="G90" l="1"/>
  <c r="G18" i="59"/>
  <c r="G20" s="1"/>
  <c r="E90" i="14"/>
  <c r="B77"/>
  <c r="B9" i="59" s="1"/>
  <c r="H101" i="18"/>
  <c r="J8" s="1"/>
  <c r="C77" i="14"/>
  <c r="C9" i="59" s="1"/>
  <c r="D101" i="18"/>
  <c r="C101"/>
  <c r="F101"/>
  <c r="C89" i="14"/>
  <c r="C19" i="59" s="1"/>
  <c r="F19"/>
  <c r="G101" i="18"/>
  <c r="I8" s="1"/>
  <c r="O8" s="1"/>
  <c r="O10" s="1"/>
  <c r="B89" i="14"/>
  <c r="B19" i="59" s="1"/>
  <c r="N78" i="14"/>
  <c r="Q89"/>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I10" i="14" l="1"/>
  <c r="I16" s="1"/>
  <c r="H5" i="48"/>
  <c r="G5"/>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I27"/>
  <c r="I31"/>
  <c r="I25"/>
  <c r="I26"/>
  <c r="I32"/>
  <c r="I29"/>
  <c r="I28"/>
  <c r="I24"/>
  <c r="I22"/>
  <c r="I30"/>
  <c r="H28"/>
  <c r="H32"/>
  <c r="H25"/>
  <c r="H29"/>
  <c r="H26"/>
  <c r="H24"/>
  <c r="H22"/>
  <c r="H30"/>
  <c r="H23"/>
  <c r="G25"/>
  <c r="G26"/>
  <c r="G32"/>
  <c r="G29"/>
  <c r="G30"/>
  <c r="G24"/>
  <c r="G22"/>
  <c r="G23"/>
  <c r="B4"/>
  <c r="C11" i="14"/>
  <c r="N32" i="48"/>
  <c r="N28"/>
  <c r="N27"/>
  <c r="N30"/>
  <c r="N29"/>
  <c r="N24"/>
  <c r="N31"/>
  <c r="B10"/>
  <c r="C19" i="14"/>
  <c r="L10"/>
  <c r="L16" s="1"/>
  <c r="L27" s="1"/>
  <c r="K5" i="48"/>
  <c r="D28"/>
  <c r="D30"/>
  <c r="D32"/>
  <c r="D31"/>
  <c r="D24"/>
  <c r="D29"/>
  <c r="L27"/>
  <c r="L32"/>
  <c r="L28"/>
  <c r="L22"/>
  <c r="L24"/>
  <c r="L31"/>
  <c r="L30"/>
  <c r="L29"/>
  <c r="P5"/>
  <c r="P23" s="1"/>
  <c r="Q10" i="14"/>
  <c r="P4" i="48"/>
  <c r="Q11" i="14"/>
  <c r="P11"/>
  <c r="O4" i="48"/>
  <c r="D4"/>
  <c r="D22" s="1"/>
  <c r="E11" i="14"/>
  <c r="C4" i="48"/>
  <c r="D11" i="14"/>
  <c r="F32" i="48"/>
  <c r="F27"/>
  <c r="F28"/>
  <c r="F31"/>
  <c r="F30"/>
  <c r="F29"/>
  <c r="F24"/>
  <c r="E28"/>
  <c r="E32"/>
  <c r="E30"/>
  <c r="E31"/>
  <c r="E24"/>
  <c r="E29"/>
  <c r="M32"/>
  <c r="M29"/>
  <c r="M26"/>
  <c r="M24"/>
  <c r="M22"/>
  <c r="M25"/>
  <c r="M30"/>
  <c r="M23"/>
  <c r="K28"/>
  <c r="K27"/>
  <c r="K25"/>
  <c r="K32"/>
  <c r="K31"/>
  <c r="K24"/>
  <c r="K30"/>
  <c r="K29"/>
  <c r="K22"/>
  <c r="K26"/>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M12" i="22"/>
  <c r="N18" i="14"/>
  <c r="M13" i="48"/>
  <c r="M31" s="1"/>
  <c r="Q13" i="14"/>
  <c r="Q16" s="1"/>
  <c r="Q27" s="1"/>
  <c r="Q63" s="1"/>
  <c r="P8" i="48"/>
  <c r="P26" s="1"/>
  <c r="O22"/>
  <c r="C22" i="14"/>
  <c r="F20"/>
  <c r="F22" s="1"/>
  <c r="E9" i="48"/>
  <c r="E27" s="1"/>
  <c r="F4"/>
  <c r="F22" s="1"/>
  <c r="G11" i="14"/>
  <c r="P15" i="48"/>
  <c r="P22"/>
  <c r="P33" s="1"/>
  <c r="H18" i="14"/>
  <c r="G13" i="48"/>
  <c r="H13"/>
  <c r="H31" s="1"/>
  <c r="I18" i="14"/>
  <c r="E20"/>
  <c r="E22" s="1"/>
  <c r="D9" i="48"/>
  <c r="D27" s="1"/>
  <c r="O5"/>
  <c r="O23" s="1"/>
  <c r="P10" i="14"/>
  <c r="K24"/>
  <c r="K26" s="1"/>
  <c r="J7" i="48"/>
  <c r="J25" s="1"/>
  <c r="K23"/>
  <c r="K33" s="1"/>
  <c r="K15"/>
  <c r="C20" i="14"/>
  <c r="B9" i="48"/>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G10" i="48"/>
  <c r="H19" i="14"/>
  <c r="R19" s="1"/>
  <c r="I23" i="48"/>
  <c r="I33" s="1"/>
  <c r="I15"/>
  <c r="J4"/>
  <c r="K11" i="14"/>
  <c r="E7" i="48"/>
  <c r="E25" s="1"/>
  <c r="F24" i="14"/>
  <c r="F26" s="1"/>
  <c r="O22" i="16"/>
  <c r="P43" i="14" s="1"/>
  <c r="O8" i="48"/>
  <c r="P13" i="14"/>
  <c r="P16" s="1"/>
  <c r="P27" s="1"/>
  <c r="J63"/>
  <c r="M14" i="22"/>
  <c r="M10" i="48"/>
  <c r="M28" s="1"/>
  <c r="N19" i="14"/>
  <c r="Q13" i="48"/>
  <c r="G31"/>
  <c r="E12" i="13"/>
  <c r="F41" i="14" s="1"/>
  <c r="F11"/>
  <c r="E4" i="48"/>
  <c r="H9"/>
  <c r="I20" i="14"/>
  <c r="R18"/>
  <c r="P46"/>
  <c r="P61" s="1"/>
  <c r="I22"/>
  <c r="I27" s="1"/>
  <c r="N52"/>
  <c r="N61" s="1"/>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H63" s="1"/>
  <c r="G28" i="48"/>
  <c r="Q10"/>
  <c r="E22"/>
  <c r="Q4"/>
  <c r="H20" i="14"/>
  <c r="G9" i="48"/>
  <c r="N20" i="14"/>
  <c r="N22" s="1"/>
  <c r="N27" s="1"/>
  <c r="N63" s="1"/>
  <c r="M9" i="48"/>
  <c r="E5"/>
  <c r="E23" s="1"/>
  <c r="F10" i="14"/>
  <c r="R24"/>
  <c r="R26" s="1"/>
  <c r="O26" i="48"/>
  <c r="O33" s="1"/>
  <c r="O15"/>
  <c r="H27"/>
  <c r="H33" s="1"/>
  <c r="H15"/>
  <c r="J5"/>
  <c r="J23" s="1"/>
  <c r="K10" i="14"/>
  <c r="J22" i="48"/>
  <c r="P63" i="14"/>
  <c r="R11"/>
  <c r="H22"/>
  <c r="H27" s="1"/>
  <c r="Q7" i="48"/>
  <c r="E20" i="15"/>
  <c r="F40" i="14" s="1"/>
  <c r="J18" i="16"/>
  <c r="E18"/>
  <c r="F18"/>
  <c r="F22" s="1"/>
  <c r="G43" i="14" s="1"/>
  <c r="N18" i="16"/>
  <c r="G18" i="22"/>
  <c r="H50" i="14" s="1"/>
  <c r="E22" i="16"/>
  <c r="F43" i="14" s="1"/>
  <c r="H18" i="22"/>
  <c r="I50" i="14" s="1"/>
  <c r="I52" s="1"/>
  <c r="I61" s="1"/>
  <c r="I63" s="1"/>
  <c r="E33" i="48" l="1"/>
  <c r="M27"/>
  <c r="M33" s="1"/>
  <c r="M15"/>
  <c r="J22" i="16"/>
  <c r="K43" i="14" s="1"/>
  <c r="K46" s="1"/>
  <c r="K61" s="1"/>
  <c r="J8" i="48"/>
  <c r="J26" s="1"/>
  <c r="K13" i="14"/>
  <c r="K16" s="1"/>
  <c r="K27" s="1"/>
  <c r="F13"/>
  <c r="E8" i="48"/>
  <c r="E26" s="1"/>
  <c r="G27"/>
  <c r="G33" s="1"/>
  <c r="G15"/>
  <c r="Q9"/>
  <c r="F16" i="14"/>
  <c r="F27" s="1"/>
  <c r="E15" i="48"/>
  <c r="F46" i="14"/>
  <c r="F61" s="1"/>
  <c r="R20"/>
  <c r="R22" s="1"/>
  <c r="J33" i="48"/>
  <c r="N8"/>
  <c r="N26" s="1"/>
  <c r="O13" i="14"/>
  <c r="N22" i="16"/>
  <c r="O43" i="14" s="1"/>
  <c r="G13"/>
  <c r="F8" i="48"/>
  <c r="K63" i="14" l="1"/>
  <c r="R13"/>
  <c r="F63"/>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<sst xmlns="http://schemas.openxmlformats.org/spreadsheetml/2006/main" count="2401" uniqueCount="897">
  <si>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</si>
  <si>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</si>
  <si>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</si>
  <si>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</si>
  <si>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</si>
  <si>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</si>
  <si>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</si>
  <si>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</si>
  <si>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</si>
  <si>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</si>
  <si>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</si>
  <si>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</si>
  <si>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</si>
  <si>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</si>
  <si>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</si>
  <si>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</si>
  <si>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</si>
  <si>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</si>
  <si>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</si>
  <si>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</si>
  <si>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</si>
  <si>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</si>
  <si>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</si>
  <si>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</si>
  <si>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</si>
  <si>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</si>
  <si>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</si>
  <si>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</si>
  <si>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</si>
  <si>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</si>
  <si>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</si>
  <si>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</si>
  <si>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</si>
  <si>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</si>
  <si>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</si>
  <si>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</si>
  <si>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</si>
  <si>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</si>
  <si>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</si>
  <si>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</si>
  <si>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</si>
  <si>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</si>
  <si>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</si>
  <si>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</si>
  <si>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</si>
  <si>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</si>
  <si>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</si>
  <si>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</si>
  <si>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</si>
  <si>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</si>
  <si>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</si>
  <si>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</si>
  <si>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</si>
  <si>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</si>
  <si>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</si>
  <si>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</si>
  <si>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</si>
  <si>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</si>
  <si>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</si>
  <si>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</si>
  <si>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</si>
  <si>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</si>
  <si>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</si>
  <si>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</si>
  <si>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</si>
  <si>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</si>
  <si>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</si>
  <si>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</si>
  <si>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</si>
  <si>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</si>
  <si>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</si>
  <si>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</si>
  <si>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</si>
  <si>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</si>
  <si>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</si>
  <si>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</si>
  <si>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</si>
  <si>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</si>
  <si>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</si>
  <si>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</si>
  <si>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</si>
  <si>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</si>
  <si>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</si>
  <si>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</si>
  <si>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</si>
  <si>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</si>
  <si>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</si>
  <si>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</si>
  <si>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</si>
  <si>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</si>
  <si>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</si>
  <si>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</si>
  <si>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</si>
  <si>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</si>
  <si>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</si>
  <si>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</si>
  <si>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</si>
  <si>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</si>
  <si>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</si>
  <si>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</si>
  <si>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</si>
  <si>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</si>
  <si>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</si>
  <si>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</si>
  <si>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</si>
  <si>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</si>
  <si>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</si>
  <si>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</si>
  <si>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</si>
  <si>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</si>
  <si>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</si>
  <si>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</si>
  <si>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</si>
  <si>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</si>
  <si>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</si>
  <si>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</si>
  <si>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</si>
  <si>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</si>
  <si>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</si>
  <si>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</si>
  <si>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</si>
  <si>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</si>
  <si>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</si>
  <si>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</si>
  <si>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</si>
  <si>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</si>
  <si>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</si>
  <si>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</si>
  <si>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</si>
  <si>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</si>
  <si>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</si>
  <si>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</si>
  <si>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</si>
  <si>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</si>
  <si>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</si>
  <si>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</si>
  <si>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</si>
  <si>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</si>
  <si>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</si>
  <si>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</si>
  <si>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</si>
  <si>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</si>
  <si>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</si>
  <si>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</si>
  <si>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</si>
  <si>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</si>
  <si>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</si>
  <si>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</si>
  <si>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</si>
  <si>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</si>
  <si>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</si>
  <si>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</si>
  <si>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</si>
  <si>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</si>
  <si>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</si>
  <si>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</si>
  <si>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</si>
  <si>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</si>
  <si>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</si>
  <si>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</si>
  <si>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</si>
  <si>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</si>
  <si>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</si>
  <si>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</si>
  <si>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</si>
  <si>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</si>
  <si>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</si>
  <si>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</si>
  <si>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</si>
  <si>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</si>
  <si>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</si>
  <si>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</si>
  <si>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</si>
  <si>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</si>
  <si>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</si>
  <si>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</si>
  <si>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</si>
  <si>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</si>
  <si>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</si>
  <si>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</si>
  <si>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</si>
  <si>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</si>
  <si>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</si>
  <si>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</si>
  <si>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</si>
  <si>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</si>
  <si>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</si>
  <si>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</si>
  <si>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</si>
  <si>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</si>
  <si>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</si>
  <si>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</si>
  <si>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</si>
  <si>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</si>
  <si>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</si>
  <si>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</si>
  <si>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</si>
  <si>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</si>
  <si>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</si>
  <si>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</si>
  <si>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</si>
  <si>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</si>
  <si>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</si>
  <si>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</si>
  <si>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</si>
  <si>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</si>
  <si>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</si>
  <si>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</si>
  <si>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</si>
  <si>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</si>
  <si>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</si>
  <si>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</si>
  <si>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</si>
  <si>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</si>
  <si>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</si>
  <si>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</si>
  <si>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</si>
  <si>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</si>
  <si>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</si>
  <si>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</si>
  <si>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</si>
  <si>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</si>
  <si>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</si>
  <si>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</si>
  <si>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</si>
  <si>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</si>
  <si>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</si>
  <si>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</si>
  <si>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</si>
  <si>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</si>
  <si>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</si>
  <si>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</si>
  <si>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</si>
  <si>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</si>
  <si>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</si>
  <si>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</si>
  <si>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</si>
  <si>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</si>
  <si>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</si>
  <si>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</si>
  <si>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</si>
  <si>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</si>
  <si>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</si>
  <si>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</si>
  <si>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</si>
  <si>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</si>
  <si>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</si>
  <si>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</si>
  <si>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</si>
  <si>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</si>
  <si>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</si>
  <si>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</si>
  <si>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</si>
  <si>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</si>
  <si>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</si>
  <si>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</si>
  <si>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</si>
  <si>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</si>
  <si>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</si>
  <si>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</si>
  <si>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</si>
  <si>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</si>
  <si>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</si>
  <si>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</si>
  <si>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</si>
  <si>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</si>
  <si>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</si>
  <si>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</si>
  <si>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</si>
  <si>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</si>
  <si>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</si>
  <si>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</si>
  <si>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</si>
  <si>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</si>
  <si>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</si>
  <si>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</si>
  <si>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</si>
  <si>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</si>
  <si>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</si>
  <si>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</si>
  <si>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</si>
  <si>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</si>
  <si>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</si>
  <si>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</si>
  <si>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</si>
  <si>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</si>
  <si>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</si>
  <si>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</si>
  <si>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</si>
  <si>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</si>
  <si>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</si>
  <si>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</si>
  <si>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</si>
  <si>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</si>
  <si>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</si>
  <si>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</si>
  <si>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</si>
  <si>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</si>
  <si>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</si>
  <si>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</si>
  <si>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</si>
  <si>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</si>
  <si>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</si>
  <si>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</si>
  <si>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</si>
  <si>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</si>
  <si>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</si>
  <si>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</si>
  <si>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</si>
  <si>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</si>
  <si>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</si>
  <si>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</si>
  <si>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</si>
  <si>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</si>
  <si>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</si>
  <si>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</si>
  <si>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</si>
  <si>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</si>
  <si>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</si>
  <si>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</si>
  <si>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</si>
  <si>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</si>
  <si>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</si>
  <si>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</si>
  <si>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</si>
  <si>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</si>
  <si>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</si>
  <si>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</si>
  <si>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</si>
  <si>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</si>
  <si>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</si>
  <si>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</si>
  <si>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</si>
  <si>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</si>
  <si>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</si>
  <si>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</si>
  <si>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</si>
  <si>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</si>
  <si>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</si>
  <si>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</si>
  <si>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</si>
  <si>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</si>
  <si>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</si>
  <si>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</si>
  <si>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</si>
  <si>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</si>
  <si>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</si>
  <si>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</si>
  <si>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</si>
  <si>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</si>
  <si>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</si>
  <si>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</si>
  <si>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</si>
  <si>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</si>
  <si>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</si>
  <si>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</si>
  <si>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</si>
  <si>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</si>
  <si>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</si>
  <si>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</si>
  <si>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</si>
  <si>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</si>
  <si>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</si>
  <si>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</si>
  <si>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</si>
  <si>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</si>
  <si>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</si>
  <si>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</si>
  <si>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</si>
  <si>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</si>
  <si>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</si>
  <si>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</si>
  <si>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</si>
  <si>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</si>
  <si>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</si>
  <si>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</si>
  <si>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</si>
  <si>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</si>
  <si>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</si>
  <si>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</si>
  <si>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</si>
  <si>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</si>
  <si>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</si>
  <si>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</si>
  <si>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</si>
  <si>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</si>
  <si>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</si>
  <si>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</si>
  <si>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</si>
  <si>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</si>
  <si>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</si>
  <si>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</si>
  <si>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</si>
  <si>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</si>
  <si>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</si>
  <si>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</si>
  <si>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</si>
  <si>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</si>
  <si>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</si>
  <si>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</si>
  <si>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</si>
  <si>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</si>
  <si>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</si>
  <si>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</si>
  <si>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</si>
  <si>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</si>
  <si>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</si>
  <si>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</si>
  <si>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</si>
  <si>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</si>
  <si>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</si>
  <si>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</si>
  <si>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</si>
  <si>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</si>
  <si>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</si>
  <si>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</si>
  <si>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</si>
  <si>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</si>
  <si>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</si>
  <si>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</si>
  <si>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</si>
  <si>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</si>
  <si>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</si>
  <si>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</si>
  <si>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</si>
  <si>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</si>
  <si>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</si>
  <si>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</si>
  <si>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</si>
  <si>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</si>
  <si>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</si>
  <si>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</si>
  <si>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</si>
  <si>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</si>
  <si>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</si>
  <si>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</si>
  <si>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</si>
  <si>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</si>
  <si>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</si>
  <si>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</si>
  <si>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</si>
  <si>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</si>
  <si>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</si>
  <si>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</si>
  <si>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</si>
  <si>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</si>
  <si>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</si>
  <si>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</si>
  <si>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</si>
  <si>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</si>
  <si>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</si>
  <si>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</si>
  <si>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</si>
  <si>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</si>
  <si>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</si>
  <si>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</si>
  <si>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</si>
  <si>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</si>
  <si>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</si>
  <si>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</si>
  <si>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</si>
  <si>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</si>
  <si>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</si>
  <si>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</si>
  <si>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</si>
  <si>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</si>
  <si>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</si>
  <si>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</si>
  <si>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</si>
  <si>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</si>
  <si>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</si>
  <si>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</si>
  <si>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</si>
  <si>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</si>
  <si>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</si>
  <si>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</si>
  <si>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</si>
  <si>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</si>
  <si>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</si>
  <si>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</si>
  <si>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</si>
  <si>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</si>
  <si>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</si>
  <si>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</si>
  <si>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</si>
  <si>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</si>
  <si>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</si>
  <si>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</si>
  <si>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</si>
  <si>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</si>
  <si>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</si>
  <si>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</si>
  <si>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</si>
  <si>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</si>
  <si>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</si>
  <si>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</si>
  <si>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</si>
  <si>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</si>
  <si>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</si>
  <si>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</si>
  <si>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</si>
  <si>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</si>
  <si>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</si>
  <si>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</si>
  <si>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</si>
  <si>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</si>
  <si>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</si>
  <si>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</si>
  <si>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</si>
  <si>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</si>
  <si>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</si>
  <si>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</si>
  <si>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</si>
  <si>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</si>
  <si>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</si>
  <si>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</si>
  <si>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</si>
  <si>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</si>
  <si>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</si>
  <si>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</si>
  <si>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</si>
  <si>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</si>
  <si>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</si>
  <si>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</si>
  <si>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</si>
  <si>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</si>
  <si>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</si>
  <si>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</si>
  <si>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</si>
  <si>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</si>
  <si>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</si>
  <si>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</si>
  <si>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</si>
  <si>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</si>
  <si>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</si>
  <si>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</si>
  <si>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</si>
  <si>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</si>
  <si>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</si>
  <si>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</si>
  <si>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</si>
  <si>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</si>
  <si>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</si>
  <si>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</si>
  <si>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</si>
  <si>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</si>
  <si>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</si>
  <si>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</si>
  <si>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</si>
  <si>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</si>
  <si>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</si>
  <si>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</si>
  <si>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</si>
  <si>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</si>
  <si>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</si>
  <si>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</si>
  <si>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</si>
  <si>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</si>
  <si>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</si>
  <si>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</si>
  <si>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</si>
  <si>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</si>
  <si>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</si>
  <si>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</si>
  <si>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</si>
  <si>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</si>
  <si>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</si>
  <si>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</si>
  <si>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</si>
  <si>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</si>
  <si>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</si>
  <si>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</si>
  <si>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</si>
  <si>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</si>
  <si>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</si>
  <si>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</si>
  <si>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</si>
  <si>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</si>
  <si>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</si>
  <si>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</si>
  <si>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</si>
  <si>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</si>
  <si>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</si>
  <si>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</si>
  <si>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</si>
  <si>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</si>
  <si>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</si>
  <si>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</si>
  <si>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</si>
  <si>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</si>
  <si>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</si>
  <si>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</si>
  <si>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</si>
  <si>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</si>
  <si>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</si>
  <si>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</si>
  <si>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</si>
  <si>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</si>
  <si>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</si>
  <si>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</si>
  <si>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</si>
  <si>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</si>
  <si>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</si>
  <si>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</si>
  <si>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</si>
  <si>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</si>
  <si>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</si>
  <si>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</si>
  <si>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</si>
  <si>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</si>
  <si>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</si>
  <si>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</si>
  <si>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</si>
  <si>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</si>
  <si>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</si>
  <si>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</si>
  <si>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</si>
  <si>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</si>
  <si>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</si>
  <si>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</si>
  <si>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</si>
  <si>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</si>
  <si>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</si>
  <si>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</si>
  <si>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</si>
  <si>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</si>
  <si>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</si>
  <si>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</si>
  <si>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</si>
  <si>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</si>
  <si>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</si>
  <si>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</si>
  <si>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</si>
  <si>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</si>
  <si>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</si>
  <si>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</si>
  <si>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</si>
  <si>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</si>
  <si>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</si>
  <si>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</si>
  <si>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</si>
  <si>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</si>
  <si>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</si>
  <si>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</si>
  <si>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</si>
  <si>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</si>
  <si>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</si>
  <si>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</si>
  <si>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</si>
  <si>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</si>
  <si>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</si>
  <si>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</si>
  <si>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</si>
  <si>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</si>
  <si>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</si>
  <si>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</si>
  <si>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</si>
  <si>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</si>
  <si>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</si>
  <si>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</si>
  <si>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</si>
  <si>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</si>
  <si>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</si>
  <si>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</si>
  <si>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</si>
  <si>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</si>
  <si>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</si>
  <si>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</si>
  <si>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</si>
  <si>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</si>
  <si>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</si>
  <si>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</si>
  <si>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</si>
  <si>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</si>
  <si>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</si>
  <si>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</si>
  <si>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</si>
  <si>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</si>
  <si>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</si>
  <si>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</si>
  <si>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</si>
  <si>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</si>
  <si>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</si>
  <si>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</si>
  <si>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</si>
  <si>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</si>
  <si>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</si>
  <si>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</si>
  <si>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</si>
  <si>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</si>
  <si>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</si>
  <si>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</si>
  <si>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</si>
  <si>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</si>
  <si>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</si>
  <si>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</si>
  <si>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</si>
  <si>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</si>
  <si>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</si>
  <si>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</si>
  <si>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</si>
  <si>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</si>
  <si>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</si>
  <si>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</si>
  <si>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</si>
  <si>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</si>
  <si>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</si>
  <si>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</si>
  <si>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</si>
  <si>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</si>
  <si>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</si>
  <si>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</si>
  <si>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</si>
  <si>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</si>
  <si>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</si>
  <si>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</si>
  <si>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</si>
  <si>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</si>
  <si>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</si>
  <si>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</si>
  <si>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</si>
  <si>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</si>
  <si>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</si>
  <si>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</si>
  <si>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</si>
  <si>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</si>
  <si>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</si>
  <si>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</si>
  <si>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</si>
  <si>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</si>
  <si>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</si>
  <si>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</si>
  <si>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</si>
  <si>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</si>
  <si>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</si>
  <si>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</si>
  <si>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</si>
  <si>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</si>
  <si>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</si>
  <si>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</si>
  <si>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</si>
  <si>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</si>
  <si>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</si>
  <si>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</si>
  <si>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</si>
  <si>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</si>
  <si>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</si>
  <si>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</si>
  <si>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</si>
  <si>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</si>
  <si>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</si>
  <si>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</si>
  <si>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</si>
  <si>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</si>
  <si>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</si>
  <si>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</si>
  <si>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</si>
  <si>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</si>
  <si>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</si>
  <si>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</si>
  <si>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</si>
  <si>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</si>
  <si>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</si>
  <si>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</si>
  <si>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</si>
  <si>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</si>
  <si>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</si>
  <si>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</si>
  <si>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</si>
  <si>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</si>
  <si>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</si>
  <si>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</si>
  <si>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</si>
  <si>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</si>
  <si>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</si>
  <si>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</si>
  <si>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</si>
  <si>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</si>
  <si>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</si>
  <si>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</si>
  <si>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</si>
  <si>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</si>
  <si>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</si>
  <si>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</si>
  <si>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</si>
  <si>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</si>
  <si>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</si>
  <si>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</si>
  <si>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</si>
  <si>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</si>
  <si>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</si>
  <si>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</si>
  <si>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</si>
  <si>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</si>
  <si>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</si>
  <si>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</si>
  <si>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</si>
  <si>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</si>
  <si>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</si>
  <si>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</si>
  <si>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</si>
  <si>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</si>
  <si>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</si>
  <si>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</si>
  <si>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</si>
  <si>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</si>
  <si>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</si>
  <si>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</si>
  <si>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</si>
  <si>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</si>
  <si>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</si>
  <si>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</si>
  <si>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</si>
  <si>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</si>
  <si>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</si>
  <si>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</si>
  <si>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</si>
  <si>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</si>
  <si>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</si>
  <si>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</si>
  <si>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</si>
  <si>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</si>
  <si>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</si>
  <si>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</si>
  <si>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</si>
  <si>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</si>
  <si>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</si>
  <si>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</si>
  <si>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</si>
  <si>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</si>
  <si>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</si>
  <si>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</si>
  <si>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</si>
  <si>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</si>
  <si>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</si>
  <si>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</si>
  <si>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</si>
  <si>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</si>
  <si>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</si>
  <si>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</si>
  <si>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</si>
  <si>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</si>
  <si>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</si>
  <si>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</si>
  <si>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</si>
  <si>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</si>
  <si>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</si>
  <si>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</si>
  <si>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</si>
  <si>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</si>
  <si>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</si>
  <si>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</si>
  <si>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</si>
  <si>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</si>
  <si>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</si>
  <si>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</si>
  <si>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</si>
  <si>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</si>
  <si>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</si>
  <si>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</si>
  <si>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</si>
  <si>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</si>
  <si>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</si>
  <si>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</si>
  <si>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</si>
  <si>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</si>
  <si>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</si>
  <si>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</si>
  <si>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</si>
  <si>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</si>
  <si>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</si>
  <si>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</si>
  <si>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</si>
  <si>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</si>
  <si>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</si>
  <si>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</si>
  <si>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</si>
  <si>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</si>
  <si>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</si>
  <si>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</si>
  <si>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</si>
  <si>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</si>
  <si>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34025</t>
  </si>
  <si>
    <t>LENDELEDE</t>
  </si>
  <si>
    <t>Paarden&amp;pony's 200 - 600 kg</t>
  </si>
  <si>
    <t>Paarden&amp;pony's &lt; 200 kg</t>
  </si>
  <si>
    <t>referentietaak LNE (2017); Jaarverslag De Lijn (2015)</t>
  </si>
  <si>
    <t>op basis van VEA (maart 2018) en Inventaris Hernieuwbare Energiebronnen (juni 2018)</t>
  </si>
  <si>
    <t>VEA (januari 2017)</t>
  </si>
  <si>
    <t>VEA (juni 2018)</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</si>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</sst>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43531.054312715525</c:v>
                </c:pt>
                <c:pt idx="1">
                  <c:v>12395.312767075948</c:v>
                </c:pt>
                <c:pt idx="2">
                  <c:v>391.42200000000003</c:v>
                </c:pt>
                <c:pt idx="3">
                  <c:v>5758.8367669148574</c:v>
                </c:pt>
                <c:pt idx="4">
                  <c:v>48917.188510189197</c:v>
                </c:pt>
                <c:pt idx="5">
                  <c:v>28100.104785361589</c:v>
                </c:pt>
                <c:pt idx="6">
                  <c:v>163.17461287461819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43531.054312715525</c:v>
                </c:pt>
                <c:pt idx="1">
                  <c:v>12395.312767075948</c:v>
                </c:pt>
                <c:pt idx="2">
                  <c:v>391.42200000000003</c:v>
                </c:pt>
                <c:pt idx="3">
                  <c:v>5758.8367669148574</c:v>
                </c:pt>
                <c:pt idx="4">
                  <c:v>48917.188510189197</c:v>
                </c:pt>
                <c:pt idx="5">
                  <c:v>28100.104785361589</c:v>
                </c:pt>
                <c:pt idx="6">
                  <c:v>163.17461287461819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7382.4413175905311</c:v>
                </c:pt>
                <c:pt idx="2">
                  <c:v>2550.9774983538246</c:v>
                </c:pt>
                <c:pt idx="3">
                  <c:v>78.060042429252519</c:v>
                </c:pt>
                <c:pt idx="4">
                  <c:v>1446.9615686828677</c:v>
                </c:pt>
                <c:pt idx="5">
                  <c:v>8891.939007768804</c:v>
                </c:pt>
                <c:pt idx="6">
                  <c:v>7191.4347894853508</c:v>
                </c:pt>
                <c:pt idx="7">
                  <c:v>42.256906921222019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89600"/>
        <c:axId val="184165120"/>
      </c:barChart>
      <c:catAx>
        <c:axId val="184089600"/>
        <c:scaling>
          <c:orientation val="minMax"/>
        </c:scaling>
        <c:axPos val="b"/>
        <c:numFmt formatCode="General" sourceLinked="0"/>
        <c:tickLblPos val="nextTo"/>
        <c:crossAx val="184165120"/>
        <c:crosses val="autoZero"/>
        <c:auto val="1"/>
        <c:lblAlgn val="ctr"/>
        <c:lblOffset val="100"/>
      </c:catAx>
      <c:valAx>
        <c:axId val="184165120"/>
        <c:scaling>
          <c:orientation val="minMax"/>
        </c:scaling>
        <c:axPos val="l"/>
        <c:majorGridlines/>
        <c:numFmt formatCode="#,##0" sourceLinked="1"/>
        <c:tickLblPos val="nextTo"/>
        <c:crossAx val="184089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7382.4413175905311</c:v>
                </c:pt>
                <c:pt idx="2">
                  <c:v>2550.9774983538246</c:v>
                </c:pt>
                <c:pt idx="3">
                  <c:v>78.060042429252519</c:v>
                </c:pt>
                <c:pt idx="4">
                  <c:v>1446.9615686828677</c:v>
                </c:pt>
                <c:pt idx="5">
                  <c:v>8891.939007768804</c:v>
                </c:pt>
                <c:pt idx="6">
                  <c:v>7191.4347894853508</c:v>
                </c:pt>
                <c:pt idx="7">
                  <c:v>42.256906921222019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34025</v>
      </c>
      <c r="B6" s="415"/>
      <c r="C6" s="416"/>
    </row>
    <row r="7" spans="1:7" s="413" customFormat="1" ht="15.75" customHeight="1">
      <c r="A7" s="417" t="str">
        <f>txtMunicipality</f>
        <v>LENDELEDE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0.19942681410153879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0.19942681410153879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2357</v>
      </c>
      <c r="C9" s="342">
        <v>2363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852.14</v>
      </c>
    </row>
    <row r="15" spans="1:6">
      <c r="A15" s="348" t="s">
        <v>184</v>
      </c>
      <c r="B15" s="334">
        <v>12</v>
      </c>
    </row>
    <row r="16" spans="1:6">
      <c r="A16" s="348" t="s">
        <v>6</v>
      </c>
      <c r="B16" s="334">
        <v>622</v>
      </c>
    </row>
    <row r="17" spans="1:6">
      <c r="A17" s="348" t="s">
        <v>7</v>
      </c>
      <c r="B17" s="334">
        <v>125</v>
      </c>
    </row>
    <row r="18" spans="1:6">
      <c r="A18" s="348" t="s">
        <v>8</v>
      </c>
      <c r="B18" s="334">
        <v>318</v>
      </c>
    </row>
    <row r="19" spans="1:6">
      <c r="A19" s="348" t="s">
        <v>9</v>
      </c>
      <c r="B19" s="334">
        <v>259</v>
      </c>
    </row>
    <row r="20" spans="1:6">
      <c r="A20" s="348" t="s">
        <v>10</v>
      </c>
      <c r="B20" s="334">
        <v>331</v>
      </c>
    </row>
    <row r="21" spans="1:6">
      <c r="A21" s="348" t="s">
        <v>11</v>
      </c>
      <c r="B21" s="334">
        <v>1574</v>
      </c>
    </row>
    <row r="22" spans="1:6">
      <c r="A22" s="348" t="s">
        <v>12</v>
      </c>
      <c r="B22" s="334">
        <v>7244</v>
      </c>
    </row>
    <row r="23" spans="1:6">
      <c r="A23" s="348" t="s">
        <v>13</v>
      </c>
      <c r="B23" s="334">
        <v>119</v>
      </c>
    </row>
    <row r="24" spans="1:6">
      <c r="A24" s="348" t="s">
        <v>14</v>
      </c>
      <c r="B24" s="334">
        <v>6</v>
      </c>
    </row>
    <row r="25" spans="1:6">
      <c r="A25" s="348" t="s">
        <v>15</v>
      </c>
      <c r="B25" s="334">
        <v>464</v>
      </c>
    </row>
    <row r="26" spans="1:6">
      <c r="A26" s="348" t="s">
        <v>16</v>
      </c>
      <c r="B26" s="334">
        <v>16</v>
      </c>
    </row>
    <row r="27" spans="1:6">
      <c r="A27" s="348" t="s">
        <v>17</v>
      </c>
      <c r="B27" s="334">
        <v>0</v>
      </c>
    </row>
    <row r="28" spans="1:6" s="356" customFormat="1">
      <c r="A28" s="355" t="s">
        <v>18</v>
      </c>
      <c r="B28" s="355">
        <v>66217</v>
      </c>
    </row>
    <row r="29" spans="1:6">
      <c r="A29" s="355" t="s">
        <v>884</v>
      </c>
      <c r="B29" s="355">
        <v>39</v>
      </c>
      <c r="C29" s="356"/>
      <c r="D29" s="356"/>
      <c r="E29" s="356"/>
      <c r="F29" s="356"/>
    </row>
    <row r="30" spans="1:6">
      <c r="A30" s="355" t="s">
        <v>885</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7209</v>
      </c>
    </row>
    <row r="37" spans="1:6">
      <c r="A37" s="348" t="s">
        <v>25</v>
      </c>
      <c r="B37" s="348" t="s">
        <v>28</v>
      </c>
      <c r="C37" s="334">
        <v>0</v>
      </c>
      <c r="D37" s="334">
        <v>0</v>
      </c>
      <c r="E37" s="334">
        <v>0</v>
      </c>
      <c r="F37" s="334">
        <v>0</v>
      </c>
    </row>
    <row r="38" spans="1:6">
      <c r="A38" s="348" t="s">
        <v>25</v>
      </c>
      <c r="B38" s="348" t="s">
        <v>29</v>
      </c>
      <c r="C38" s="334">
        <v>0</v>
      </c>
      <c r="D38" s="334">
        <v>88352</v>
      </c>
      <c r="E38" s="334">
        <v>0</v>
      </c>
      <c r="F38" s="334">
        <v>16548</v>
      </c>
    </row>
    <row r="39" spans="1:6">
      <c r="A39" s="348" t="s">
        <v>30</v>
      </c>
      <c r="B39" s="348" t="s">
        <v>31</v>
      </c>
      <c r="C39" s="334">
        <v>1667</v>
      </c>
      <c r="D39" s="334">
        <v>23954006</v>
      </c>
      <c r="E39" s="334">
        <v>2259</v>
      </c>
      <c r="F39" s="334">
        <v>8450970</v>
      </c>
    </row>
    <row r="40" spans="1:6">
      <c r="A40" s="348" t="s">
        <v>30</v>
      </c>
      <c r="B40" s="348" t="s">
        <v>29</v>
      </c>
      <c r="C40" s="334">
        <v>0</v>
      </c>
      <c r="D40" s="334">
        <v>0</v>
      </c>
      <c r="E40" s="334">
        <v>0</v>
      </c>
      <c r="F40" s="334">
        <v>0</v>
      </c>
    </row>
    <row r="41" spans="1:6">
      <c r="A41" s="348" t="s">
        <v>32</v>
      </c>
      <c r="B41" s="348" t="s">
        <v>33</v>
      </c>
      <c r="C41" s="334">
        <v>27</v>
      </c>
      <c r="D41" s="334">
        <v>681544</v>
      </c>
      <c r="E41" s="334">
        <v>67</v>
      </c>
      <c r="F41" s="334">
        <v>728840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145060</v>
      </c>
      <c r="E44" s="334">
        <v>17</v>
      </c>
      <c r="F44" s="334">
        <v>412357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5729</v>
      </c>
      <c r="E48" s="334">
        <v>3</v>
      </c>
      <c r="F48" s="334">
        <v>105092</v>
      </c>
    </row>
    <row r="49" spans="1:6">
      <c r="A49" s="348" t="s">
        <v>32</v>
      </c>
      <c r="B49" s="348" t="s">
        <v>40</v>
      </c>
      <c r="C49" s="334">
        <v>6</v>
      </c>
      <c r="D49" s="334">
        <v>165303</v>
      </c>
      <c r="E49" s="334">
        <v>13</v>
      </c>
      <c r="F49" s="334">
        <v>2225828</v>
      </c>
    </row>
    <row r="50" spans="1:6">
      <c r="A50" s="348" t="s">
        <v>32</v>
      </c>
      <c r="B50" s="348" t="s">
        <v>41</v>
      </c>
      <c r="C50" s="334">
        <v>8</v>
      </c>
      <c r="D50" s="334">
        <v>19385425</v>
      </c>
      <c r="E50" s="334">
        <v>13</v>
      </c>
      <c r="F50" s="334">
        <v>15751430</v>
      </c>
    </row>
    <row r="51" spans="1:6">
      <c r="A51" s="348" t="s">
        <v>42</v>
      </c>
      <c r="B51" s="348" t="s">
        <v>43</v>
      </c>
      <c r="C51" s="334">
        <v>11</v>
      </c>
      <c r="D51" s="334">
        <v>492530</v>
      </c>
      <c r="E51" s="334">
        <v>63</v>
      </c>
      <c r="F51" s="334">
        <v>1101480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25</v>
      </c>
      <c r="F54" s="334">
        <v>391422</v>
      </c>
    </row>
    <row r="55" spans="1:6">
      <c r="A55" s="348" t="s">
        <v>46</v>
      </c>
      <c r="B55" s="348" t="s">
        <v>29</v>
      </c>
      <c r="C55" s="334">
        <v>0</v>
      </c>
      <c r="D55" s="334">
        <v>0</v>
      </c>
      <c r="E55" s="334">
        <v>0</v>
      </c>
      <c r="F55" s="334">
        <v>0</v>
      </c>
    </row>
    <row r="56" spans="1:6">
      <c r="A56" s="348" t="s">
        <v>48</v>
      </c>
      <c r="B56" s="348" t="s">
        <v>29</v>
      </c>
      <c r="C56" s="334">
        <v>22</v>
      </c>
      <c r="D56" s="334">
        <v>260421</v>
      </c>
      <c r="E56" s="334">
        <v>46</v>
      </c>
      <c r="F56" s="334">
        <v>165038</v>
      </c>
    </row>
    <row r="57" spans="1:6">
      <c r="A57" s="348" t="s">
        <v>49</v>
      </c>
      <c r="B57" s="348" t="s">
        <v>50</v>
      </c>
      <c r="C57" s="334">
        <v>23</v>
      </c>
      <c r="D57" s="334">
        <v>1675895</v>
      </c>
      <c r="E57" s="334">
        <v>32</v>
      </c>
      <c r="F57" s="334">
        <v>278135</v>
      </c>
    </row>
    <row r="58" spans="1:6">
      <c r="A58" s="348" t="s">
        <v>49</v>
      </c>
      <c r="B58" s="348" t="s">
        <v>51</v>
      </c>
      <c r="C58" s="334">
        <v>8</v>
      </c>
      <c r="D58" s="334">
        <v>1186529</v>
      </c>
      <c r="E58" s="334">
        <v>11</v>
      </c>
      <c r="F58" s="334">
        <v>400445</v>
      </c>
    </row>
    <row r="59" spans="1:6">
      <c r="A59" s="348" t="s">
        <v>49</v>
      </c>
      <c r="B59" s="348" t="s">
        <v>52</v>
      </c>
      <c r="C59" s="334">
        <v>40</v>
      </c>
      <c r="D59" s="334">
        <v>1477347</v>
      </c>
      <c r="E59" s="334">
        <v>83</v>
      </c>
      <c r="F59" s="334">
        <v>2192350</v>
      </c>
    </row>
    <row r="60" spans="1:6">
      <c r="A60" s="348" t="s">
        <v>49</v>
      </c>
      <c r="B60" s="348" t="s">
        <v>53</v>
      </c>
      <c r="C60" s="334">
        <v>12</v>
      </c>
      <c r="D60" s="334">
        <v>255248</v>
      </c>
      <c r="E60" s="334">
        <v>15</v>
      </c>
      <c r="F60" s="334">
        <v>231363</v>
      </c>
    </row>
    <row r="61" spans="1:6">
      <c r="A61" s="348" t="s">
        <v>49</v>
      </c>
      <c r="B61" s="348" t="s">
        <v>54</v>
      </c>
      <c r="C61" s="334">
        <v>50</v>
      </c>
      <c r="D61" s="334">
        <v>1044334</v>
      </c>
      <c r="E61" s="334">
        <v>111</v>
      </c>
      <c r="F61" s="334">
        <v>934853</v>
      </c>
    </row>
    <row r="62" spans="1:6">
      <c r="A62" s="348" t="s">
        <v>49</v>
      </c>
      <c r="B62" s="348" t="s">
        <v>55</v>
      </c>
      <c r="C62" s="334">
        <v>3</v>
      </c>
      <c r="D62" s="334">
        <v>602667</v>
      </c>
      <c r="E62" s="334">
        <v>3</v>
      </c>
      <c r="F62" s="334">
        <v>144192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74630</v>
      </c>
      <c r="E68" s="334">
        <v>7</v>
      </c>
      <c r="F68" s="334">
        <v>48008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17540572</v>
      </c>
      <c r="E73" s="475">
        <v>17281545.64641786</v>
      </c>
    </row>
    <row r="74" spans="1:6">
      <c r="A74" s="348" t="s">
        <v>64</v>
      </c>
      <c r="B74" s="348" t="s">
        <v>667</v>
      </c>
      <c r="C74" s="1294" t="s">
        <v>669</v>
      </c>
      <c r="D74" s="475">
        <v>2066661.7617778608</v>
      </c>
      <c r="E74" s="475">
        <v>2056662.2180149334</v>
      </c>
    </row>
    <row r="75" spans="1:6">
      <c r="A75" s="348" t="s">
        <v>65</v>
      </c>
      <c r="B75" s="348" t="s">
        <v>666</v>
      </c>
      <c r="C75" s="1294" t="s">
        <v>670</v>
      </c>
      <c r="D75" s="475">
        <v>10450828</v>
      </c>
      <c r="E75" s="475">
        <v>10552091.961140817</v>
      </c>
    </row>
    <row r="76" spans="1:6">
      <c r="A76" s="348" t="s">
        <v>65</v>
      </c>
      <c r="B76" s="348" t="s">
        <v>667</v>
      </c>
      <c r="C76" s="1294" t="s">
        <v>671</v>
      </c>
      <c r="D76" s="475">
        <v>760313.76177786093</v>
      </c>
      <c r="E76" s="475">
        <v>764169.48953194253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43826.476444278182</v>
      </c>
      <c r="C83" s="475">
        <v>43826.476444278182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1350.4954990845108</v>
      </c>
    </row>
    <row r="92" spans="1:6">
      <c r="A92" s="341" t="s">
        <v>69</v>
      </c>
      <c r="B92" s="342">
        <v>705.30389651742519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1043</v>
      </c>
    </row>
    <row r="98" spans="1:6">
      <c r="A98" s="348" t="s">
        <v>72</v>
      </c>
      <c r="B98" s="334">
        <v>0</v>
      </c>
    </row>
    <row r="99" spans="1:6">
      <c r="A99" s="348" t="s">
        <v>73</v>
      </c>
      <c r="B99" s="334">
        <v>25</v>
      </c>
    </row>
    <row r="100" spans="1:6">
      <c r="A100" s="348" t="s">
        <v>74</v>
      </c>
      <c r="B100" s="334">
        <v>168</v>
      </c>
    </row>
    <row r="101" spans="1:6">
      <c r="A101" s="348" t="s">
        <v>75</v>
      </c>
      <c r="B101" s="334">
        <v>52</v>
      </c>
    </row>
    <row r="102" spans="1:6">
      <c r="A102" s="348" t="s">
        <v>76</v>
      </c>
      <c r="B102" s="334">
        <v>35</v>
      </c>
    </row>
    <row r="103" spans="1:6">
      <c r="A103" s="348" t="s">
        <v>77</v>
      </c>
      <c r="B103" s="334">
        <v>81</v>
      </c>
    </row>
    <row r="104" spans="1:6">
      <c r="A104" s="348" t="s">
        <v>78</v>
      </c>
      <c r="B104" s="334">
        <v>647</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1</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36364.849870597231</v>
      </c>
      <c r="C3" s="43" t="s">
        <v>170</v>
      </c>
      <c r="D3" s="43"/>
      <c r="E3" s="154"/>
      <c r="F3" s="43"/>
      <c r="G3" s="43"/>
      <c r="H3" s="43"/>
      <c r="I3" s="43"/>
      <c r="J3" s="43"/>
      <c r="K3" s="96"/>
    </row>
    <row r="4" spans="1:11">
      <c r="A4" s="383" t="s">
        <v>171</v>
      </c>
      <c r="B4" s="49">
        <f>IF(ISERROR('SEAP template'!B78+'SEAP template'!C78),0,'SEAP template'!B78+'SEAP template'!C78)</f>
        <v>3549.7993956019359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0.19942681410153879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391.42200000000003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391.42200000000003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0.19942681410153879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78.060042429252519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8450.9699999999993</v>
      </c>
      <c r="C5" s="17">
        <f>IF(ISERROR('Eigen informatie GS &amp; warmtenet'!B57),0,'Eigen informatie GS &amp; warmtenet'!B57)</f>
        <v>0</v>
      </c>
      <c r="D5" s="30">
        <f>(SUM(HH_hh_gas_kWh,HH_rest_gas_kWh)/1000)*0.902</f>
        <v>21606.513412</v>
      </c>
      <c r="E5" s="17">
        <f>B46*B57</f>
        <v>1340.917633393906</v>
      </c>
      <c r="F5" s="17">
        <f>B51*B62</f>
        <v>2078.8199634057737</v>
      </c>
      <c r="G5" s="18"/>
      <c r="H5" s="17"/>
      <c r="I5" s="17"/>
      <c r="J5" s="17">
        <f>B50*B61+C50*C61</f>
        <v>575.75519024915218</v>
      </c>
      <c r="K5" s="17"/>
      <c r="L5" s="17"/>
      <c r="M5" s="17"/>
      <c r="N5" s="17">
        <f>B48*B59+C48*C59</f>
        <v>7921.252614582183</v>
      </c>
      <c r="O5" s="17">
        <f>B69*B70*B71</f>
        <v>110.99666666666667</v>
      </c>
      <c r="P5" s="17">
        <f>B77*B78*B79/1000-B77*B78*B79/1000/B80</f>
        <v>95.333333333333343</v>
      </c>
    </row>
    <row r="6" spans="1:16">
      <c r="A6" s="16" t="s">
        <v>624</v>
      </c>
      <c r="B6" s="788">
        <f>kWh_PV_kleiner_dan_10kW</f>
        <v>1350.4954990845108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9801.4654990845102</v>
      </c>
      <c r="C8" s="21">
        <f>C5</f>
        <v>0</v>
      </c>
      <c r="D8" s="21">
        <f>D5</f>
        <v>21606.513412</v>
      </c>
      <c r="E8" s="21">
        <f>E5</f>
        <v>1340.917633393906</v>
      </c>
      <c r="F8" s="21">
        <f>F5</f>
        <v>2078.8199634057737</v>
      </c>
      <c r="G8" s="21"/>
      <c r="H8" s="21"/>
      <c r="I8" s="21"/>
      <c r="J8" s="21">
        <f>J5</f>
        <v>575.75519024915218</v>
      </c>
      <c r="K8" s="21"/>
      <c r="L8" s="21">
        <f>L5</f>
        <v>0</v>
      </c>
      <c r="M8" s="21">
        <f>M5</f>
        <v>0</v>
      </c>
      <c r="N8" s="21">
        <f>N5</f>
        <v>7921.252614582183</v>
      </c>
      <c r="O8" s="21">
        <f>O5</f>
        <v>110.99666666666667</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0.19942681410153879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1954.6750380085728</v>
      </c>
      <c r="C12" s="23">
        <f ca="1">C10*C8</f>
        <v>0</v>
      </c>
      <c r="D12" s="23">
        <f>D8*D10</f>
        <v>4364.5157092240006</v>
      </c>
      <c r="E12" s="23">
        <f>E10*E8</f>
        <v>304.38830278041667</v>
      </c>
      <c r="F12" s="23">
        <f>F10*F8</f>
        <v>555.04493022934162</v>
      </c>
      <c r="G12" s="23"/>
      <c r="H12" s="23"/>
      <c r="I12" s="23"/>
      <c r="J12" s="23">
        <f>J10*J8</f>
        <v>203.81733734819986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1043</v>
      </c>
      <c r="C18" s="166" t="s">
        <v>111</v>
      </c>
      <c r="D18" s="228"/>
      <c r="E18" s="15"/>
    </row>
    <row r="19" spans="1:7">
      <c r="A19" s="171" t="s">
        <v>72</v>
      </c>
      <c r="B19" s="37">
        <f>aantalw2001_ander</f>
        <v>0</v>
      </c>
      <c r="C19" s="166" t="s">
        <v>111</v>
      </c>
      <c r="D19" s="229"/>
      <c r="E19" s="15"/>
    </row>
    <row r="20" spans="1:7">
      <c r="A20" s="171" t="s">
        <v>73</v>
      </c>
      <c r="B20" s="37">
        <f>aantalw2001_propaan</f>
        <v>25</v>
      </c>
      <c r="C20" s="167">
        <f>IF(ISERROR(B20/SUM($B$20,$B$21,$B$22)*100),0,B20/SUM($B$20,$B$21,$B$22)*100)</f>
        <v>10.204081632653061</v>
      </c>
      <c r="D20" s="229"/>
      <c r="E20" s="15"/>
    </row>
    <row r="21" spans="1:7">
      <c r="A21" s="171" t="s">
        <v>74</v>
      </c>
      <c r="B21" s="37">
        <f>aantalw2001_elektriciteit</f>
        <v>168</v>
      </c>
      <c r="C21" s="167">
        <f>IF(ISERROR(B21/SUM($B$20,$B$21,$B$22)*100),0,B21/SUM($B$20,$B$21,$B$22)*100)</f>
        <v>68.571428571428569</v>
      </c>
      <c r="D21" s="229"/>
      <c r="E21" s="15"/>
    </row>
    <row r="22" spans="1:7">
      <c r="A22" s="171" t="s">
        <v>75</v>
      </c>
      <c r="B22" s="37">
        <f>aantalw2001_hout</f>
        <v>52</v>
      </c>
      <c r="C22" s="167">
        <f>IF(ISERROR(B22/SUM($B$20,$B$21,$B$22)*100),0,B22/SUM($B$20,$B$21,$B$22)*100)</f>
        <v>21.224489795918366</v>
      </c>
      <c r="D22" s="229"/>
      <c r="E22" s="15"/>
    </row>
    <row r="23" spans="1:7">
      <c r="A23" s="171" t="s">
        <v>76</v>
      </c>
      <c r="B23" s="37">
        <f>aantalw2001_niet_gespec</f>
        <v>35</v>
      </c>
      <c r="C23" s="166" t="s">
        <v>111</v>
      </c>
      <c r="D23" s="228"/>
      <c r="E23" s="15"/>
    </row>
    <row r="24" spans="1:7">
      <c r="A24" s="171" t="s">
        <v>77</v>
      </c>
      <c r="B24" s="37">
        <f>aantalw2001_steenkool</f>
        <v>81</v>
      </c>
      <c r="C24" s="166" t="s">
        <v>111</v>
      </c>
      <c r="D24" s="229"/>
      <c r="E24" s="15"/>
    </row>
    <row r="25" spans="1:7">
      <c r="A25" s="171" t="s">
        <v>78</v>
      </c>
      <c r="B25" s="37">
        <f>aantalw2001_stookolie</f>
        <v>647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2357</v>
      </c>
      <c r="C28" s="36"/>
      <c r="D28" s="228"/>
    </row>
    <row r="29" spans="1:7" s="15" customFormat="1">
      <c r="A29" s="230" t="s">
        <v>699</v>
      </c>
      <c r="B29" s="37">
        <f>SUM(HH_hh_gas_aantal,HH_rest_gas_aantal)</f>
        <v>1667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1667</v>
      </c>
      <c r="C32" s="167">
        <f>IF(ISERROR(B32/SUM($B$32,$B$34,$B$35,$B$36,$B$38,$B$39)*100),0,B32/SUM($B$32,$B$34,$B$35,$B$36,$B$38,$B$39)*100)</f>
        <v>70.875850340136054</v>
      </c>
      <c r="D32" s="233"/>
      <c r="G32" s="15"/>
    </row>
    <row r="33" spans="1:7">
      <c r="A33" s="171" t="s">
        <v>72</v>
      </c>
      <c r="B33" s="34" t="s">
        <v>111</v>
      </c>
      <c r="C33" s="167"/>
      <c r="D33" s="233"/>
      <c r="G33" s="15"/>
    </row>
    <row r="34" spans="1:7">
      <c r="A34" s="171" t="s">
        <v>73</v>
      </c>
      <c r="B34" s="33">
        <f>IF((($B$28-$B$32-$B$39-$B$77-$B$38)*C20/100)&lt;0,0,($B$28-$B$32-$B$39-$B$77-$B$38)*C20/100)</f>
        <v>59.285714285714285</v>
      </c>
      <c r="C34" s="167">
        <f>IF(ISERROR(B34/SUM($B$32,$B$34,$B$35,$B$36,$B$38,$B$39)*100),0,B34/SUM($B$32,$B$34,$B$35,$B$36,$B$38,$B$39)*100)</f>
        <v>2.5206511175898934</v>
      </c>
      <c r="D34" s="233"/>
      <c r="G34" s="15"/>
    </row>
    <row r="35" spans="1:7">
      <c r="A35" s="171" t="s">
        <v>74</v>
      </c>
      <c r="B35" s="33">
        <f>IF((($B$28-$B$32-$B$39-$B$77-$B$38)*C21/100)&lt;0,0,($B$28-$B$32-$B$39-$B$77-$B$38)*C21/100)</f>
        <v>398.4</v>
      </c>
      <c r="C35" s="167">
        <f>IF(ISERROR(B35/SUM($B$32,$B$34,$B$35,$B$36,$B$38,$B$39)*100),0,B35/SUM($B$32,$B$34,$B$35,$B$36,$B$38,$B$39)*100)</f>
        <v>16.938775510204078</v>
      </c>
      <c r="D35" s="233"/>
      <c r="G35" s="15"/>
    </row>
    <row r="36" spans="1:7">
      <c r="A36" s="171" t="s">
        <v>75</v>
      </c>
      <c r="B36" s="33">
        <f>IF((($B$28-$B$32-$B$39-$B$77-$B$38)*C22/100)&lt;0,0,($B$28-$B$32-$B$39-$B$77-$B$38)*C22/100)</f>
        <v>123.3142857142857</v>
      </c>
      <c r="C36" s="167">
        <f>IF(ISERROR(B36/SUM($B$32,$B$34,$B$35,$B$36,$B$38,$B$39)*100),0,B36/SUM($B$32,$B$34,$B$35,$B$36,$B$38,$B$39)*100)</f>
        <v>5.242954324586977</v>
      </c>
      <c r="D36" s="233"/>
      <c r="G36" s="15"/>
    </row>
    <row r="37" spans="1:7">
      <c r="A37" s="171" t="s">
        <v>76</v>
      </c>
      <c r="B37" s="34" t="s">
        <v>111</v>
      </c>
      <c r="C37" s="167"/>
      <c r="D37" s="173"/>
      <c r="G37" s="15"/>
    </row>
    <row r="38" spans="1:7">
      <c r="A38" s="171" t="s">
        <v>77</v>
      </c>
      <c r="B38" s="33">
        <f>IF((B24-(B29-B18)*0.1)&lt;0,0,B24-(B29-B18)*0.1)</f>
        <v>18.599999999999994</v>
      </c>
      <c r="C38" s="167">
        <f>IF(ISERROR(B38/SUM($B$32,$B$34,$B$35,$B$36,$B$38,$B$39)*100),0,B38/SUM($B$32,$B$34,$B$35,$B$36,$B$38,$B$39)*100)</f>
        <v>0.79081632653061207</v>
      </c>
      <c r="D38" s="234"/>
      <c r="G38" s="15"/>
    </row>
    <row r="39" spans="1:7">
      <c r="A39" s="171" t="s">
        <v>78</v>
      </c>
      <c r="B39" s="33">
        <f>IF((B25-(B29-B18))&lt;0,0,B25-(B29-B18)*0.9)</f>
        <v>85.399999999999977</v>
      </c>
      <c r="C39" s="167">
        <f>IF(ISERROR(B39/SUM($B$32,$B$34,$B$35,$B$36,$B$38,$B$39)*100),0,B39/SUM($B$32,$B$34,$B$35,$B$36,$B$38,$B$39)*100)</f>
        <v>3.63095238095238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1667</v>
      </c>
      <c r="C44" s="34" t="s">
        <v>111</v>
      </c>
      <c r="D44" s="174"/>
    </row>
    <row r="45" spans="1:7">
      <c r="A45" s="171" t="s">
        <v>72</v>
      </c>
      <c r="B45" s="33" t="str">
        <f t="shared" si="0"/>
        <v>-</v>
      </c>
      <c r="C45" s="34" t="s">
        <v>111</v>
      </c>
      <c r="D45" s="174"/>
    </row>
    <row r="46" spans="1:7">
      <c r="A46" s="171" t="s">
        <v>73</v>
      </c>
      <c r="B46" s="33">
        <f t="shared" si="0"/>
        <v>59.285714285714285</v>
      </c>
      <c r="C46" s="34" t="s">
        <v>111</v>
      </c>
      <c r="D46" s="174"/>
    </row>
    <row r="47" spans="1:7">
      <c r="A47" s="171" t="s">
        <v>74</v>
      </c>
      <c r="B47" s="33">
        <f t="shared" si="0"/>
        <v>398.4</v>
      </c>
      <c r="C47" s="34" t="s">
        <v>111</v>
      </c>
      <c r="D47" s="174"/>
    </row>
    <row r="48" spans="1:7">
      <c r="A48" s="171" t="s">
        <v>75</v>
      </c>
      <c r="B48" s="33">
        <f t="shared" si="0"/>
        <v>123.3142857142857</v>
      </c>
      <c r="C48" s="33">
        <f>B48*10</f>
        <v>1233.1428571428571</v>
      </c>
      <c r="D48" s="234"/>
    </row>
    <row r="49" spans="1:6">
      <c r="A49" s="171" t="s">
        <v>76</v>
      </c>
      <c r="B49" s="33" t="str">
        <f t="shared" si="0"/>
        <v>-</v>
      </c>
      <c r="C49" s="34" t="s">
        <v>111</v>
      </c>
      <c r="D49" s="234"/>
    </row>
    <row r="50" spans="1:6">
      <c r="A50" s="171" t="s">
        <v>77</v>
      </c>
      <c r="B50" s="33">
        <f t="shared" si="0"/>
        <v>18.599999999999994</v>
      </c>
      <c r="C50" s="33">
        <f>B50*2</f>
        <v>37.199999999999989</v>
      </c>
      <c r="D50" s="234"/>
    </row>
    <row r="51" spans="1:6">
      <c r="A51" s="171" t="s">
        <v>78</v>
      </c>
      <c r="B51" s="33">
        <f t="shared" si="0"/>
        <v>85.399999999999977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4181.3379999999997</v>
      </c>
      <c r="C5" s="17">
        <f>IF(ISERROR('Eigen informatie GS &amp; warmtenet'!B58),0,'Eigen informatie GS &amp; warmtenet'!B58)</f>
        <v>0</v>
      </c>
      <c r="D5" s="30">
        <f>SUM(D6:D12)</f>
        <v>5630.3020400000005</v>
      </c>
      <c r="E5" s="17">
        <f>SUM(E6:E12)</f>
        <v>89.812453621307924</v>
      </c>
      <c r="F5" s="17">
        <f>SUM(F6:F12)</f>
        <v>979.2302734546397</v>
      </c>
      <c r="G5" s="18"/>
      <c r="H5" s="17"/>
      <c r="I5" s="17"/>
      <c r="J5" s="17">
        <f>SUM(J6:J12)</f>
        <v>0</v>
      </c>
      <c r="K5" s="17"/>
      <c r="L5" s="17"/>
      <c r="M5" s="17"/>
      <c r="N5" s="17">
        <f>SUM(N6:N12)</f>
        <v>227.75673258169536</v>
      </c>
      <c r="O5" s="17">
        <f>B38*B39*B40</f>
        <v>1.5633333333333335</v>
      </c>
      <c r="P5" s="17">
        <f>B46*B47*B48/1000-B46*B47*B48/1000/B49</f>
        <v>19.066666666666666</v>
      </c>
      <c r="R5" s="32"/>
    </row>
    <row r="6" spans="1:18">
      <c r="A6" s="32" t="s">
        <v>54</v>
      </c>
      <c r="B6" s="37">
        <f>B26</f>
        <v>934.85299999999995</v>
      </c>
      <c r="C6" s="33"/>
      <c r="D6" s="37">
        <f>IF(ISERROR(TER_kantoor_gas_kWh/1000),0,TER_kantoor_gas_kWh/1000)*0.902</f>
        <v>941.98926800000004</v>
      </c>
      <c r="E6" s="33">
        <f>$C$26*'E Balans VL '!I12/100/3.6*1000000</f>
        <v>12.238377341913438</v>
      </c>
      <c r="F6" s="33">
        <f>$C$26*('E Balans VL '!L12+'E Balans VL '!N12)/100/3.6*1000000</f>
        <v>238.37785458996166</v>
      </c>
      <c r="G6" s="34"/>
      <c r="H6" s="33"/>
      <c r="I6" s="33"/>
      <c r="J6" s="33">
        <f>$C$26*('E Balans VL '!D12+'E Balans VL '!E12)/100/3.6*1000000</f>
        <v>0</v>
      </c>
      <c r="K6" s="33"/>
      <c r="L6" s="33"/>
      <c r="M6" s="33"/>
      <c r="N6" s="33">
        <f>$C$26*'E Balans VL '!Y12/100/3.6*1000000</f>
        <v>0.93800106740414702</v>
      </c>
      <c r="O6" s="33"/>
      <c r="P6" s="33"/>
      <c r="R6" s="32"/>
    </row>
    <row r="7" spans="1:18">
      <c r="A7" s="32" t="s">
        <v>53</v>
      </c>
      <c r="B7" s="37">
        <f t="shared" ref="B7:B12" si="0">B27</f>
        <v>231.363</v>
      </c>
      <c r="C7" s="33"/>
      <c r="D7" s="37">
        <f>IF(ISERROR(TER_horeca_gas_kWh/1000),0,TER_horeca_gas_kWh/1000)*0.902</f>
        <v>230.23369600000001</v>
      </c>
      <c r="E7" s="33">
        <f>$C$27*'E Balans VL '!I9/100/3.6*1000000</f>
        <v>7.6567079660813393</v>
      </c>
      <c r="F7" s="33">
        <f>$C$27*('E Balans VL '!L9+'E Balans VL '!N9)/100/3.6*1000000</f>
        <v>99.485203309580726</v>
      </c>
      <c r="G7" s="34"/>
      <c r="H7" s="33"/>
      <c r="I7" s="33"/>
      <c r="J7" s="33">
        <f>$C$27*('E Balans VL '!D9+'E Balans VL '!E9)/100/3.6*1000000</f>
        <v>0</v>
      </c>
      <c r="K7" s="33"/>
      <c r="L7" s="33"/>
      <c r="M7" s="33"/>
      <c r="N7" s="33">
        <f>$C$27*'E Balans VL '!Y9/100/3.6*1000000</f>
        <v>5.5692433859462959E-2</v>
      </c>
      <c r="O7" s="33"/>
      <c r="P7" s="33"/>
      <c r="R7" s="32"/>
    </row>
    <row r="8" spans="1:18">
      <c r="A8" s="6" t="s">
        <v>52</v>
      </c>
      <c r="B8" s="37">
        <f t="shared" si="0"/>
        <v>2192.35</v>
      </c>
      <c r="C8" s="33"/>
      <c r="D8" s="37">
        <f>IF(ISERROR(TER_handel_gas_kWh/1000),0,TER_handel_gas_kWh/1000)*0.902</f>
        <v>1332.566994</v>
      </c>
      <c r="E8" s="33">
        <f>$C$28*'E Balans VL '!I13/100/3.6*1000000</f>
        <v>69.193915811087564</v>
      </c>
      <c r="F8" s="33">
        <f>$C$28*('E Balans VL '!L13+'E Balans VL '!N13)/100/3.6*1000000</f>
        <v>429.95843988669611</v>
      </c>
      <c r="G8" s="34"/>
      <c r="H8" s="33"/>
      <c r="I8" s="33"/>
      <c r="J8" s="33">
        <f>$C$28*('E Balans VL '!D13+'E Balans VL '!E13)/100/3.6*1000000</f>
        <v>0</v>
      </c>
      <c r="K8" s="33"/>
      <c r="L8" s="33"/>
      <c r="M8" s="33"/>
      <c r="N8" s="33">
        <f>$C$28*'E Balans VL '!Y13/100/3.6*1000000</f>
        <v>2.6018938104728493</v>
      </c>
      <c r="O8" s="33"/>
      <c r="P8" s="33"/>
      <c r="R8" s="32"/>
    </row>
    <row r="9" spans="1:18">
      <c r="A9" s="32" t="s">
        <v>51</v>
      </c>
      <c r="B9" s="37">
        <f t="shared" si="0"/>
        <v>400.44499999999999</v>
      </c>
      <c r="C9" s="33"/>
      <c r="D9" s="37">
        <f>IF(ISERROR(TER_gezond_gas_kWh/1000),0,TER_gezond_gas_kWh/1000)*0.902</f>
        <v>1070.2491580000001</v>
      </c>
      <c r="E9" s="33">
        <f>$C$29*'E Balans VL '!I10/100/3.6*1000000</f>
        <v>5.1268674758546476E-2</v>
      </c>
      <c r="F9" s="33">
        <f>$C$29*('E Balans VL '!L10+'E Balans VL '!N10)/100/3.6*1000000</f>
        <v>83.429477688109785</v>
      </c>
      <c r="G9" s="34"/>
      <c r="H9" s="33"/>
      <c r="I9" s="33"/>
      <c r="J9" s="33">
        <f>$C$29*('E Balans VL '!D10+'E Balans VL '!E10)/100/3.6*1000000</f>
        <v>0</v>
      </c>
      <c r="K9" s="33"/>
      <c r="L9" s="33"/>
      <c r="M9" s="33"/>
      <c r="N9" s="33">
        <f>$C$29*'E Balans VL '!Y10/100/3.6*1000000</f>
        <v>4.7034158001902195</v>
      </c>
      <c r="O9" s="33"/>
      <c r="P9" s="33"/>
      <c r="R9" s="32"/>
    </row>
    <row r="10" spans="1:18">
      <c r="A10" s="32" t="s">
        <v>50</v>
      </c>
      <c r="B10" s="37">
        <f t="shared" si="0"/>
        <v>278.13499999999999</v>
      </c>
      <c r="C10" s="33"/>
      <c r="D10" s="37">
        <f>IF(ISERROR(TER_ander_gas_kWh/1000),0,TER_ander_gas_kWh/1000)*0.902</f>
        <v>1511.6572900000001</v>
      </c>
      <c r="E10" s="33">
        <f>$C$30*'E Balans VL '!I14/100/3.6*1000000</f>
        <v>0.41824963221920364</v>
      </c>
      <c r="F10" s="33">
        <f>$C$30*('E Balans VL '!L14+'E Balans VL '!N14)/100/3.6*1000000</f>
        <v>61.403242430366859</v>
      </c>
      <c r="G10" s="34"/>
      <c r="H10" s="33"/>
      <c r="I10" s="33"/>
      <c r="J10" s="33">
        <f>$C$30*('E Balans VL '!D14+'E Balans VL '!E14)/100/3.6*1000000</f>
        <v>0</v>
      </c>
      <c r="K10" s="33"/>
      <c r="L10" s="33"/>
      <c r="M10" s="33"/>
      <c r="N10" s="33">
        <f>$C$30*'E Balans VL '!Y14/100/3.6*1000000</f>
        <v>219.18909777976941</v>
      </c>
      <c r="O10" s="33"/>
      <c r="P10" s="33"/>
      <c r="R10" s="32"/>
    </row>
    <row r="11" spans="1:18">
      <c r="A11" s="32" t="s">
        <v>55</v>
      </c>
      <c r="B11" s="37">
        <f t="shared" si="0"/>
        <v>144.19200000000001</v>
      </c>
      <c r="C11" s="33"/>
      <c r="D11" s="37">
        <f>IF(ISERROR(TER_onderwijs_gas_kWh/1000),0,TER_onderwijs_gas_kWh/1000)*0.902</f>
        <v>543.60563400000001</v>
      </c>
      <c r="E11" s="33">
        <f>$C$31*'E Balans VL '!I11/100/3.6*1000000</f>
        <v>0.25393419524783256</v>
      </c>
      <c r="F11" s="33">
        <f>$C$31*('E Balans VL '!L11+'E Balans VL '!N11)/100/3.6*1000000</f>
        <v>66.576055549924646</v>
      </c>
      <c r="G11" s="34"/>
      <c r="H11" s="33"/>
      <c r="I11" s="33"/>
      <c r="J11" s="33">
        <f>$C$31*('E Balans VL '!D11+'E Balans VL '!E11)/100/3.6*1000000</f>
        <v>0</v>
      </c>
      <c r="K11" s="33"/>
      <c r="L11" s="33"/>
      <c r="M11" s="33"/>
      <c r="N11" s="33">
        <f>$C$31*'E Balans VL '!Y11/100/3.6*1000000</f>
        <v>0.26863168999925985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1494</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-4268.5714285714284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5675.3379999999997</v>
      </c>
      <c r="C16" s="21">
        <f t="shared" ca="1" si="1"/>
        <v>0</v>
      </c>
      <c r="D16" s="21">
        <f t="shared" ca="1" si="1"/>
        <v>5630.3020400000005</v>
      </c>
      <c r="E16" s="21">
        <f t="shared" si="1"/>
        <v>89.812453621307924</v>
      </c>
      <c r="F16" s="21">
        <f t="shared" ca="1" si="1"/>
        <v>979.2302734546397</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0.19942681410153879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1131.8145762893989</v>
      </c>
      <c r="C20" s="23">
        <f t="shared" ref="C20:P20" ca="1" si="2">C16*C18</f>
        <v>0</v>
      </c>
      <c r="D20" s="23">
        <f t="shared" ca="1" si="2"/>
        <v>1137.3210120800002</v>
      </c>
      <c r="E20" s="23">
        <f t="shared" si="2"/>
        <v>20.387426972036899</v>
      </c>
      <c r="F20" s="23">
        <f t="shared" ca="1" si="2"/>
        <v>261.45448301238883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934.85299999999995</v>
      </c>
      <c r="C26" s="39">
        <f>IF(ISERROR(B26*3.6/1000000/'E Balans VL '!Z12*100),0,B26*3.6/1000000/'E Balans VL '!Z12*100)</f>
        <v>2.0025277519015516E-2</v>
      </c>
      <c r="D26" s="237" t="s">
        <v>660</v>
      </c>
      <c r="F26" s="6"/>
    </row>
    <row r="27" spans="1:18">
      <c r="A27" s="231" t="s">
        <v>53</v>
      </c>
      <c r="B27" s="33">
        <f>IF(ISERROR(TER_horeca_ele_kWh/1000),0,TER_horeca_ele_kWh/1000)</f>
        <v>231.363</v>
      </c>
      <c r="C27" s="39">
        <f>IF(ISERROR(B27*3.6/1000000/'E Balans VL '!Z9*100),0,B27*3.6/1000000/'E Balans VL '!Z9*100)</f>
        <v>1.8566076540420699E-2</v>
      </c>
      <c r="D27" s="237" t="s">
        <v>660</v>
      </c>
      <c r="F27" s="6"/>
    </row>
    <row r="28" spans="1:18">
      <c r="A28" s="171" t="s">
        <v>52</v>
      </c>
      <c r="B28" s="33">
        <f>IF(ISERROR(TER_handel_ele_kWh/1000),0,TER_handel_ele_kWh/1000)</f>
        <v>2192.35</v>
      </c>
      <c r="C28" s="39">
        <f>IF(ISERROR(B28*3.6/1000000/'E Balans VL '!Z13*100),0,B28*3.6/1000000/'E Balans VL '!Z13*100)</f>
        <v>6.466175018196875E-2</v>
      </c>
      <c r="D28" s="237" t="s">
        <v>660</v>
      </c>
      <c r="F28" s="6"/>
    </row>
    <row r="29" spans="1:18">
      <c r="A29" s="231" t="s">
        <v>51</v>
      </c>
      <c r="B29" s="33">
        <f>IF(ISERROR(TER_gezond_ele_kWh/1000),0,TER_gezond_ele_kWh/1000)</f>
        <v>400.44499999999999</v>
      </c>
      <c r="C29" s="39">
        <f>IF(ISERROR(B29*3.6/1000000/'E Balans VL '!Z10*100),0,B29*3.6/1000000/'E Balans VL '!Z10*100)</f>
        <v>4.2756789666940832E-2</v>
      </c>
      <c r="D29" s="237" t="s">
        <v>660</v>
      </c>
      <c r="F29" s="6"/>
    </row>
    <row r="30" spans="1:18">
      <c r="A30" s="231" t="s">
        <v>50</v>
      </c>
      <c r="B30" s="33">
        <f>IF(ISERROR(TER_ander_ele_kWh/1000),0,TER_ander_ele_kWh/1000)</f>
        <v>278.13499999999999</v>
      </c>
      <c r="C30" s="39">
        <f>IF(ISERROR(B30*3.6/1000000/'E Balans VL '!Z14*100),0,B30*3.6/1000000/'E Balans VL '!Z14*100)</f>
        <v>2.10086287420896E-2</v>
      </c>
      <c r="D30" s="237" t="s">
        <v>660</v>
      </c>
      <c r="F30" s="6"/>
    </row>
    <row r="31" spans="1:18">
      <c r="A31" s="231" t="s">
        <v>55</v>
      </c>
      <c r="B31" s="33">
        <f>IF(ISERROR(TER_onderwijs_ele_kWh/1000),0,TER_onderwijs_ele_kWh/1000)</f>
        <v>144.19200000000001</v>
      </c>
      <c r="C31" s="39">
        <f>IF(ISERROR(B31*3.6/1000000/'E Balans VL '!Z11*100),0,B31*3.6/1000000/'E Balans VL '!Z11*100)</f>
        <v>2.9117178300823211E-2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19223.547000000002</v>
      </c>
      <c r="C5" s="17">
        <f>IF(ISERROR('Eigen informatie GS &amp; warmtenet'!B59),0,'Eigen informatie GS &amp; warmtenet'!B59)</f>
        <v>0</v>
      </c>
      <c r="D5" s="30">
        <f>SUM(D6:D15)</f>
        <v>18385.521022000001</v>
      </c>
      <c r="E5" s="17">
        <f>SUM(E6:E15)</f>
        <v>613.05845193150367</v>
      </c>
      <c r="F5" s="17">
        <f>SUM(F6:F15)</f>
        <v>4512.7608736988223</v>
      </c>
      <c r="G5" s="18"/>
      <c r="H5" s="17"/>
      <c r="I5" s="17"/>
      <c r="J5" s="17">
        <f>SUM(J6:J15)</f>
        <v>0.85199298749137875</v>
      </c>
      <c r="K5" s="17"/>
      <c r="L5" s="17"/>
      <c r="M5" s="17"/>
      <c r="N5" s="17">
        <f>SUM(N6:N15)</f>
        <v>6181.4491695713768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412.35700000000003</v>
      </c>
      <c r="C8" s="33"/>
      <c r="D8" s="37">
        <f>IF( ISERROR(IND_metaal_Gas_kWH/1000),0,IND_metaal_Gas_kWH/1000)*0.902</f>
        <v>130.84412</v>
      </c>
      <c r="E8" s="33">
        <f>C30*'E Balans VL '!I18/100/3.6*1000000</f>
        <v>14.83785232448813</v>
      </c>
      <c r="F8" s="33">
        <f>C30*'E Balans VL '!L18/100/3.6*1000000+C30*'E Balans VL '!N18/100/3.6*1000000</f>
        <v>180.06293472423275</v>
      </c>
      <c r="G8" s="34"/>
      <c r="H8" s="33"/>
      <c r="I8" s="33"/>
      <c r="J8" s="40">
        <f>C30*'E Balans VL '!D18/100/3.6*1000000+C30*'E Balans VL '!E18/100/3.6*1000000</f>
        <v>0</v>
      </c>
      <c r="K8" s="33"/>
      <c r="L8" s="33"/>
      <c r="M8" s="33"/>
      <c r="N8" s="33">
        <f>C30*'E Balans VL '!Y18/100/3.6*1000000</f>
        <v>20.66705261372584</v>
      </c>
      <c r="O8" s="33"/>
      <c r="P8" s="33"/>
      <c r="R8" s="32"/>
    </row>
    <row r="9" spans="1:18">
      <c r="A9" s="6" t="s">
        <v>33</v>
      </c>
      <c r="B9" s="37">
        <f t="shared" si="0"/>
        <v>728.84</v>
      </c>
      <c r="C9" s="33"/>
      <c r="D9" s="37">
        <f>IF( ISERROR(IND_andere_gas_kWh/1000),0,IND_andere_gas_kWh/1000)*0.902</f>
        <v>614.75268800000003</v>
      </c>
      <c r="E9" s="33">
        <f>C31*'E Balans VL '!I19/100/3.6*1000000</f>
        <v>185.98347753311916</v>
      </c>
      <c r="F9" s="33">
        <f>C31*'E Balans VL '!L19/100/3.6*1000000+C31*'E Balans VL '!N19/100/3.6*1000000</f>
        <v>627.47645825586869</v>
      </c>
      <c r="G9" s="34"/>
      <c r="H9" s="33"/>
      <c r="I9" s="33"/>
      <c r="J9" s="40">
        <f>C31*'E Balans VL '!D19/100/3.6*1000000+C31*'E Balans VL '!E19/100/3.6*1000000</f>
        <v>0</v>
      </c>
      <c r="K9" s="33"/>
      <c r="L9" s="33"/>
      <c r="M9" s="33"/>
      <c r="N9" s="33">
        <f>C31*'E Balans VL '!Y19/100/3.6*1000000</f>
        <v>227.93322816319102</v>
      </c>
      <c r="O9" s="33"/>
      <c r="P9" s="33"/>
      <c r="R9" s="32"/>
    </row>
    <row r="10" spans="1:18">
      <c r="A10" s="6" t="s">
        <v>41</v>
      </c>
      <c r="B10" s="37">
        <f t="shared" si="0"/>
        <v>15751.43</v>
      </c>
      <c r="C10" s="33"/>
      <c r="D10" s="37">
        <f>IF( ISERROR(IND_voed_gas_kWh/1000),0,IND_voed_gas_kWh/1000)*0.902</f>
        <v>17485.653350000001</v>
      </c>
      <c r="E10" s="33">
        <f>C32*'E Balans VL '!I20/100/3.6*1000000</f>
        <v>400.42297908580787</v>
      </c>
      <c r="F10" s="33">
        <f>C32*'E Balans VL '!L20/100/3.6*1000000+C32*'E Balans VL '!N20/100/3.6*1000000</f>
        <v>3564.3121596442943</v>
      </c>
      <c r="G10" s="34"/>
      <c r="H10" s="33"/>
      <c r="I10" s="33"/>
      <c r="J10" s="40">
        <f>C32*'E Balans VL '!D20/100/3.6*1000000+C32*'E Balans VL '!E20/100/3.6*1000000</f>
        <v>0</v>
      </c>
      <c r="K10" s="33"/>
      <c r="L10" s="33"/>
      <c r="M10" s="33"/>
      <c r="N10" s="33">
        <f>C32*'E Balans VL '!Y20/100/3.6*1000000</f>
        <v>5907.2132093040218</v>
      </c>
      <c r="O10" s="33"/>
      <c r="P10" s="33"/>
      <c r="R10" s="32"/>
    </row>
    <row r="11" spans="1:18">
      <c r="A11" s="6" t="s">
        <v>40</v>
      </c>
      <c r="B11" s="37">
        <f t="shared" si="0"/>
        <v>2225.828</v>
      </c>
      <c r="C11" s="33"/>
      <c r="D11" s="37">
        <f>IF( ISERROR(IND_textiel_gas_kWh/1000),0,IND_textiel_gas_kWh/1000)*0.902</f>
        <v>149.103306</v>
      </c>
      <c r="E11" s="33">
        <f>C33*'E Balans VL '!I21/100/3.6*1000000</f>
        <v>6.1104964360097807</v>
      </c>
      <c r="F11" s="33">
        <f>C33*'E Balans VL '!L21/100/3.6*1000000+C33*'E Balans VL '!N21/100/3.6*1000000</f>
        <v>118.00412433944635</v>
      </c>
      <c r="G11" s="34"/>
      <c r="H11" s="33"/>
      <c r="I11" s="33"/>
      <c r="J11" s="40">
        <f>C33*'E Balans VL '!D21/100/3.6*1000000+C33*'E Balans VL '!E21/100/3.6*1000000</f>
        <v>0</v>
      </c>
      <c r="K11" s="33"/>
      <c r="L11" s="33"/>
      <c r="M11" s="33"/>
      <c r="N11" s="33">
        <f>C33*'E Balans VL '!Y21/100/3.6*1000000</f>
        <v>4.4735459441814793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105.092</v>
      </c>
      <c r="C15" s="33"/>
      <c r="D15" s="37">
        <f>IF( ISERROR(IND_rest_gas_kWh/1000),0,IND_rest_gas_kWh/1000)*0.902</f>
        <v>5.1675580000000005</v>
      </c>
      <c r="E15" s="33">
        <f>C37*'E Balans VL '!I15/100/3.6*1000000</f>
        <v>5.7036465520788457</v>
      </c>
      <c r="F15" s="33">
        <f>C37*'E Balans VL '!L15/100/3.6*1000000+C37*'E Balans VL '!N15/100/3.6*1000000</f>
        <v>22.905196734980425</v>
      </c>
      <c r="G15" s="34"/>
      <c r="H15" s="33"/>
      <c r="I15" s="33"/>
      <c r="J15" s="40">
        <f>C37*'E Balans VL '!D15/100/3.6*1000000+C37*'E Balans VL '!E15/100/3.6*1000000</f>
        <v>0.85199298749137875</v>
      </c>
      <c r="K15" s="33"/>
      <c r="L15" s="33"/>
      <c r="M15" s="33"/>
      <c r="N15" s="33">
        <f>C37*'E Balans VL '!Y15/100/3.6*1000000</f>
        <v>21.162133546257163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19223.547000000002</v>
      </c>
      <c r="C18" s="21">
        <f>C5+C16</f>
        <v>0</v>
      </c>
      <c r="D18" s="21">
        <f>MAX((D5+D16),0)</f>
        <v>18385.521022000001</v>
      </c>
      <c r="E18" s="21">
        <f>MAX((E5+E16),0)</f>
        <v>613.05845193150367</v>
      </c>
      <c r="F18" s="21">
        <f>MAX((F5+F16),0)</f>
        <v>4512.7608736988223</v>
      </c>
      <c r="G18" s="21"/>
      <c r="H18" s="21"/>
      <c r="I18" s="21"/>
      <c r="J18" s="21">
        <f>MAX((J5+J16),0)</f>
        <v>0.85199298749137875</v>
      </c>
      <c r="K18" s="21"/>
      <c r="L18" s="21">
        <f>MAX((L5+L16),0)</f>
        <v>0</v>
      </c>
      <c r="M18" s="21"/>
      <c r="N18" s="21">
        <f>MAX((N5+N16),0)</f>
        <v>6181.4491695713768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0.19942681410153879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3833.6907339411941</v>
      </c>
      <c r="C22" s="23">
        <f ca="1">C18*C20</f>
        <v>0</v>
      </c>
      <c r="D22" s="23">
        <f>D18*D20</f>
        <v>3713.8752464440004</v>
      </c>
      <c r="E22" s="23">
        <f>E18*E20</f>
        <v>139.16426858845134</v>
      </c>
      <c r="F22" s="23">
        <f>F18*F20</f>
        <v>1204.9071532775856</v>
      </c>
      <c r="G22" s="23"/>
      <c r="H22" s="23"/>
      <c r="I22" s="23"/>
      <c r="J22" s="23">
        <f>J18*J20</f>
        <v>0.30160551757194803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412.35700000000003</v>
      </c>
      <c r="C30" s="39">
        <f>IF(ISERROR(B30*3.6/1000000/'E Balans VL '!Z18*100),0,B30*3.6/1000000/'E Balans VL '!Z18*100)</f>
        <v>8.7369607598921484E-2</v>
      </c>
      <c r="D30" s="237" t="s">
        <v>660</v>
      </c>
    </row>
    <row r="31" spans="1:18">
      <c r="A31" s="6" t="s">
        <v>33</v>
      </c>
      <c r="B31" s="37">
        <f>IF( ISERROR(IND_ander_ele_kWh/1000),0,IND_ander_ele_kWh/1000)</f>
        <v>728.84</v>
      </c>
      <c r="C31" s="39">
        <f>IF(ISERROR(B31*3.6/1000000/'E Balans VL '!Z19*100),0,B31*3.6/1000000/'E Balans VL '!Z19*100)</f>
        <v>3.0678530551577866E-2</v>
      </c>
      <c r="D31" s="237" t="s">
        <v>660</v>
      </c>
    </row>
    <row r="32" spans="1:18">
      <c r="A32" s="171" t="s">
        <v>41</v>
      </c>
      <c r="B32" s="37">
        <f>IF( ISERROR(IND_voed_ele_kWh/1000),0,IND_voed_ele_kWh/1000)</f>
        <v>15751.43</v>
      </c>
      <c r="C32" s="39">
        <f>IF(ISERROR(B32*3.6/1000000/'E Balans VL '!Z20*100),0,B32*3.6/1000000/'E Balans VL '!Z20*100)</f>
        <v>2.6314545966734033</v>
      </c>
      <c r="D32" s="237" t="s">
        <v>660</v>
      </c>
    </row>
    <row r="33" spans="1:5">
      <c r="A33" s="171" t="s">
        <v>40</v>
      </c>
      <c r="B33" s="37">
        <f>IF( ISERROR(IND_textiel_ele_kWh/1000),0,IND_textiel_ele_kWh/1000)</f>
        <v>2225.828</v>
      </c>
      <c r="C33" s="39">
        <f>IF(ISERROR(B33*3.6/1000000/'E Balans VL '!Z21*100),0,B33*3.6/1000000/'E Balans VL '!Z21*100)</f>
        <v>0.1299504994678716</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105.092</v>
      </c>
      <c r="C37" s="39">
        <f>IF(ISERROR(B37*3.6/1000000/'E Balans VL '!Z15*100),0,B37*3.6/1000000/'E Balans VL '!Z15*100)</f>
        <v>8.4844840948753505E-4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1101.48</v>
      </c>
      <c r="C5" s="17">
        <f>'Eigen informatie GS &amp; warmtenet'!B60</f>
        <v>0</v>
      </c>
      <c r="D5" s="30">
        <f>IF(ISERROR(SUM(LB_lb_gas_kWh,LB_rest_gas_kWh)/1000),0,SUM(LB_lb_gas_kWh,LB_rest_gas_kWh)/1000)*0.902</f>
        <v>444.26205999999996</v>
      </c>
      <c r="E5" s="17">
        <f>B17*'E Balans VL '!I25/3.6*1000000/100</f>
        <v>28.402940005757259</v>
      </c>
      <c r="F5" s="17">
        <f>B17*('E Balans VL '!L25/3.6*1000000+'E Balans VL '!N25/3.6*1000000)/100</f>
        <v>4026.1191666761342</v>
      </c>
      <c r="G5" s="18"/>
      <c r="H5" s="17"/>
      <c r="I5" s="17"/>
      <c r="J5" s="17">
        <f>('E Balans VL '!D25+'E Balans VL '!E25)/3.6*1000000*landbouw!B17/100</f>
        <v>158.57260023296601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1101.48</v>
      </c>
      <c r="C8" s="21">
        <f>C5+C6</f>
        <v>0</v>
      </c>
      <c r="D8" s="21">
        <f>MAX((D5+D6),0)</f>
        <v>444.26205999999996</v>
      </c>
      <c r="E8" s="21">
        <f>MAX((E5+E6),0)</f>
        <v>28.402940005757259</v>
      </c>
      <c r="F8" s="21">
        <f>MAX((F5+F6),0)</f>
        <v>4026.1191666761342</v>
      </c>
      <c r="G8" s="21"/>
      <c r="H8" s="21"/>
      <c r="I8" s="21"/>
      <c r="J8" s="21">
        <f>MAX((J5+J6),0)</f>
        <v>158.57260023296601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0.19942681410153879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219.66464719656295</v>
      </c>
      <c r="C12" s="23">
        <f ca="1">C8*C10</f>
        <v>0</v>
      </c>
      <c r="D12" s="23">
        <f>D8*D10</f>
        <v>89.740936120000001</v>
      </c>
      <c r="E12" s="23">
        <f>E8*E10</f>
        <v>6.4474673813068977</v>
      </c>
      <c r="F12" s="23">
        <f>F8*F10</f>
        <v>1074.9738175025279</v>
      </c>
      <c r="G12" s="23"/>
      <c r="H12" s="23"/>
      <c r="I12" s="23"/>
      <c r="J12" s="23">
        <f>J8*J10</f>
        <v>56.134700482469967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0.15531597603992181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157.94568152495413</v>
      </c>
      <c r="C26" s="247">
        <f>B26*'GWP N2O_CH4'!B5</f>
        <v>3316.8593120240366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71.98633942234143</v>
      </c>
      <c r="C27" s="247">
        <f>B27*'GWP N2O_CH4'!B5</f>
        <v>1511.71312786917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1.8672675777879761</v>
      </c>
      <c r="C28" s="247">
        <f>B28*'GWP N2O_CH4'!B4</f>
        <v>578.85294911427263</v>
      </c>
      <c r="D28" s="50"/>
    </row>
    <row r="29" spans="1:4">
      <c r="A29" s="41" t="s">
        <v>277</v>
      </c>
      <c r="B29" s="247">
        <f>B34*'ha_N2O bodem landbouw'!B4</f>
        <v>5.6216362760063898</v>
      </c>
      <c r="C29" s="247">
        <f>B29*'GWP N2O_CH4'!B4</f>
        <v>1742.7072455619809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1.2651736507031546E-3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2.3613737445768444E-5</v>
      </c>
      <c r="C5" s="463" t="s">
        <v>211</v>
      </c>
      <c r="D5" s="448">
        <f>SUM(D6:D11)</f>
        <v>6.042114570859746E-5</v>
      </c>
      <c r="E5" s="448">
        <f>SUM(E6:E11)</f>
        <v>2.2860211658082719E-4</v>
      </c>
      <c r="F5" s="461" t="s">
        <v>211</v>
      </c>
      <c r="G5" s="448">
        <f>SUM(G6:G11)</f>
        <v>8.1679450405916815E-2</v>
      </c>
      <c r="H5" s="448">
        <f>SUM(H6:H11)</f>
        <v>1.6112228993745568E-2</v>
      </c>
      <c r="I5" s="463" t="s">
        <v>211</v>
      </c>
      <c r="J5" s="463" t="s">
        <v>211</v>
      </c>
      <c r="K5" s="463" t="s">
        <v>211</v>
      </c>
      <c r="L5" s="463" t="s">
        <v>211</v>
      </c>
      <c r="M5" s="448">
        <f>SUM(M6:M11)</f>
        <v>3.0560608279041482E-3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1.4797347108633277E-5</v>
      </c>
      <c r="C6" s="449"/>
      <c r="D6" s="892">
        <f>vkm_2011_GW_PW*SUMIFS(TableVerdeelsleutelVkm[CNG],TableVerdeelsleutelVkm[Voertuigtype],"Lichte voertuigen")*SUMIFS(TableECFTransport[EnergieConsumptieFactor (PJ per km)],TableECFTransport[Index],CONCATENATE($A6,"_CNG_CNG"))</f>
        <v>2.9402587903094887E-5</v>
      </c>
      <c r="E6" s="892">
        <f>vkm_2011_GW_PW*SUMIFS(TableVerdeelsleutelVkm[LPG],TableVerdeelsleutelVkm[Voertuigtype],"Lichte voertuigen")*SUMIFS(TableECFTransport[EnergieConsumptieFactor (PJ per km)],TableECFTransport[Index],CONCATENATE($A6,"_LPG_LPG"))</f>
        <v>1.1570972343631335E-4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2.7511802001033241E-2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7.9601651026691509E-3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1.1053392502447092E-3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1.9803161548589136E-2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6.3972670426892148E-6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6.2396732005252995E-4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8.8163903371351678E-6</v>
      </c>
      <c r="C8" s="449"/>
      <c r="D8" s="451">
        <f>vkm_2011_NGW_PW*SUMIFS(TableVerdeelsleutelVkm[CNG],TableVerdeelsleutelVkm[Voertuigtype],"Lichte voertuigen")*SUMIFS(TableECFTransport[EnergieConsumptieFactor (PJ per km)],TableECFTransport[Index],CONCATENATE($A8,"_CNG_CNG"))</f>
        <v>3.1018557805502573E-5</v>
      </c>
      <c r="E8" s="451">
        <f>vkm_2011_NGW_PW*SUMIFS(TableVerdeelsleutelVkm[LPG],TableVerdeelsleutelVkm[Voertuigtype],"Lichte voertuigen")*SUMIFS(TableECFTransport[EnergieConsumptieFactor (PJ per km)],TableECFTransport[Index],CONCATENATE($A8,"_LPG_LPG"))</f>
        <v>1.1289239314451383E-4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2.5065284798794111E-2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8.1428256389562449E-3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1.0337555197886573E-3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9.2992020575003286E-3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2.8409850774802863E-6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2.9299873781825163E-4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6.5593715127134571</v>
      </c>
      <c r="C14" s="21"/>
      <c r="D14" s="21">
        <f t="shared" ref="D14:M14" si="0">((D5)*10^9/3600)+D12</f>
        <v>16.783651585721518</v>
      </c>
      <c r="E14" s="21">
        <f t="shared" si="0"/>
        <v>63.500587939118667</v>
      </c>
      <c r="F14" s="21"/>
      <c r="G14" s="21">
        <f t="shared" si="0"/>
        <v>22688.736223865781</v>
      </c>
      <c r="H14" s="21">
        <f t="shared" si="0"/>
        <v>4475.6191649293241</v>
      </c>
      <c r="I14" s="21"/>
      <c r="J14" s="21"/>
      <c r="K14" s="21"/>
      <c r="L14" s="21"/>
      <c r="M14" s="21">
        <f t="shared" si="0"/>
        <v>848.90578552892998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0.19942681410153879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1.3081145632888358</v>
      </c>
      <c r="C18" s="23"/>
      <c r="D18" s="23">
        <f t="shared" ref="D18:M18" si="1">D14*D16</f>
        <v>3.3902976203157471</v>
      </c>
      <c r="E18" s="23">
        <f t="shared" si="1"/>
        <v>14.414633462179937</v>
      </c>
      <c r="F18" s="23"/>
      <c r="G18" s="23">
        <f t="shared" si="1"/>
        <v>6057.892571772164</v>
      </c>
      <c r="H18" s="23">
        <f t="shared" si="1"/>
        <v>1114.4291720674016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5.6975604837602718E-4</v>
      </c>
      <c r="H50" s="321">
        <f t="shared" si="2"/>
        <v>0</v>
      </c>
      <c r="I50" s="321">
        <f t="shared" si="2"/>
        <v>0</v>
      </c>
      <c r="J50" s="321">
        <f t="shared" si="2"/>
        <v>0</v>
      </c>
      <c r="K50" s="321">
        <f t="shared" si="2"/>
        <v>0</v>
      </c>
      <c r="L50" s="321">
        <f t="shared" si="2"/>
        <v>0</v>
      </c>
      <c r="M50" s="321">
        <f t="shared" si="2"/>
        <v>1.7672557972598331E-5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5.6975604837602718E-4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1.7672557972598331E-5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158.26556899334088</v>
      </c>
      <c r="H54" s="21">
        <f t="shared" si="3"/>
        <v>0</v>
      </c>
      <c r="I54" s="21">
        <f t="shared" si="3"/>
        <v>0</v>
      </c>
      <c r="J54" s="21">
        <f t="shared" si="3"/>
        <v>0</v>
      </c>
      <c r="K54" s="21">
        <f t="shared" si="3"/>
        <v>0</v>
      </c>
      <c r="L54" s="21">
        <f t="shared" si="3"/>
        <v>0</v>
      </c>
      <c r="M54" s="21">
        <f t="shared" si="3"/>
        <v>4.9090438812773138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0.19942681410153879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42.256906921222019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6066.76</v>
      </c>
      <c r="D10" s="1012">
        <f ca="1">tertiair!C16</f>
        <v>0</v>
      </c>
      <c r="E10" s="1012">
        <f ca="1">tertiair!D16</f>
        <v>5630.3020400000005</v>
      </c>
      <c r="F10" s="1012">
        <f>tertiair!E16</f>
        <v>89.812453621307924</v>
      </c>
      <c r="G10" s="1012">
        <f ca="1">tertiair!F16</f>
        <v>979.2302734546397</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1.5633333333333335</v>
      </c>
      <c r="Q10" s="1013">
        <f>tertiair!P16</f>
        <v>19.066666666666666</v>
      </c>
      <c r="R10" s="700">
        <f ca="1">SUM(C10:Q10)</f>
        <v>12786.734767075948</v>
      </c>
      <c r="S10" s="67"/>
    </row>
    <row r="11" spans="1:19" s="473" customFormat="1">
      <c r="A11" s="809" t="s">
        <v>225</v>
      </c>
      <c r="B11" s="814"/>
      <c r="C11" s="1012">
        <f>huishoudens!B8</f>
        <v>9801.4654990845102</v>
      </c>
      <c r="D11" s="1012">
        <f>huishoudens!C8</f>
        <v>0</v>
      </c>
      <c r="E11" s="1012">
        <f>huishoudens!D8</f>
        <v>21606.513412</v>
      </c>
      <c r="F11" s="1012">
        <f>huishoudens!E8</f>
        <v>1340.917633393906</v>
      </c>
      <c r="G11" s="1012">
        <f>huishoudens!F8</f>
        <v>2078.8199634057737</v>
      </c>
      <c r="H11" s="1012">
        <f>huishoudens!G8</f>
        <v>0</v>
      </c>
      <c r="I11" s="1012">
        <f>huishoudens!H8</f>
        <v>0</v>
      </c>
      <c r="J11" s="1012">
        <f>huishoudens!I8</f>
        <v>0</v>
      </c>
      <c r="K11" s="1012">
        <f>huishoudens!J8</f>
        <v>575.75519024915218</v>
      </c>
      <c r="L11" s="1012">
        <f>huishoudens!K8</f>
        <v>0</v>
      </c>
      <c r="M11" s="1012">
        <f>huishoudens!L8</f>
        <v>0</v>
      </c>
      <c r="N11" s="1012">
        <f>huishoudens!M8</f>
        <v>0</v>
      </c>
      <c r="O11" s="1012">
        <f>huishoudens!N8</f>
        <v>7921.252614582183</v>
      </c>
      <c r="P11" s="1012">
        <f>huishoudens!O8</f>
        <v>110.99666666666667</v>
      </c>
      <c r="Q11" s="1013">
        <f>huishoudens!P8</f>
        <v>95.333333333333343</v>
      </c>
      <c r="R11" s="700">
        <f>SUM(C11:Q11)</f>
        <v>43531.054312715525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19223.547000000002</v>
      </c>
      <c r="D13" s="1012">
        <f>industrie!C18</f>
        <v>0</v>
      </c>
      <c r="E13" s="1012">
        <f>industrie!D18</f>
        <v>18385.521022000001</v>
      </c>
      <c r="F13" s="1012">
        <f>industrie!E18</f>
        <v>613.05845193150367</v>
      </c>
      <c r="G13" s="1012">
        <f>industrie!F18</f>
        <v>4512.7608736988223</v>
      </c>
      <c r="H13" s="1012">
        <f>industrie!G18</f>
        <v>0</v>
      </c>
      <c r="I13" s="1012">
        <f>industrie!H18</f>
        <v>0</v>
      </c>
      <c r="J13" s="1012">
        <f>industrie!I18</f>
        <v>0</v>
      </c>
      <c r="K13" s="1012">
        <f>industrie!J18</f>
        <v>0.85199298749137875</v>
      </c>
      <c r="L13" s="1012">
        <f>industrie!K18</f>
        <v>0</v>
      </c>
      <c r="M13" s="1012">
        <f>industrie!L18</f>
        <v>0</v>
      </c>
      <c r="N13" s="1012">
        <f>industrie!M18</f>
        <v>0</v>
      </c>
      <c r="O13" s="1012">
        <f>industrie!N18</f>
        <v>6181.4491695713768</v>
      </c>
      <c r="P13" s="1012">
        <f>industrie!O18</f>
        <v>0</v>
      </c>
      <c r="Q13" s="1013">
        <f>industrie!P18</f>
        <v>0</v>
      </c>
      <c r="R13" s="700">
        <f>SUM(C13:Q13)</f>
        <v>48917.188510189197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35091.772499084516</v>
      </c>
      <c r="D16" s="732">
        <f t="shared" ref="D16:R16" ca="1" si="0">SUM(D9:D15)</f>
        <v>0</v>
      </c>
      <c r="E16" s="732">
        <f t="shared" ca="1" si="0"/>
        <v>45622.336474000003</v>
      </c>
      <c r="F16" s="732">
        <f t="shared" si="0"/>
        <v>2043.7885389467176</v>
      </c>
      <c r="G16" s="732">
        <f t="shared" ca="1" si="0"/>
        <v>7570.8111105592361</v>
      </c>
      <c r="H16" s="732">
        <f t="shared" si="0"/>
        <v>0</v>
      </c>
      <c r="I16" s="732">
        <f t="shared" si="0"/>
        <v>0</v>
      </c>
      <c r="J16" s="732">
        <f t="shared" si="0"/>
        <v>0</v>
      </c>
      <c r="K16" s="732">
        <f t="shared" si="0"/>
        <v>576.60718323664355</v>
      </c>
      <c r="L16" s="732">
        <f t="shared" si="0"/>
        <v>0</v>
      </c>
      <c r="M16" s="732">
        <f t="shared" ca="1" si="0"/>
        <v>0</v>
      </c>
      <c r="N16" s="732">
        <f t="shared" si="0"/>
        <v>0</v>
      </c>
      <c r="O16" s="732">
        <f t="shared" ca="1" si="0"/>
        <v>14102.70178415356</v>
      </c>
      <c r="P16" s="732">
        <f t="shared" si="0"/>
        <v>112.56</v>
      </c>
      <c r="Q16" s="732">
        <f t="shared" si="0"/>
        <v>114.4</v>
      </c>
      <c r="R16" s="732">
        <f t="shared" ca="1" si="0"/>
        <v>105234.97758998067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158.26556899334088</v>
      </c>
      <c r="I19" s="1012">
        <f>transport!H54</f>
        <v>0</v>
      </c>
      <c r="J19" s="1012">
        <f>transport!I54</f>
        <v>0</v>
      </c>
      <c r="K19" s="1012">
        <f>transport!J54</f>
        <v>0</v>
      </c>
      <c r="L19" s="1012">
        <f>transport!K54</f>
        <v>0</v>
      </c>
      <c r="M19" s="1012">
        <f>transport!L54</f>
        <v>0</v>
      </c>
      <c r="N19" s="1012">
        <f>transport!M54</f>
        <v>4.9090438812773138</v>
      </c>
      <c r="O19" s="1012">
        <f>transport!N54</f>
        <v>0</v>
      </c>
      <c r="P19" s="1012">
        <f>transport!O54</f>
        <v>0</v>
      </c>
      <c r="Q19" s="1013">
        <f>transport!P54</f>
        <v>0</v>
      </c>
      <c r="R19" s="700">
        <f>SUM(C19:Q19)</f>
        <v>163.17461287461819</v>
      </c>
      <c r="S19" s="67"/>
    </row>
    <row r="20" spans="1:19" s="473" customFormat="1">
      <c r="A20" s="809" t="s">
        <v>307</v>
      </c>
      <c r="B20" s="814"/>
      <c r="C20" s="1012">
        <f>transport!B14</f>
        <v>6.5593715127134571</v>
      </c>
      <c r="D20" s="1012">
        <f>transport!C14</f>
        <v>0</v>
      </c>
      <c r="E20" s="1012">
        <f>transport!D14</f>
        <v>16.783651585721518</v>
      </c>
      <c r="F20" s="1012">
        <f>transport!E14</f>
        <v>63.500587939118667</v>
      </c>
      <c r="G20" s="1012">
        <f>transport!F14</f>
        <v>0</v>
      </c>
      <c r="H20" s="1012">
        <f>transport!G14</f>
        <v>22688.736223865781</v>
      </c>
      <c r="I20" s="1012">
        <f>transport!H14</f>
        <v>4475.6191649293241</v>
      </c>
      <c r="J20" s="1012">
        <f>transport!I14</f>
        <v>0</v>
      </c>
      <c r="K20" s="1012">
        <f>transport!J14</f>
        <v>0</v>
      </c>
      <c r="L20" s="1012">
        <f>transport!K14</f>
        <v>0</v>
      </c>
      <c r="M20" s="1012">
        <f>transport!L14</f>
        <v>0</v>
      </c>
      <c r="N20" s="1012">
        <f>transport!M14</f>
        <v>848.90578552892998</v>
      </c>
      <c r="O20" s="1012">
        <f>transport!N14</f>
        <v>0</v>
      </c>
      <c r="P20" s="1012">
        <f>transport!O14</f>
        <v>0</v>
      </c>
      <c r="Q20" s="1013">
        <f>transport!P14</f>
        <v>0</v>
      </c>
      <c r="R20" s="700">
        <f>SUM(C20:Q20)</f>
        <v>28100.104785361589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6.5593715127134571</v>
      </c>
      <c r="D22" s="812">
        <f t="shared" ref="D22:R22" si="1">SUM(D18:D21)</f>
        <v>0</v>
      </c>
      <c r="E22" s="812">
        <f t="shared" si="1"/>
        <v>16.783651585721518</v>
      </c>
      <c r="F22" s="812">
        <f t="shared" si="1"/>
        <v>63.500587939118667</v>
      </c>
      <c r="G22" s="812">
        <f t="shared" si="1"/>
        <v>0</v>
      </c>
      <c r="H22" s="812">
        <f t="shared" si="1"/>
        <v>22847.001792859122</v>
      </c>
      <c r="I22" s="812">
        <f t="shared" si="1"/>
        <v>4475.6191649293241</v>
      </c>
      <c r="J22" s="812">
        <f t="shared" si="1"/>
        <v>0</v>
      </c>
      <c r="K22" s="812">
        <f t="shared" si="1"/>
        <v>0</v>
      </c>
      <c r="L22" s="812">
        <f t="shared" si="1"/>
        <v>0</v>
      </c>
      <c r="M22" s="812">
        <f t="shared" si="1"/>
        <v>0</v>
      </c>
      <c r="N22" s="812">
        <f t="shared" si="1"/>
        <v>853.81482941020727</v>
      </c>
      <c r="O22" s="812">
        <f t="shared" si="1"/>
        <v>0</v>
      </c>
      <c r="P22" s="812">
        <f t="shared" si="1"/>
        <v>0</v>
      </c>
      <c r="Q22" s="812">
        <f t="shared" si="1"/>
        <v>0</v>
      </c>
      <c r="R22" s="812">
        <f t="shared" si="1"/>
        <v>28263.279398236209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1101.48</v>
      </c>
      <c r="D24" s="1012">
        <f>+landbouw!C8</f>
        <v>0</v>
      </c>
      <c r="E24" s="1012">
        <f>+landbouw!D8</f>
        <v>444.26205999999996</v>
      </c>
      <c r="F24" s="1012">
        <f>+landbouw!E8</f>
        <v>28.402940005757259</v>
      </c>
      <c r="G24" s="1012">
        <f>+landbouw!F8</f>
        <v>4026.1191666761342</v>
      </c>
      <c r="H24" s="1012">
        <f>+landbouw!G8</f>
        <v>0</v>
      </c>
      <c r="I24" s="1012">
        <f>+landbouw!H8</f>
        <v>0</v>
      </c>
      <c r="J24" s="1012">
        <f>+landbouw!I8</f>
        <v>0</v>
      </c>
      <c r="K24" s="1012">
        <f>+landbouw!J8</f>
        <v>158.57260023296601</v>
      </c>
      <c r="L24" s="1012">
        <f>+landbouw!K8</f>
        <v>0</v>
      </c>
      <c r="M24" s="1012">
        <f>+landbouw!L8</f>
        <v>0</v>
      </c>
      <c r="N24" s="1012">
        <f>+landbouw!M8</f>
        <v>0</v>
      </c>
      <c r="O24" s="1012">
        <f>+landbouw!N8</f>
        <v>0</v>
      </c>
      <c r="P24" s="1012">
        <f>+landbouw!O8</f>
        <v>0</v>
      </c>
      <c r="Q24" s="1013">
        <f>+landbouw!P8</f>
        <v>0</v>
      </c>
      <c r="R24" s="700">
        <f>SUM(C24:Q24)</f>
        <v>5758.8367669148574</v>
      </c>
      <c r="S24" s="67"/>
    </row>
    <row r="25" spans="1:19" s="473" customFormat="1" ht="15" thickBot="1">
      <c r="A25" s="831" t="s">
        <v>848</v>
      </c>
      <c r="B25" s="1015"/>
      <c r="C25" s="1016">
        <f>IF(Onbekend_ele_kWh="---",0,Onbekend_ele_kWh)/1000+IF(REST_rest_ele_kWh="---",0,REST_rest_ele_kWh)/1000</f>
        <v>165.03800000000001</v>
      </c>
      <c r="D25" s="1016"/>
      <c r="E25" s="1016">
        <f>IF(onbekend_gas_kWh="---",0,onbekend_gas_kWh)/1000+IF(REST_rest_gas_kWh="---",0,REST_rest_gas_kWh)/1000</f>
        <v>260.42099999999999</v>
      </c>
      <c r="F25" s="1016"/>
      <c r="G25" s="1016"/>
      <c r="H25" s="1016"/>
      <c r="I25" s="1016"/>
      <c r="J25" s="1016"/>
      <c r="K25" s="1016"/>
      <c r="L25" s="1016"/>
      <c r="M25" s="1016"/>
      <c r="N25" s="1016"/>
      <c r="O25" s="1016"/>
      <c r="P25" s="1016"/>
      <c r="Q25" s="1017"/>
      <c r="R25" s="700">
        <f>SUM(C25:Q25)</f>
        <v>425.459</v>
      </c>
      <c r="S25" s="67"/>
    </row>
    <row r="26" spans="1:19" s="473" customFormat="1" ht="15.75" thickBot="1">
      <c r="A26" s="705" t="s">
        <v>849</v>
      </c>
      <c r="B26" s="817"/>
      <c r="C26" s="812">
        <f>SUM(C24:C25)</f>
        <v>1266.518</v>
      </c>
      <c r="D26" s="812">
        <f t="shared" ref="D26:R26" si="2">SUM(D24:D25)</f>
        <v>0</v>
      </c>
      <c r="E26" s="812">
        <f t="shared" si="2"/>
        <v>704.68305999999995</v>
      </c>
      <c r="F26" s="812">
        <f t="shared" si="2"/>
        <v>28.402940005757259</v>
      </c>
      <c r="G26" s="812">
        <f t="shared" si="2"/>
        <v>4026.1191666761342</v>
      </c>
      <c r="H26" s="812">
        <f t="shared" si="2"/>
        <v>0</v>
      </c>
      <c r="I26" s="812">
        <f t="shared" si="2"/>
        <v>0</v>
      </c>
      <c r="J26" s="812">
        <f t="shared" si="2"/>
        <v>0</v>
      </c>
      <c r="K26" s="812">
        <f t="shared" si="2"/>
        <v>158.57260023296601</v>
      </c>
      <c r="L26" s="812">
        <f t="shared" si="2"/>
        <v>0</v>
      </c>
      <c r="M26" s="812">
        <f t="shared" si="2"/>
        <v>0</v>
      </c>
      <c r="N26" s="812">
        <f t="shared" si="2"/>
        <v>0</v>
      </c>
      <c r="O26" s="812">
        <f t="shared" si="2"/>
        <v>0</v>
      </c>
      <c r="P26" s="812">
        <f t="shared" si="2"/>
        <v>0</v>
      </c>
      <c r="Q26" s="812">
        <f t="shared" si="2"/>
        <v>0</v>
      </c>
      <c r="R26" s="812">
        <f t="shared" si="2"/>
        <v>6184.2957669148573</v>
      </c>
      <c r="S26" s="67"/>
    </row>
    <row r="27" spans="1:19" s="473" customFormat="1" ht="17.25" thickTop="1" thickBot="1">
      <c r="A27" s="706" t="s">
        <v>116</v>
      </c>
      <c r="B27" s="805"/>
      <c r="C27" s="707">
        <f ca="1">C22+C16+C26</f>
        <v>36364.849870597231</v>
      </c>
      <c r="D27" s="707">
        <f t="shared" ref="D27:R27" ca="1" si="3">D22+D16+D26</f>
        <v>0</v>
      </c>
      <c r="E27" s="707">
        <f t="shared" ca="1" si="3"/>
        <v>46343.803185585726</v>
      </c>
      <c r="F27" s="707">
        <f t="shared" si="3"/>
        <v>2135.6920668915932</v>
      </c>
      <c r="G27" s="707">
        <f t="shared" ca="1" si="3"/>
        <v>11596.930277235369</v>
      </c>
      <c r="H27" s="707">
        <f t="shared" si="3"/>
        <v>22847.001792859122</v>
      </c>
      <c r="I27" s="707">
        <f t="shared" si="3"/>
        <v>4475.6191649293241</v>
      </c>
      <c r="J27" s="707">
        <f t="shared" si="3"/>
        <v>0</v>
      </c>
      <c r="K27" s="707">
        <f t="shared" si="3"/>
        <v>735.17978346960956</v>
      </c>
      <c r="L27" s="707">
        <f t="shared" si="3"/>
        <v>0</v>
      </c>
      <c r="M27" s="707">
        <f t="shared" ca="1" si="3"/>
        <v>0</v>
      </c>
      <c r="N27" s="707">
        <f t="shared" si="3"/>
        <v>853.81482941020727</v>
      </c>
      <c r="O27" s="707">
        <f t="shared" ca="1" si="3"/>
        <v>14102.70178415356</v>
      </c>
      <c r="P27" s="707">
        <f t="shared" si="3"/>
        <v>112.56</v>
      </c>
      <c r="Q27" s="707">
        <f t="shared" si="3"/>
        <v>114.4</v>
      </c>
      <c r="R27" s="707">
        <f t="shared" ca="1" si="3"/>
        <v>139682.55275513174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1209.8746187186514</v>
      </c>
      <c r="D40" s="1012">
        <f ca="1">tertiair!C20</f>
        <v>0</v>
      </c>
      <c r="E40" s="1012">
        <f ca="1">tertiair!D20</f>
        <v>1137.3210120800002</v>
      </c>
      <c r="F40" s="1012">
        <f>tertiair!E20</f>
        <v>20.387426972036899</v>
      </c>
      <c r="G40" s="1012">
        <f ca="1">tertiair!F20</f>
        <v>261.45448301238883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2629.037540783077</v>
      </c>
    </row>
    <row r="41" spans="1:18">
      <c r="A41" s="822" t="s">
        <v>225</v>
      </c>
      <c r="B41" s="829"/>
      <c r="C41" s="1012">
        <f ca="1">huishoudens!B12</f>
        <v>1954.6750380085728</v>
      </c>
      <c r="D41" s="1012">
        <f ca="1">huishoudens!C12</f>
        <v>0</v>
      </c>
      <c r="E41" s="1012">
        <f>huishoudens!D12</f>
        <v>4364.5157092240006</v>
      </c>
      <c r="F41" s="1012">
        <f>huishoudens!E12</f>
        <v>304.38830278041667</v>
      </c>
      <c r="G41" s="1012">
        <f>huishoudens!F12</f>
        <v>555.04493022934162</v>
      </c>
      <c r="H41" s="1012">
        <f>huishoudens!G12</f>
        <v>0</v>
      </c>
      <c r="I41" s="1012">
        <f>huishoudens!H12</f>
        <v>0</v>
      </c>
      <c r="J41" s="1012">
        <f>huishoudens!I12</f>
        <v>0</v>
      </c>
      <c r="K41" s="1012">
        <f>huishoudens!J12</f>
        <v>203.81733734819986</v>
      </c>
      <c r="L41" s="1012">
        <f>huishoudens!K12</f>
        <v>0</v>
      </c>
      <c r="M41" s="1012">
        <f>huishoudens!L12</f>
        <v>0</v>
      </c>
      <c r="N41" s="1012">
        <f>huishoudens!M12</f>
        <v>0</v>
      </c>
      <c r="O41" s="1012">
        <f>huishoudens!N12</f>
        <v>0</v>
      </c>
      <c r="P41" s="1012">
        <f>huishoudens!O12</f>
        <v>0</v>
      </c>
      <c r="Q41" s="774">
        <f>huishoudens!P12</f>
        <v>0</v>
      </c>
      <c r="R41" s="850">
        <f t="shared" ca="1" si="4"/>
        <v>7382.4413175905311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3833.6907339411941</v>
      </c>
      <c r="D43" s="1012">
        <f ca="1">industrie!C22</f>
        <v>0</v>
      </c>
      <c r="E43" s="1012">
        <f>industrie!D22</f>
        <v>3713.8752464440004</v>
      </c>
      <c r="F43" s="1012">
        <f>industrie!E22</f>
        <v>139.16426858845134</v>
      </c>
      <c r="G43" s="1012">
        <f>industrie!F22</f>
        <v>1204.9071532775856</v>
      </c>
      <c r="H43" s="1012">
        <f>industrie!G22</f>
        <v>0</v>
      </c>
      <c r="I43" s="1012">
        <f>industrie!H22</f>
        <v>0</v>
      </c>
      <c r="J43" s="1012">
        <f>industrie!I22</f>
        <v>0</v>
      </c>
      <c r="K43" s="1012">
        <f>industrie!J22</f>
        <v>0.30160551757194803</v>
      </c>
      <c r="L43" s="1012">
        <f>industrie!K22</f>
        <v>0</v>
      </c>
      <c r="M43" s="1012">
        <f>industrie!L22</f>
        <v>0</v>
      </c>
      <c r="N43" s="1012">
        <f>industrie!M22</f>
        <v>0</v>
      </c>
      <c r="O43" s="1012">
        <f>industrie!N22</f>
        <v>0</v>
      </c>
      <c r="P43" s="1012">
        <f>industrie!O22</f>
        <v>0</v>
      </c>
      <c r="Q43" s="774">
        <f>industrie!P22</f>
        <v>0</v>
      </c>
      <c r="R43" s="849">
        <f t="shared" ca="1" si="4"/>
        <v>8891.939007768804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6998.2403906684176</v>
      </c>
      <c r="D46" s="732">
        <f t="shared" ref="D46:Q46" ca="1" si="5">SUM(D39:D45)</f>
        <v>0</v>
      </c>
      <c r="E46" s="732">
        <f t="shared" ca="1" si="5"/>
        <v>9215.7119677480005</v>
      </c>
      <c r="F46" s="732">
        <f t="shared" si="5"/>
        <v>463.93999834090494</v>
      </c>
      <c r="G46" s="732">
        <f t="shared" ca="1" si="5"/>
        <v>2021.4065665193161</v>
      </c>
      <c r="H46" s="732">
        <f t="shared" si="5"/>
        <v>0</v>
      </c>
      <c r="I46" s="732">
        <f t="shared" si="5"/>
        <v>0</v>
      </c>
      <c r="J46" s="732">
        <f t="shared" si="5"/>
        <v>0</v>
      </c>
      <c r="K46" s="732">
        <f t="shared" si="5"/>
        <v>204.1189428657718</v>
      </c>
      <c r="L46" s="732">
        <f t="shared" si="5"/>
        <v>0</v>
      </c>
      <c r="M46" s="732">
        <f t="shared" ca="1" si="5"/>
        <v>0</v>
      </c>
      <c r="N46" s="732">
        <f t="shared" si="5"/>
        <v>0</v>
      </c>
      <c r="O46" s="732">
        <f t="shared" ca="1" si="5"/>
        <v>0</v>
      </c>
      <c r="P46" s="732">
        <f t="shared" si="5"/>
        <v>0</v>
      </c>
      <c r="Q46" s="732">
        <f t="shared" si="5"/>
        <v>0</v>
      </c>
      <c r="R46" s="732">
        <f ca="1">SUM(R39:R45)</f>
        <v>18903.417866142412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42.256906921222019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42.256906921222019</v>
      </c>
    </row>
    <row r="50" spans="1:18">
      <c r="A50" s="825" t="s">
        <v>307</v>
      </c>
      <c r="B50" s="835"/>
      <c r="C50" s="703">
        <f ca="1">transport!B18</f>
        <v>1.3081145632888358</v>
      </c>
      <c r="D50" s="703">
        <f>transport!C18</f>
        <v>0</v>
      </c>
      <c r="E50" s="703">
        <f>transport!D18</f>
        <v>3.3902976203157471</v>
      </c>
      <c r="F50" s="703">
        <f>transport!E18</f>
        <v>14.414633462179937</v>
      </c>
      <c r="G50" s="703">
        <f>transport!F18</f>
        <v>0</v>
      </c>
      <c r="H50" s="703">
        <f>transport!G18</f>
        <v>6057.892571772164</v>
      </c>
      <c r="I50" s="703">
        <f>transport!H18</f>
        <v>1114.4291720674016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7191.4347894853508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1.3081145632888358</v>
      </c>
      <c r="D52" s="732">
        <f t="shared" ref="D52:Q52" ca="1" si="6">SUM(D48:D51)</f>
        <v>0</v>
      </c>
      <c r="E52" s="732">
        <f t="shared" si="6"/>
        <v>3.3902976203157471</v>
      </c>
      <c r="F52" s="732">
        <f t="shared" si="6"/>
        <v>14.414633462179937</v>
      </c>
      <c r="G52" s="732">
        <f t="shared" si="6"/>
        <v>0</v>
      </c>
      <c r="H52" s="732">
        <f t="shared" si="6"/>
        <v>6100.1494786933863</v>
      </c>
      <c r="I52" s="732">
        <f t="shared" si="6"/>
        <v>1114.4291720674016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7233.6916964065731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219.66464719656295</v>
      </c>
      <c r="D54" s="703">
        <f ca="1">+landbouw!C12</f>
        <v>0</v>
      </c>
      <c r="E54" s="703">
        <f>+landbouw!D12</f>
        <v>89.740936120000001</v>
      </c>
      <c r="F54" s="703">
        <f>+landbouw!E12</f>
        <v>6.4474673813068977</v>
      </c>
      <c r="G54" s="703">
        <f>+landbouw!F12</f>
        <v>1074.9738175025279</v>
      </c>
      <c r="H54" s="703">
        <f>+landbouw!G12</f>
        <v>0</v>
      </c>
      <c r="I54" s="703">
        <f>+landbouw!H12</f>
        <v>0</v>
      </c>
      <c r="J54" s="703">
        <f>+landbouw!I12</f>
        <v>0</v>
      </c>
      <c r="K54" s="703">
        <f>+landbouw!J12</f>
        <v>56.134700482469967</v>
      </c>
      <c r="L54" s="703">
        <f>+landbouw!K12</f>
        <v>0</v>
      </c>
      <c r="M54" s="703">
        <f>+landbouw!L12</f>
        <v>0</v>
      </c>
      <c r="N54" s="703">
        <f>+landbouw!M12</f>
        <v>0</v>
      </c>
      <c r="O54" s="703">
        <f>+landbouw!N12</f>
        <v>0</v>
      </c>
      <c r="P54" s="703">
        <f>+landbouw!O12</f>
        <v>0</v>
      </c>
      <c r="Q54" s="704">
        <f>+landbouw!P12</f>
        <v>0</v>
      </c>
      <c r="R54" s="731">
        <f ca="1">SUM(C54:Q54)</f>
        <v>1446.9615686828677</v>
      </c>
    </row>
    <row r="55" spans="1:18" ht="15" thickBot="1">
      <c r="A55" s="825" t="s">
        <v>848</v>
      </c>
      <c r="B55" s="835"/>
      <c r="C55" s="703">
        <f ca="1">C25*'EF ele_warmte'!B12</f>
        <v>32.913002545689757</v>
      </c>
      <c r="D55" s="703"/>
      <c r="E55" s="703">
        <f>E25*EF_CO2_aardgas</f>
        <v>52.605042000000005</v>
      </c>
      <c r="F55" s="703"/>
      <c r="G55" s="703"/>
      <c r="H55" s="703"/>
      <c r="I55" s="703"/>
      <c r="J55" s="703"/>
      <c r="K55" s="703"/>
      <c r="L55" s="703"/>
      <c r="M55" s="703"/>
      <c r="N55" s="703"/>
      <c r="O55" s="703"/>
      <c r="P55" s="703"/>
      <c r="Q55" s="704"/>
      <c r="R55" s="731">
        <f ca="1">SUM(C55:Q55)</f>
        <v>85.518044545689762</v>
      </c>
    </row>
    <row r="56" spans="1:18" ht="15.75" thickBot="1">
      <c r="A56" s="823" t="s">
        <v>849</v>
      </c>
      <c r="B56" s="836"/>
      <c r="C56" s="732">
        <f ca="1">SUM(C54:C55)</f>
        <v>252.5776497422527</v>
      </c>
      <c r="D56" s="732">
        <f t="shared" ref="D56:Q56" ca="1" si="7">SUM(D54:D55)</f>
        <v>0</v>
      </c>
      <c r="E56" s="732">
        <f t="shared" si="7"/>
        <v>142.34597812000001</v>
      </c>
      <c r="F56" s="732">
        <f t="shared" si="7"/>
        <v>6.4474673813068977</v>
      </c>
      <c r="G56" s="732">
        <f t="shared" si="7"/>
        <v>1074.9738175025279</v>
      </c>
      <c r="H56" s="732">
        <f t="shared" si="7"/>
        <v>0</v>
      </c>
      <c r="I56" s="732">
        <f t="shared" si="7"/>
        <v>0</v>
      </c>
      <c r="J56" s="732">
        <f t="shared" si="7"/>
        <v>0</v>
      </c>
      <c r="K56" s="732">
        <f t="shared" si="7"/>
        <v>56.134700482469967</v>
      </c>
      <c r="L56" s="732">
        <f t="shared" si="7"/>
        <v>0</v>
      </c>
      <c r="M56" s="732">
        <f t="shared" si="7"/>
        <v>0</v>
      </c>
      <c r="N56" s="732">
        <f t="shared" si="7"/>
        <v>0</v>
      </c>
      <c r="O56" s="732">
        <f t="shared" si="7"/>
        <v>0</v>
      </c>
      <c r="P56" s="732">
        <f t="shared" si="7"/>
        <v>0</v>
      </c>
      <c r="Q56" s="733">
        <f t="shared" si="7"/>
        <v>0</v>
      </c>
      <c r="R56" s="734">
        <f ca="1">SUM(R54:R55)</f>
        <v>1532.4796132285574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7252.1261549739593</v>
      </c>
      <c r="D61" s="740">
        <f t="shared" ref="D61:Q61" ca="1" si="8">D46+D52+D56</f>
        <v>0</v>
      </c>
      <c r="E61" s="740">
        <f t="shared" ca="1" si="8"/>
        <v>9361.4482434883157</v>
      </c>
      <c r="F61" s="740">
        <f t="shared" si="8"/>
        <v>484.80209918439181</v>
      </c>
      <c r="G61" s="740">
        <f t="shared" ca="1" si="8"/>
        <v>3096.3803840218443</v>
      </c>
      <c r="H61" s="740">
        <f t="shared" si="8"/>
        <v>6100.1494786933863</v>
      </c>
      <c r="I61" s="740">
        <f t="shared" si="8"/>
        <v>1114.4291720674016</v>
      </c>
      <c r="J61" s="740">
        <f t="shared" si="8"/>
        <v>0</v>
      </c>
      <c r="K61" s="740">
        <f t="shared" si="8"/>
        <v>260.25364334824178</v>
      </c>
      <c r="L61" s="740">
        <f t="shared" si="8"/>
        <v>0</v>
      </c>
      <c r="M61" s="740">
        <f t="shared" ca="1" si="8"/>
        <v>0</v>
      </c>
      <c r="N61" s="740">
        <f t="shared" si="8"/>
        <v>0</v>
      </c>
      <c r="O61" s="740">
        <f t="shared" ca="1" si="8"/>
        <v>0</v>
      </c>
      <c r="P61" s="740">
        <f t="shared" si="8"/>
        <v>0</v>
      </c>
      <c r="Q61" s="740">
        <f t="shared" si="8"/>
        <v>0</v>
      </c>
      <c r="R61" s="740">
        <f ca="1">R46+R52+R56</f>
        <v>27669.589175777539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0.19942681410153876</v>
      </c>
      <c r="D63" s="781">
        <f t="shared" ca="1" si="9"/>
        <v>0</v>
      </c>
      <c r="E63" s="1023">
        <f t="shared" ca="1" si="9"/>
        <v>0.20199999999999999</v>
      </c>
      <c r="F63" s="781">
        <f t="shared" si="9"/>
        <v>0.22700000000000006</v>
      </c>
      <c r="G63" s="781">
        <f t="shared" ca="1" si="9"/>
        <v>0.26700000000000007</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2055.7993956019359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1494</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4268.5714285714284</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3549.7993956019359</v>
      </c>
      <c r="C78" s="755">
        <f>SUM(C72:C77)</f>
        <v>0</v>
      </c>
      <c r="D78" s="756">
        <f t="shared" ref="D78:H78" si="10">SUM(D76:D77)</f>
        <v>0</v>
      </c>
      <c r="E78" s="756">
        <f t="shared" si="10"/>
        <v>0</v>
      </c>
      <c r="F78" s="756">
        <f t="shared" si="10"/>
        <v>0</v>
      </c>
      <c r="G78" s="756">
        <f t="shared" si="10"/>
        <v>0</v>
      </c>
      <c r="H78" s="756">
        <f t="shared" si="10"/>
        <v>0</v>
      </c>
      <c r="I78" s="756">
        <f>SUM(I76:I77)</f>
        <v>0</v>
      </c>
      <c r="J78" s="756">
        <f>SUM(J76:J77)</f>
        <v>4268.5714285714284</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2055.7993956019359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1494</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3549.7993956019359</v>
      </c>
      <c r="C10" s="583">
        <f t="shared" ref="C10:L10" si="0">SUM(C8:C9)</f>
        <v>0</v>
      </c>
      <c r="D10" s="583">
        <f t="shared" si="0"/>
        <v>0</v>
      </c>
      <c r="E10" s="583">
        <f t="shared" si="0"/>
        <v>0</v>
      </c>
      <c r="F10" s="583">
        <f t="shared" si="0"/>
        <v>0</v>
      </c>
      <c r="G10" s="583">
        <f t="shared" si="0"/>
        <v>0</v>
      </c>
      <c r="H10" s="583">
        <f t="shared" si="0"/>
        <v>0</v>
      </c>
      <c r="I10" s="583">
        <f t="shared" si="0"/>
        <v>0</v>
      </c>
      <c r="J10" s="583">
        <f t="shared" si="0"/>
        <v>4268.5714285714284</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34025</v>
      </c>
      <c r="C64" s="796">
        <v>8860</v>
      </c>
      <c r="D64" s="655" t="s">
        <v>890</v>
      </c>
      <c r="E64" s="655" t="s">
        <v>891</v>
      </c>
      <c r="F64" s="655" t="s">
        <v>892</v>
      </c>
      <c r="G64" s="655" t="s">
        <v>893</v>
      </c>
      <c r="H64" s="655" t="s">
        <v>894</v>
      </c>
      <c r="I64" s="655" t="s">
        <v>895</v>
      </c>
      <c r="J64" s="795">
        <v>38168</v>
      </c>
      <c r="K64" s="795">
        <v>38169</v>
      </c>
      <c r="L64" s="655" t="s">
        <v>896</v>
      </c>
      <c r="M64" s="655">
        <v>332</v>
      </c>
      <c r="N64" s="655">
        <v>1494</v>
      </c>
      <c r="O64" s="655">
        <v>0</v>
      </c>
      <c r="P64" s="655">
        <v>0</v>
      </c>
      <c r="Q64" s="655">
        <v>0</v>
      </c>
      <c r="R64" s="655">
        <v>4268.5714285714284</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332</v>
      </c>
      <c r="N89" s="610">
        <f t="shared" ref="N89:W89" si="5">SUM(N64:N88)</f>
        <v>1494</v>
      </c>
      <c r="O89" s="610">
        <f t="shared" si="5"/>
        <v>0</v>
      </c>
      <c r="P89" s="610">
        <f t="shared" si="5"/>
        <v>0</v>
      </c>
      <c r="Q89" s="610">
        <f t="shared" si="5"/>
        <v>0</v>
      </c>
      <c r="R89" s="610">
        <f t="shared" si="5"/>
        <v>4268.5714285714284</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332</v>
      </c>
      <c r="N91" s="610">
        <f t="shared" si="7"/>
        <v>1494</v>
      </c>
      <c r="O91" s="610">
        <f t="shared" si="7"/>
        <v>0</v>
      </c>
      <c r="P91" s="610">
        <f t="shared" si="7"/>
        <v>0</v>
      </c>
      <c r="Q91" s="610">
        <f t="shared" si="7"/>
        <v>0</v>
      </c>
      <c r="R91" s="610">
        <f t="shared" si="7"/>
        <v>4268.5714285714284</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9801.4654990845102</v>
      </c>
      <c r="C4" s="477">
        <f>huishoudens!C8</f>
        <v>0</v>
      </c>
      <c r="D4" s="477">
        <f>huishoudens!D8</f>
        <v>21606.513412</v>
      </c>
      <c r="E4" s="477">
        <f>huishoudens!E8</f>
        <v>1340.917633393906</v>
      </c>
      <c r="F4" s="477">
        <f>huishoudens!F8</f>
        <v>2078.8199634057737</v>
      </c>
      <c r="G4" s="477">
        <f>huishoudens!G8</f>
        <v>0</v>
      </c>
      <c r="H4" s="477">
        <f>huishoudens!H8</f>
        <v>0</v>
      </c>
      <c r="I4" s="477">
        <f>huishoudens!I8</f>
        <v>0</v>
      </c>
      <c r="J4" s="477">
        <f>huishoudens!J8</f>
        <v>575.75519024915218</v>
      </c>
      <c r="K4" s="477">
        <f>huishoudens!K8</f>
        <v>0</v>
      </c>
      <c r="L4" s="477">
        <f>huishoudens!L8</f>
        <v>0</v>
      </c>
      <c r="M4" s="477">
        <f>huishoudens!M8</f>
        <v>0</v>
      </c>
      <c r="N4" s="477">
        <f>huishoudens!N8</f>
        <v>7921.252614582183</v>
      </c>
      <c r="O4" s="477">
        <f>huishoudens!O8</f>
        <v>110.99666666666667</v>
      </c>
      <c r="P4" s="478">
        <f>huishoudens!P8</f>
        <v>95.333333333333343</v>
      </c>
      <c r="Q4" s="479">
        <f>SUM(B4:P4)</f>
        <v>43531.054312715525</v>
      </c>
    </row>
    <row r="5" spans="1:17">
      <c r="A5" s="476" t="s">
        <v>156</v>
      </c>
      <c r="B5" s="477">
        <f ca="1">tertiair!B16</f>
        <v>5675.3379999999997</v>
      </c>
      <c r="C5" s="477">
        <f ca="1">tertiair!C16</f>
        <v>0</v>
      </c>
      <c r="D5" s="477">
        <f ca="1">tertiair!D16</f>
        <v>5630.3020400000005</v>
      </c>
      <c r="E5" s="477">
        <f>tertiair!E16</f>
        <v>89.812453621307924</v>
      </c>
      <c r="F5" s="477">
        <f ca="1">tertiair!F16</f>
        <v>979.2302734546397</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1.5633333333333335</v>
      </c>
      <c r="P5" s="478">
        <f>tertiair!P16</f>
        <v>19.066666666666666</v>
      </c>
      <c r="Q5" s="476">
        <f t="shared" ref="Q5:Q14" ca="1" si="0">SUM(B5:P5)</f>
        <v>12395.312767075948</v>
      </c>
    </row>
    <row r="6" spans="1:17">
      <c r="A6" s="476" t="s">
        <v>194</v>
      </c>
      <c r="B6" s="477">
        <f>'openbare verlichting'!B8</f>
        <v>391.42200000000003</v>
      </c>
      <c r="C6" s="477"/>
      <c r="D6" s="477"/>
      <c r="E6" s="477"/>
      <c r="F6" s="477"/>
      <c r="G6" s="477"/>
      <c r="H6" s="477"/>
      <c r="I6" s="477"/>
      <c r="J6" s="477"/>
      <c r="K6" s="477"/>
      <c r="L6" s="477"/>
      <c r="M6" s="477"/>
      <c r="N6" s="477"/>
      <c r="O6" s="477"/>
      <c r="P6" s="478"/>
      <c r="Q6" s="476">
        <f t="shared" si="0"/>
        <v>391.42200000000003</v>
      </c>
    </row>
    <row r="7" spans="1:17">
      <c r="A7" s="476" t="s">
        <v>112</v>
      </c>
      <c r="B7" s="477">
        <f>landbouw!B8</f>
        <v>1101.48</v>
      </c>
      <c r="C7" s="477">
        <f>landbouw!C8</f>
        <v>0</v>
      </c>
      <c r="D7" s="477">
        <f>landbouw!D8</f>
        <v>444.26205999999996</v>
      </c>
      <c r="E7" s="477">
        <f>landbouw!E8</f>
        <v>28.402940005757259</v>
      </c>
      <c r="F7" s="477">
        <f>landbouw!F8</f>
        <v>4026.1191666761342</v>
      </c>
      <c r="G7" s="477">
        <f>landbouw!G8</f>
        <v>0</v>
      </c>
      <c r="H7" s="477">
        <f>landbouw!H8</f>
        <v>0</v>
      </c>
      <c r="I7" s="477">
        <f>landbouw!I8</f>
        <v>0</v>
      </c>
      <c r="J7" s="477">
        <f>landbouw!J8</f>
        <v>158.57260023296601</v>
      </c>
      <c r="K7" s="477">
        <f>landbouw!K8</f>
        <v>0</v>
      </c>
      <c r="L7" s="477">
        <f>landbouw!L8</f>
        <v>0</v>
      </c>
      <c r="M7" s="477">
        <f>landbouw!M8</f>
        <v>0</v>
      </c>
      <c r="N7" s="477">
        <f>landbouw!N8</f>
        <v>0</v>
      </c>
      <c r="O7" s="477">
        <f>landbouw!O8</f>
        <v>0</v>
      </c>
      <c r="P7" s="478">
        <f>landbouw!P8</f>
        <v>0</v>
      </c>
      <c r="Q7" s="476">
        <f t="shared" si="0"/>
        <v>5758.8367669148574</v>
      </c>
    </row>
    <row r="8" spans="1:17">
      <c r="A8" s="476" t="s">
        <v>638</v>
      </c>
      <c r="B8" s="477">
        <f>industrie!B18</f>
        <v>19223.547000000002</v>
      </c>
      <c r="C8" s="477">
        <f>industrie!C18</f>
        <v>0</v>
      </c>
      <c r="D8" s="477">
        <f>industrie!D18</f>
        <v>18385.521022000001</v>
      </c>
      <c r="E8" s="477">
        <f>industrie!E18</f>
        <v>613.05845193150367</v>
      </c>
      <c r="F8" s="477">
        <f>industrie!F18</f>
        <v>4512.7608736988223</v>
      </c>
      <c r="G8" s="477">
        <f>industrie!G18</f>
        <v>0</v>
      </c>
      <c r="H8" s="477">
        <f>industrie!H18</f>
        <v>0</v>
      </c>
      <c r="I8" s="477">
        <f>industrie!I18</f>
        <v>0</v>
      </c>
      <c r="J8" s="477">
        <f>industrie!J18</f>
        <v>0.85199298749137875</v>
      </c>
      <c r="K8" s="477">
        <f>industrie!K18</f>
        <v>0</v>
      </c>
      <c r="L8" s="477">
        <f>industrie!L18</f>
        <v>0</v>
      </c>
      <c r="M8" s="477">
        <f>industrie!M18</f>
        <v>0</v>
      </c>
      <c r="N8" s="477">
        <f>industrie!N18</f>
        <v>6181.4491695713768</v>
      </c>
      <c r="O8" s="477">
        <f>industrie!O18</f>
        <v>0</v>
      </c>
      <c r="P8" s="478">
        <f>industrie!P18</f>
        <v>0</v>
      </c>
      <c r="Q8" s="476">
        <f t="shared" si="0"/>
        <v>48917.188510189197</v>
      </c>
    </row>
    <row r="9" spans="1:17" s="482" customFormat="1">
      <c r="A9" s="480" t="s">
        <v>564</v>
      </c>
      <c r="B9" s="481">
        <f>transport!B14</f>
        <v>6.5593715127134571</v>
      </c>
      <c r="C9" s="481">
        <f>transport!C14</f>
        <v>0</v>
      </c>
      <c r="D9" s="481">
        <f>transport!D14</f>
        <v>16.783651585721518</v>
      </c>
      <c r="E9" s="481">
        <f>transport!E14</f>
        <v>63.500587939118667</v>
      </c>
      <c r="F9" s="481">
        <f>transport!F14</f>
        <v>0</v>
      </c>
      <c r="G9" s="481">
        <f>transport!G14</f>
        <v>22688.736223865781</v>
      </c>
      <c r="H9" s="481">
        <f>transport!H14</f>
        <v>4475.6191649293241</v>
      </c>
      <c r="I9" s="481">
        <f>transport!I14</f>
        <v>0</v>
      </c>
      <c r="J9" s="481">
        <f>transport!J14</f>
        <v>0</v>
      </c>
      <c r="K9" s="481">
        <f>transport!K14</f>
        <v>0</v>
      </c>
      <c r="L9" s="481">
        <f>transport!L14</f>
        <v>0</v>
      </c>
      <c r="M9" s="481">
        <f>transport!M14</f>
        <v>848.90578552892998</v>
      </c>
      <c r="N9" s="481">
        <f>transport!N14</f>
        <v>0</v>
      </c>
      <c r="O9" s="481">
        <f>transport!O14</f>
        <v>0</v>
      </c>
      <c r="P9" s="481">
        <f>transport!P14</f>
        <v>0</v>
      </c>
      <c r="Q9" s="480">
        <f>SUM(B9:P9)</f>
        <v>28100.104785361589</v>
      </c>
    </row>
    <row r="10" spans="1:17">
      <c r="A10" s="476" t="s">
        <v>554</v>
      </c>
      <c r="B10" s="477">
        <f>transport!B54</f>
        <v>0</v>
      </c>
      <c r="C10" s="477">
        <f>transport!C54</f>
        <v>0</v>
      </c>
      <c r="D10" s="477">
        <f>transport!D54</f>
        <v>0</v>
      </c>
      <c r="E10" s="477">
        <f>transport!E54</f>
        <v>0</v>
      </c>
      <c r="F10" s="477">
        <f>transport!F54</f>
        <v>0</v>
      </c>
      <c r="G10" s="477">
        <f>transport!G54</f>
        <v>158.26556899334088</v>
      </c>
      <c r="H10" s="477">
        <f>transport!H54</f>
        <v>0</v>
      </c>
      <c r="I10" s="477">
        <f>transport!I54</f>
        <v>0</v>
      </c>
      <c r="J10" s="477">
        <f>transport!J54</f>
        <v>0</v>
      </c>
      <c r="K10" s="477">
        <f>transport!K54</f>
        <v>0</v>
      </c>
      <c r="L10" s="477">
        <f>transport!L54</f>
        <v>0</v>
      </c>
      <c r="M10" s="477">
        <f>transport!M54</f>
        <v>4.9090438812773138</v>
      </c>
      <c r="N10" s="477">
        <f>transport!N54</f>
        <v>0</v>
      </c>
      <c r="O10" s="477">
        <f>transport!O54</f>
        <v>0</v>
      </c>
      <c r="P10" s="478">
        <f>transport!P54</f>
        <v>0</v>
      </c>
      <c r="Q10" s="476">
        <f t="shared" si="0"/>
        <v>163.17461287461819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165.03800000000001</v>
      </c>
      <c r="C14" s="484"/>
      <c r="D14" s="484">
        <f>'SEAP template'!E25</f>
        <v>260.42099999999999</v>
      </c>
      <c r="E14" s="484"/>
      <c r="F14" s="484"/>
      <c r="G14" s="484"/>
      <c r="H14" s="484"/>
      <c r="I14" s="484"/>
      <c r="J14" s="484"/>
      <c r="K14" s="484"/>
      <c r="L14" s="484"/>
      <c r="M14" s="484"/>
      <c r="N14" s="484"/>
      <c r="O14" s="484"/>
      <c r="P14" s="485"/>
      <c r="Q14" s="476">
        <f t="shared" si="0"/>
        <v>425.459</v>
      </c>
    </row>
    <row r="15" spans="1:17" s="486" customFormat="1">
      <c r="A15" s="1038" t="s">
        <v>558</v>
      </c>
      <c r="B15" s="978">
        <f ca="1">SUM(B4:B14)</f>
        <v>36364.849870597223</v>
      </c>
      <c r="C15" s="978">
        <f t="shared" ref="C15:Q15" ca="1" si="1">SUM(C4:C14)</f>
        <v>0</v>
      </c>
      <c r="D15" s="978">
        <f t="shared" ca="1" si="1"/>
        <v>46343.803185585726</v>
      </c>
      <c r="E15" s="978">
        <f t="shared" si="1"/>
        <v>2135.6920668915936</v>
      </c>
      <c r="F15" s="978">
        <f t="shared" ca="1" si="1"/>
        <v>11596.930277235369</v>
      </c>
      <c r="G15" s="978">
        <f t="shared" si="1"/>
        <v>22847.001792859122</v>
      </c>
      <c r="H15" s="978">
        <f t="shared" si="1"/>
        <v>4475.6191649293241</v>
      </c>
      <c r="I15" s="978">
        <f t="shared" si="1"/>
        <v>0</v>
      </c>
      <c r="J15" s="978">
        <f t="shared" si="1"/>
        <v>735.17978346960956</v>
      </c>
      <c r="K15" s="978">
        <f t="shared" si="1"/>
        <v>0</v>
      </c>
      <c r="L15" s="978">
        <f t="shared" ca="1" si="1"/>
        <v>0</v>
      </c>
      <c r="M15" s="978">
        <f t="shared" si="1"/>
        <v>853.81482941020727</v>
      </c>
      <c r="N15" s="978">
        <f t="shared" ca="1" si="1"/>
        <v>14102.70178415356</v>
      </c>
      <c r="O15" s="978">
        <f t="shared" si="1"/>
        <v>112.56</v>
      </c>
      <c r="P15" s="978">
        <f t="shared" si="1"/>
        <v>114.4</v>
      </c>
      <c r="Q15" s="978">
        <f t="shared" ca="1" si="1"/>
        <v>139682.55275513176</v>
      </c>
    </row>
    <row r="17" spans="1:17">
      <c r="A17" s="487" t="s">
        <v>559</v>
      </c>
      <c r="B17" s="786">
        <f ca="1">huishoudens!B10</f>
        <v>0.19942681410153879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1954.6750380085728</v>
      </c>
      <c r="C22" s="477">
        <f t="shared" ref="C22:C32" ca="1" si="3">C4*$C$17</f>
        <v>0</v>
      </c>
      <c r="D22" s="477">
        <f t="shared" ref="D22:D32" si="4">D4*$D$17</f>
        <v>4364.5157092240006</v>
      </c>
      <c r="E22" s="477">
        <f t="shared" ref="E22:E32" si="5">E4*$E$17</f>
        <v>304.38830278041667</v>
      </c>
      <c r="F22" s="477">
        <f t="shared" ref="F22:F32" si="6">F4*$F$17</f>
        <v>555.04493022934162</v>
      </c>
      <c r="G22" s="477">
        <f t="shared" ref="G22:G32" si="7">G4*$G$17</f>
        <v>0</v>
      </c>
      <c r="H22" s="477">
        <f t="shared" ref="H22:H32" si="8">H4*$H$17</f>
        <v>0</v>
      </c>
      <c r="I22" s="477">
        <f t="shared" ref="I22:I32" si="9">I4*$I$17</f>
        <v>0</v>
      </c>
      <c r="J22" s="477">
        <f t="shared" ref="J22:J32" si="10">J4*$J$17</f>
        <v>203.81733734819986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7382.4413175905311</v>
      </c>
    </row>
    <row r="23" spans="1:17">
      <c r="A23" s="476" t="s">
        <v>156</v>
      </c>
      <c r="B23" s="477">
        <f t="shared" ca="1" si="2"/>
        <v>1131.8145762893989</v>
      </c>
      <c r="C23" s="477">
        <f t="shared" ca="1" si="3"/>
        <v>0</v>
      </c>
      <c r="D23" s="477">
        <f t="shared" ca="1" si="4"/>
        <v>1137.3210120800002</v>
      </c>
      <c r="E23" s="477">
        <f t="shared" si="5"/>
        <v>20.387426972036899</v>
      </c>
      <c r="F23" s="477">
        <f t="shared" ca="1" si="6"/>
        <v>261.45448301238883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2550.9774983538246</v>
      </c>
    </row>
    <row r="24" spans="1:17">
      <c r="A24" s="476" t="s">
        <v>194</v>
      </c>
      <c r="B24" s="477">
        <f t="shared" ca="1" si="2"/>
        <v>78.060042429252519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78.060042429252519</v>
      </c>
    </row>
    <row r="25" spans="1:17">
      <c r="A25" s="476" t="s">
        <v>112</v>
      </c>
      <c r="B25" s="477">
        <f t="shared" ca="1" si="2"/>
        <v>219.66464719656295</v>
      </c>
      <c r="C25" s="477">
        <f t="shared" ca="1" si="3"/>
        <v>0</v>
      </c>
      <c r="D25" s="477">
        <f t="shared" si="4"/>
        <v>89.740936120000001</v>
      </c>
      <c r="E25" s="477">
        <f t="shared" si="5"/>
        <v>6.4474673813068977</v>
      </c>
      <c r="F25" s="477">
        <f t="shared" si="6"/>
        <v>1074.9738175025279</v>
      </c>
      <c r="G25" s="477">
        <f t="shared" si="7"/>
        <v>0</v>
      </c>
      <c r="H25" s="477">
        <f t="shared" si="8"/>
        <v>0</v>
      </c>
      <c r="I25" s="477">
        <f t="shared" si="9"/>
        <v>0</v>
      </c>
      <c r="J25" s="477">
        <f t="shared" si="10"/>
        <v>56.134700482469967</v>
      </c>
      <c r="K25" s="477">
        <f t="shared" si="11"/>
        <v>0</v>
      </c>
      <c r="L25" s="477">
        <f t="shared" si="12"/>
        <v>0</v>
      </c>
      <c r="M25" s="477">
        <f t="shared" si="13"/>
        <v>0</v>
      </c>
      <c r="N25" s="477">
        <f t="shared" si="14"/>
        <v>0</v>
      </c>
      <c r="O25" s="477">
        <f t="shared" si="15"/>
        <v>0</v>
      </c>
      <c r="P25" s="478">
        <f t="shared" si="16"/>
        <v>0</v>
      </c>
      <c r="Q25" s="476">
        <f t="shared" ca="1" si="17"/>
        <v>1446.9615686828677</v>
      </c>
    </row>
    <row r="26" spans="1:17">
      <c r="A26" s="476" t="s">
        <v>638</v>
      </c>
      <c r="B26" s="477">
        <f t="shared" ca="1" si="2"/>
        <v>3833.6907339411941</v>
      </c>
      <c r="C26" s="477">
        <f t="shared" ca="1" si="3"/>
        <v>0</v>
      </c>
      <c r="D26" s="477">
        <f t="shared" si="4"/>
        <v>3713.8752464440004</v>
      </c>
      <c r="E26" s="477">
        <f t="shared" si="5"/>
        <v>139.16426858845134</v>
      </c>
      <c r="F26" s="477">
        <f t="shared" si="6"/>
        <v>1204.9071532775856</v>
      </c>
      <c r="G26" s="477">
        <f t="shared" si="7"/>
        <v>0</v>
      </c>
      <c r="H26" s="477">
        <f t="shared" si="8"/>
        <v>0</v>
      </c>
      <c r="I26" s="477">
        <f t="shared" si="9"/>
        <v>0</v>
      </c>
      <c r="J26" s="477">
        <f t="shared" si="10"/>
        <v>0.30160551757194803</v>
      </c>
      <c r="K26" s="477">
        <f t="shared" si="11"/>
        <v>0</v>
      </c>
      <c r="L26" s="477">
        <f t="shared" si="12"/>
        <v>0</v>
      </c>
      <c r="M26" s="477">
        <f t="shared" si="13"/>
        <v>0</v>
      </c>
      <c r="N26" s="477">
        <f t="shared" si="14"/>
        <v>0</v>
      </c>
      <c r="O26" s="477">
        <f t="shared" si="15"/>
        <v>0</v>
      </c>
      <c r="P26" s="478">
        <f t="shared" si="16"/>
        <v>0</v>
      </c>
      <c r="Q26" s="476">
        <f t="shared" ca="1" si="17"/>
        <v>8891.939007768804</v>
      </c>
    </row>
    <row r="27" spans="1:17" s="482" customFormat="1">
      <c r="A27" s="480" t="s">
        <v>564</v>
      </c>
      <c r="B27" s="780">
        <f t="shared" ca="1" si="2"/>
        <v>1.3081145632888358</v>
      </c>
      <c r="C27" s="481">
        <f t="shared" ca="1" si="3"/>
        <v>0</v>
      </c>
      <c r="D27" s="481">
        <f t="shared" si="4"/>
        <v>3.3902976203157471</v>
      </c>
      <c r="E27" s="481">
        <f t="shared" si="5"/>
        <v>14.414633462179937</v>
      </c>
      <c r="F27" s="481">
        <f t="shared" si="6"/>
        <v>0</v>
      </c>
      <c r="G27" s="481">
        <f t="shared" si="7"/>
        <v>6057.892571772164</v>
      </c>
      <c r="H27" s="481">
        <f t="shared" si="8"/>
        <v>1114.4291720674016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7191.4347894853508</v>
      </c>
    </row>
    <row r="28" spans="1:17">
      <c r="A28" s="476" t="s">
        <v>554</v>
      </c>
      <c r="B28" s="477">
        <f t="shared" ca="1" si="2"/>
        <v>0</v>
      </c>
      <c r="C28" s="477">
        <f t="shared" ca="1" si="3"/>
        <v>0</v>
      </c>
      <c r="D28" s="477">
        <f t="shared" si="4"/>
        <v>0</v>
      </c>
      <c r="E28" s="477">
        <f t="shared" si="5"/>
        <v>0</v>
      </c>
      <c r="F28" s="477">
        <f t="shared" si="6"/>
        <v>0</v>
      </c>
      <c r="G28" s="477">
        <f t="shared" si="7"/>
        <v>42.256906921222019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42.256906921222019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32.913002545689757</v>
      </c>
      <c r="C32" s="477">
        <f t="shared" ca="1" si="3"/>
        <v>0</v>
      </c>
      <c r="D32" s="477">
        <f t="shared" si="4"/>
        <v>52.605042000000005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85.518044545689762</v>
      </c>
    </row>
    <row r="33" spans="1:17" s="486" customFormat="1">
      <c r="A33" s="1038" t="s">
        <v>558</v>
      </c>
      <c r="B33" s="978">
        <f ca="1">SUM(B22:B32)</f>
        <v>7252.1261549739593</v>
      </c>
      <c r="C33" s="978">
        <f t="shared" ref="C33:Q33" ca="1" si="18">SUM(C22:C32)</f>
        <v>0</v>
      </c>
      <c r="D33" s="978">
        <f t="shared" ca="1" si="18"/>
        <v>9361.4482434883157</v>
      </c>
      <c r="E33" s="978">
        <f t="shared" si="18"/>
        <v>484.80209918439175</v>
      </c>
      <c r="F33" s="978">
        <f t="shared" ca="1" si="18"/>
        <v>3096.3803840218443</v>
      </c>
      <c r="G33" s="978">
        <f t="shared" si="18"/>
        <v>6100.1494786933863</v>
      </c>
      <c r="H33" s="978">
        <f t="shared" si="18"/>
        <v>1114.4291720674016</v>
      </c>
      <c r="I33" s="978">
        <f t="shared" si="18"/>
        <v>0</v>
      </c>
      <c r="J33" s="978">
        <f t="shared" si="18"/>
        <v>260.25364334824178</v>
      </c>
      <c r="K33" s="978">
        <f t="shared" si="18"/>
        <v>0</v>
      </c>
      <c r="L33" s="978">
        <f t="shared" ca="1" si="18"/>
        <v>0</v>
      </c>
      <c r="M33" s="978">
        <f t="shared" si="18"/>
        <v>0</v>
      </c>
      <c r="N33" s="978">
        <f t="shared" ca="1" si="18"/>
        <v>0</v>
      </c>
      <c r="O33" s="978">
        <f t="shared" si="18"/>
        <v>0</v>
      </c>
      <c r="P33" s="978">
        <f t="shared" si="18"/>
        <v>0</v>
      </c>
      <c r="Q33" s="978">
        <f t="shared" ca="1" si="18"/>
        <v>27669.589175777539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2055.7993956019359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1494</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4268.5714285714284</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3549.7993956019359</v>
      </c>
      <c r="C10" s="1059">
        <f>SUM(C4:C9)</f>
        <v>0</v>
      </c>
      <c r="D10" s="1059">
        <f t="shared" ref="D10:H10" si="0">SUM(D8:D9)</f>
        <v>0</v>
      </c>
      <c r="E10" s="1059">
        <f t="shared" si="0"/>
        <v>0</v>
      </c>
      <c r="F10" s="1059">
        <f t="shared" si="0"/>
        <v>0</v>
      </c>
      <c r="G10" s="1059">
        <f t="shared" si="0"/>
        <v>0</v>
      </c>
      <c r="H10" s="1059">
        <f t="shared" si="0"/>
        <v>0</v>
      </c>
      <c r="I10" s="1059">
        <f>SUM(I8:I9)</f>
        <v>0</v>
      </c>
      <c r="J10" s="1059">
        <f>SUM(J8:J9)</f>
        <v>4268.5714285714284</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0.19942681410153879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0.19942681410153879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2019-08-12T08:24:32Z</dcterms:modified>
</cp:coreProperties>
</file>