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<sst xmlns="http://schemas.openxmlformats.org/spreadsheetml/2006/main" count="2410" uniqueCount="899">
  <si>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</si>
  <si>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</si>
  <si>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</si>
  <si>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</si>
  <si>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</si>
  <si>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</si>
  <si>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</si>
  <si>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</si>
  <si>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</si>
  <si>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</si>
  <si>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</si>
  <si>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</si>
  <si>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</si>
  <si>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</si>
  <si>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</si>
  <si>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</si>
  <si>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</si>
  <si>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</si>
  <si>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</si>
  <si>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</si>
  <si>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</si>
  <si>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</si>
  <si>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</si>
  <si>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</si>
  <si>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</si>
  <si>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</si>
  <si>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</si>
  <si>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</si>
  <si>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</si>
  <si>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</si>
  <si>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</si>
  <si>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</si>
  <si>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</si>
  <si>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</si>
  <si>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</si>
  <si>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</si>
  <si>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</si>
  <si>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</si>
  <si>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</si>
  <si>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</si>
  <si>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</si>
  <si>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</si>
  <si>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</si>
  <si>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</si>
  <si>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</si>
  <si>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</si>
  <si>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</si>
  <si>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</si>
  <si>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</si>
  <si>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</si>
  <si>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</si>
  <si>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</si>
  <si>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</si>
  <si>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</si>
  <si>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</si>
  <si>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</si>
  <si>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</si>
  <si>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</si>
  <si>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</si>
  <si>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</si>
  <si>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</si>
  <si>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</si>
  <si>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</si>
  <si>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</si>
  <si>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</si>
  <si>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</si>
  <si>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</si>
  <si>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</si>
  <si>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</si>
  <si>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</si>
  <si>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</si>
  <si>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</si>
  <si>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</si>
  <si>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</si>
  <si>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</si>
  <si>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</si>
  <si>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</si>
  <si>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</si>
  <si>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</si>
  <si>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</si>
  <si>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</si>
  <si>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</si>
  <si>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</si>
  <si>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</si>
  <si>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</si>
  <si>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</si>
  <si>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</si>
  <si>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</si>
  <si>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</si>
  <si>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</si>
  <si>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</si>
  <si>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</si>
  <si>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</si>
  <si>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</si>
  <si>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</si>
  <si>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</si>
  <si>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</si>
  <si>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</si>
  <si>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</si>
  <si>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</si>
  <si>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</si>
  <si>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</si>
  <si>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</si>
  <si>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</si>
  <si>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</si>
  <si>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</si>
  <si>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</si>
  <si>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</si>
  <si>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</si>
  <si>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</si>
  <si>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</si>
  <si>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</si>
  <si>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</si>
  <si>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</si>
  <si>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</si>
  <si>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</si>
  <si>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</si>
  <si>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</si>
  <si>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</si>
  <si>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</si>
  <si>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</si>
  <si>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</si>
  <si>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</si>
  <si>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</si>
  <si>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</si>
  <si>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</si>
  <si>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</si>
  <si>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</si>
  <si>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</si>
  <si>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</si>
  <si>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</si>
  <si>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</si>
  <si>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</si>
  <si>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</si>
  <si>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</si>
  <si>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</si>
  <si>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</si>
  <si>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</si>
  <si>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</si>
  <si>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</si>
  <si>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</si>
  <si>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</si>
  <si>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</si>
  <si>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</si>
  <si>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</si>
  <si>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</si>
  <si>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</si>
  <si>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</si>
  <si>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</si>
  <si>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</si>
  <si>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</si>
  <si>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</si>
  <si>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</si>
  <si>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</si>
  <si>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</si>
  <si>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</si>
  <si>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</si>
  <si>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</si>
  <si>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</si>
  <si>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</si>
  <si>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</si>
  <si>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</si>
  <si>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</si>
  <si>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</si>
  <si>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</si>
  <si>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</si>
  <si>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</si>
  <si>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</si>
  <si>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</si>
  <si>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</si>
  <si>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</si>
  <si>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</si>
  <si>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</si>
  <si>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</si>
  <si>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</si>
  <si>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</si>
  <si>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</si>
  <si>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</si>
  <si>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</si>
  <si>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</si>
  <si>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</si>
  <si>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</si>
  <si>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</si>
  <si>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</si>
  <si>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</si>
  <si>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</si>
  <si>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</si>
  <si>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</si>
  <si>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</si>
  <si>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</si>
  <si>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</si>
  <si>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</si>
  <si>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</si>
  <si>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</si>
  <si>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</si>
  <si>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</si>
  <si>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</si>
  <si>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</si>
  <si>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</si>
  <si>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</si>
  <si>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</si>
  <si>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</si>
  <si>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</si>
  <si>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</si>
  <si>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</si>
  <si>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</si>
  <si>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</si>
  <si>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</si>
  <si>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</si>
  <si>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</si>
  <si>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</si>
  <si>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</si>
  <si>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</si>
  <si>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</si>
  <si>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</si>
  <si>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</si>
  <si>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</si>
  <si>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</si>
  <si>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</si>
  <si>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</si>
  <si>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</si>
  <si>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</si>
  <si>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</si>
  <si>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</si>
  <si>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</si>
  <si>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</si>
  <si>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</si>
  <si>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</si>
  <si>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</si>
  <si>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</si>
  <si>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</si>
  <si>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</si>
  <si>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</si>
  <si>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</si>
  <si>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</si>
  <si>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</si>
  <si>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</si>
  <si>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</si>
  <si>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</si>
  <si>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</si>
  <si>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</si>
  <si>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</si>
  <si>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</si>
  <si>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</si>
  <si>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</si>
  <si>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</si>
  <si>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</si>
  <si>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</si>
  <si>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</si>
  <si>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</si>
  <si>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</si>
  <si>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</si>
  <si>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</si>
  <si>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</si>
  <si>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</si>
  <si>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</si>
  <si>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</si>
  <si>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</si>
  <si>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</si>
  <si>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</si>
  <si>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</si>
  <si>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</si>
  <si>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</si>
  <si>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</si>
  <si>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</si>
  <si>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</si>
  <si>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</si>
  <si>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</si>
  <si>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</si>
  <si>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</si>
  <si>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</si>
  <si>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</si>
  <si>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</si>
  <si>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</si>
  <si>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</si>
  <si>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</si>
  <si>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</si>
  <si>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</si>
  <si>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</si>
  <si>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</si>
  <si>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</si>
  <si>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</si>
  <si>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</si>
  <si>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</si>
  <si>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</si>
  <si>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</si>
  <si>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</si>
  <si>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</si>
  <si>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</si>
  <si>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</si>
  <si>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</si>
  <si>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</si>
  <si>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</si>
  <si>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</si>
  <si>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</si>
  <si>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</si>
  <si>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</si>
  <si>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</si>
  <si>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</si>
  <si>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</si>
  <si>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</si>
  <si>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</si>
  <si>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</si>
  <si>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</si>
  <si>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</si>
  <si>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</si>
  <si>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</si>
  <si>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</si>
  <si>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</si>
  <si>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</si>
  <si>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</si>
  <si>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</si>
  <si>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</si>
  <si>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</si>
  <si>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</si>
  <si>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</si>
  <si>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</si>
  <si>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</si>
  <si>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</si>
  <si>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</si>
  <si>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</si>
  <si>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</si>
  <si>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</si>
  <si>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</si>
  <si>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</si>
  <si>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</si>
  <si>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</si>
  <si>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</si>
  <si>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</si>
  <si>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</si>
  <si>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</si>
  <si>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</si>
  <si>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</si>
  <si>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</si>
  <si>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</si>
  <si>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</si>
  <si>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</si>
  <si>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</si>
  <si>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</si>
  <si>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</si>
  <si>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</si>
  <si>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</si>
  <si>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</si>
  <si>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</si>
  <si>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</si>
  <si>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</si>
  <si>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</si>
  <si>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</si>
  <si>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</si>
  <si>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</si>
  <si>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</si>
  <si>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</si>
  <si>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</si>
  <si>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</si>
  <si>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</si>
  <si>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</si>
  <si>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</si>
  <si>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</si>
  <si>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</si>
  <si>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</si>
  <si>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</si>
  <si>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</si>
  <si>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</si>
  <si>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</si>
  <si>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</si>
  <si>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</si>
  <si>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</si>
  <si>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</si>
  <si>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</si>
  <si>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</si>
  <si>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</si>
  <si>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</si>
  <si>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</si>
  <si>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</si>
  <si>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</si>
  <si>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</si>
  <si>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</si>
  <si>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</si>
  <si>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</si>
  <si>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</si>
  <si>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</si>
  <si>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</si>
  <si>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</si>
  <si>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</si>
  <si>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</si>
  <si>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</si>
  <si>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</si>
  <si>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</si>
  <si>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</si>
  <si>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</si>
  <si>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</si>
  <si>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</si>
  <si>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</si>
  <si>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</si>
  <si>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</si>
  <si>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</si>
  <si>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</si>
  <si>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</si>
  <si>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</si>
  <si>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</si>
  <si>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</si>
  <si>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</si>
  <si>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</si>
  <si>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</si>
  <si>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</si>
  <si>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</si>
  <si>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</si>
  <si>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</si>
  <si>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</si>
  <si>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</si>
  <si>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</si>
  <si>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</si>
  <si>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</si>
  <si>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</si>
  <si>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</si>
  <si>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</si>
  <si>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</si>
  <si>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</si>
  <si>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</si>
  <si>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</si>
  <si>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</si>
  <si>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</si>
  <si>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</si>
  <si>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</si>
  <si>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</si>
  <si>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</si>
  <si>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</si>
  <si>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</si>
  <si>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</si>
  <si>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</si>
  <si>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</si>
  <si>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</si>
  <si>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</si>
  <si>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</si>
  <si>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</si>
  <si>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</si>
  <si>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</si>
  <si>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</si>
  <si>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</si>
  <si>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</si>
  <si>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</si>
  <si>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</si>
  <si>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</si>
  <si>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</si>
  <si>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</si>
  <si>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</si>
  <si>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</si>
  <si>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</si>
  <si>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</si>
  <si>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</si>
  <si>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</si>
  <si>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</si>
  <si>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</si>
  <si>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</si>
  <si>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</si>
  <si>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</si>
  <si>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</si>
  <si>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</si>
  <si>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</si>
  <si>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</si>
  <si>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</si>
  <si>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</si>
  <si>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</si>
  <si>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</si>
  <si>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</si>
  <si>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</si>
  <si>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</si>
  <si>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</si>
  <si>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</si>
  <si>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</si>
  <si>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</si>
  <si>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</si>
  <si>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</si>
  <si>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</si>
  <si>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</si>
  <si>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</si>
  <si>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</si>
  <si>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</si>
  <si>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</si>
  <si>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</si>
  <si>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</si>
  <si>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</si>
  <si>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</si>
  <si>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</si>
  <si>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</si>
  <si>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</si>
  <si>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</si>
  <si>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</si>
  <si>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</si>
  <si>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</si>
  <si>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</si>
  <si>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</si>
  <si>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</si>
  <si>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</si>
  <si>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</si>
  <si>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</si>
  <si>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</si>
  <si>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</si>
  <si>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</si>
  <si>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</si>
  <si>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</si>
  <si>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</si>
  <si>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</si>
  <si>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</si>
  <si>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</si>
  <si>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</si>
  <si>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</si>
  <si>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</si>
  <si>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</si>
  <si>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</si>
  <si>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</si>
  <si>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</si>
  <si>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</si>
  <si>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</si>
  <si>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</si>
  <si>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</si>
  <si>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</si>
  <si>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</si>
  <si>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</si>
  <si>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</si>
  <si>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</si>
  <si>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</si>
  <si>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</si>
  <si>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</si>
  <si>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</si>
  <si>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</si>
  <si>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</si>
  <si>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</si>
  <si>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</si>
  <si>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</si>
  <si>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</si>
  <si>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</si>
  <si>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</si>
  <si>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</si>
  <si>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</si>
  <si>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</si>
  <si>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</si>
  <si>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</si>
  <si>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</si>
  <si>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</si>
  <si>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</si>
  <si>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</si>
  <si>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</si>
  <si>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</si>
  <si>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</si>
  <si>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</si>
  <si>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</si>
  <si>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</si>
  <si>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</si>
  <si>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</si>
  <si>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</si>
  <si>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</si>
  <si>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</si>
  <si>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</si>
  <si>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</si>
  <si>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</si>
  <si>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</si>
  <si>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</si>
  <si>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</si>
  <si>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</si>
  <si>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</si>
  <si>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</si>
  <si>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</si>
  <si>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</si>
  <si>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</si>
  <si>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</si>
  <si>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</si>
  <si>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</si>
  <si>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</si>
  <si>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</si>
  <si>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</si>
  <si>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</si>
  <si>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</si>
  <si>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</si>
  <si>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</si>
  <si>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</si>
  <si>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</si>
  <si>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</si>
  <si>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</si>
  <si>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</si>
  <si>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</si>
  <si>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</si>
  <si>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</si>
  <si>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</si>
  <si>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</si>
  <si>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</si>
  <si>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</si>
  <si>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</si>
  <si>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</si>
  <si>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</si>
  <si>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</si>
  <si>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</si>
  <si>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</si>
  <si>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</si>
  <si>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</si>
  <si>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</si>
  <si>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</si>
  <si>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</si>
  <si>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</si>
  <si>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</si>
  <si>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</si>
  <si>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</si>
  <si>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</si>
  <si>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</si>
  <si>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</si>
  <si>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</si>
  <si>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</si>
  <si>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</si>
  <si>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</si>
  <si>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</si>
  <si>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</si>
  <si>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</si>
  <si>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</si>
  <si>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</si>
  <si>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</si>
  <si>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</si>
  <si>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</si>
  <si>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</si>
  <si>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</si>
  <si>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</si>
  <si>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</si>
  <si>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</si>
  <si>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</si>
  <si>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</si>
  <si>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</si>
  <si>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</si>
  <si>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</si>
  <si>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</si>
  <si>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</si>
  <si>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</si>
  <si>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</si>
  <si>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</si>
  <si>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</si>
  <si>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</si>
  <si>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</si>
  <si>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</si>
  <si>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</si>
  <si>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</si>
  <si>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</si>
  <si>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</si>
  <si>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</si>
  <si>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</si>
  <si>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</si>
  <si>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</si>
  <si>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</si>
  <si>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</si>
  <si>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</si>
  <si>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</si>
  <si>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</si>
  <si>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</si>
  <si>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</si>
  <si>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</si>
  <si>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</si>
  <si>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</si>
  <si>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</si>
  <si>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</si>
  <si>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</si>
  <si>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</si>
  <si>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</si>
  <si>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</si>
  <si>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</si>
  <si>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</si>
  <si>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</si>
  <si>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</si>
  <si>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</si>
  <si>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</si>
  <si>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</si>
  <si>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</si>
  <si>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</si>
  <si>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</si>
  <si>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</si>
  <si>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</si>
  <si>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</si>
  <si>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</si>
  <si>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</si>
  <si>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</si>
  <si>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</si>
  <si>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</si>
  <si>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</si>
  <si>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</si>
  <si>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</si>
  <si>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</si>
  <si>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</si>
  <si>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</si>
  <si>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</si>
  <si>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</si>
  <si>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</si>
  <si>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</si>
  <si>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</si>
  <si>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</si>
  <si>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</si>
  <si>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</si>
  <si>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</si>
  <si>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</si>
  <si>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</si>
  <si>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</si>
  <si>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</si>
  <si>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</si>
  <si>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</si>
  <si>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</si>
  <si>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</si>
  <si>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</si>
  <si>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</si>
  <si>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</si>
  <si>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</si>
  <si>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</si>
  <si>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</si>
  <si>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</si>
  <si>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</si>
  <si>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</si>
  <si>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</si>
  <si>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</si>
  <si>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</si>
  <si>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</si>
  <si>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</si>
  <si>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</si>
  <si>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</si>
  <si>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</si>
  <si>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</si>
  <si>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</si>
  <si>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</si>
  <si>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</si>
  <si>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</si>
  <si>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</si>
  <si>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</si>
  <si>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</si>
  <si>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</si>
  <si>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</si>
  <si>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</si>
  <si>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</si>
  <si>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</si>
  <si>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</si>
  <si>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</si>
  <si>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</si>
  <si>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</si>
  <si>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</si>
  <si>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</si>
  <si>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</si>
  <si>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</si>
  <si>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</si>
  <si>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</si>
  <si>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</si>
  <si>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</si>
  <si>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</si>
  <si>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</si>
  <si>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</si>
  <si>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</si>
  <si>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</si>
  <si>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</si>
  <si>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</si>
  <si>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</si>
  <si>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</si>
  <si>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</si>
  <si>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</si>
  <si>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</si>
  <si>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</si>
  <si>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</si>
  <si>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</si>
  <si>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</si>
  <si>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</si>
  <si>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</si>
  <si>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</si>
  <si>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</si>
  <si>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</si>
  <si>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</si>
  <si>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</si>
  <si>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</si>
  <si>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</si>
  <si>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</si>
  <si>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</si>
  <si>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</si>
  <si>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</si>
  <si>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</si>
  <si>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</si>
  <si>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</si>
  <si>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</si>
  <si>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</si>
  <si>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</si>
  <si>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</si>
  <si>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</si>
  <si>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</si>
  <si>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</si>
  <si>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</si>
  <si>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</si>
  <si>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</si>
  <si>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</si>
  <si>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</si>
  <si>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</si>
  <si>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</si>
  <si>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</si>
  <si>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</si>
  <si>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</si>
  <si>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</si>
  <si>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</si>
  <si>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</si>
  <si>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</si>
  <si>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</si>
  <si>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</si>
  <si>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</si>
  <si>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</si>
  <si>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</si>
  <si>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</si>
  <si>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</si>
  <si>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</si>
  <si>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</si>
  <si>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</si>
  <si>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</si>
  <si>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</si>
  <si>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</si>
  <si>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</si>
  <si>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</si>
  <si>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</si>
  <si>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</si>
  <si>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</si>
  <si>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</si>
  <si>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</si>
  <si>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</si>
  <si>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</si>
  <si>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</si>
  <si>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</si>
  <si>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</si>
  <si>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</si>
  <si>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</si>
  <si>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</si>
  <si>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</si>
  <si>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</si>
  <si>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</si>
  <si>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</si>
  <si>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</si>
  <si>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</si>
  <si>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</si>
  <si>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</si>
  <si>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</si>
  <si>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</si>
  <si>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</si>
  <si>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</si>
  <si>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</si>
  <si>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</si>
  <si>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</si>
  <si>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</si>
  <si>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</si>
  <si>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</si>
  <si>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</si>
  <si>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</si>
  <si>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</si>
  <si>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</si>
  <si>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</si>
  <si>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</si>
  <si>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</si>
  <si>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</si>
  <si>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</si>
  <si>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</si>
  <si>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</si>
  <si>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</si>
  <si>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</si>
  <si>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</si>
  <si>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</si>
  <si>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</si>
  <si>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</si>
  <si>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</si>
  <si>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</si>
  <si>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</si>
  <si>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</si>
  <si>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</si>
  <si>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</si>
  <si>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</si>
  <si>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</si>
  <si>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</si>
  <si>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</si>
  <si>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</si>
  <si>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</si>
  <si>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</si>
  <si>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</si>
  <si>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</si>
  <si>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</si>
  <si>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</si>
  <si>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</si>
  <si>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</si>
  <si>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</si>
  <si>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</si>
  <si>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</si>
  <si>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</si>
  <si>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33040</t>
  </si>
  <si>
    <t>LANGEMARK-POELKAPELLE</t>
  </si>
  <si>
    <t>Paarden&amp;pony's 200 - 600 kg</t>
  </si>
  <si>
    <t>Paarden&amp;pony's &lt; 200 kg</t>
  </si>
  <si>
    <t>referentietaak LNE (2017); Jaarverslag De Lijn (2015)</t>
  </si>
  <si>
    <t>op basis van VEA (maart 2018) en Inventaris Hernieuwbare Energiebronnen (juni 2018)</t>
  </si>
  <si>
    <t>VEA (januari 2017)</t>
  </si>
  <si>
    <t>VEA (juni 2018)</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</si>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</sst>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72651.675994475576</c:v>
                </c:pt>
                <c:pt idx="1">
                  <c:v>17681.467028741165</c:v>
                </c:pt>
                <c:pt idx="2">
                  <c:v>727.30799999999999</c:v>
                </c:pt>
                <c:pt idx="3">
                  <c:v>35797.477631653768</c:v>
                </c:pt>
                <c:pt idx="4">
                  <c:v>344674.2350503559</c:v>
                </c:pt>
                <c:pt idx="5">
                  <c:v>56252.75804699985</c:v>
                </c:pt>
                <c:pt idx="6">
                  <c:v>1022.5985157007594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72651.675994475576</c:v>
                </c:pt>
                <c:pt idx="1">
                  <c:v>17681.467028741165</c:v>
                </c:pt>
                <c:pt idx="2">
                  <c:v>727.30799999999999</c:v>
                </c:pt>
                <c:pt idx="3">
                  <c:v>35797.477631653768</c:v>
                </c:pt>
                <c:pt idx="4">
                  <c:v>344674.2350503559</c:v>
                </c:pt>
                <c:pt idx="5">
                  <c:v>56252.75804699985</c:v>
                </c:pt>
                <c:pt idx="6">
                  <c:v>1022.5985157007594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14533.859466138747</c:v>
                </c:pt>
                <c:pt idx="2">
                  <c:v>3666.7531068624776</c:v>
                </c:pt>
                <c:pt idx="3">
                  <c:v>153.41645758626831</c:v>
                </c:pt>
                <c:pt idx="4">
                  <c:v>8821.9601380903514</c:v>
                </c:pt>
                <c:pt idx="5">
                  <c:v>67605.592112979837</c:v>
                </c:pt>
                <c:pt idx="6">
                  <c:v>14385.717124338749</c:v>
                </c:pt>
                <c:pt idx="7">
                  <c:v>264.81968937747905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14533.859466138747</c:v>
                </c:pt>
                <c:pt idx="2">
                  <c:v>3666.7531068624776</c:v>
                </c:pt>
                <c:pt idx="3">
                  <c:v>153.41645758626831</c:v>
                </c:pt>
                <c:pt idx="4">
                  <c:v>8821.9601380903514</c:v>
                </c:pt>
                <c:pt idx="5">
                  <c:v>67605.592112979837</c:v>
                </c:pt>
                <c:pt idx="6">
                  <c:v>14385.717124338749</c:v>
                </c:pt>
                <c:pt idx="7">
                  <c:v>264.81968937747905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33040</v>
      </c>
      <c r="B6" s="415"/>
      <c r="C6" s="416"/>
    </row>
    <row r="7" spans="1:7" s="413" customFormat="1" ht="15.75" customHeight="1">
      <c r="A7" s="417" t="str">
        <f>txtMunicipality</f>
        <v>LANGEMARK-POELKAPELLE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0.21093739871728115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0.21093739871728115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3217</v>
      </c>
      <c r="C9" s="342">
        <v>3227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4239.13</v>
      </c>
    </row>
    <row r="15" spans="1:6">
      <c r="A15" s="348" t="s">
        <v>184</v>
      </c>
      <c r="B15" s="334">
        <v>974</v>
      </c>
    </row>
    <row r="16" spans="1:6">
      <c r="A16" s="348" t="s">
        <v>6</v>
      </c>
      <c r="B16" s="334">
        <v>1367</v>
      </c>
    </row>
    <row r="17" spans="1:6">
      <c r="A17" s="348" t="s">
        <v>7</v>
      </c>
      <c r="B17" s="334">
        <v>1314</v>
      </c>
    </row>
    <row r="18" spans="1:6">
      <c r="A18" s="348" t="s">
        <v>8</v>
      </c>
      <c r="B18" s="334">
        <v>1938</v>
      </c>
    </row>
    <row r="19" spans="1:6">
      <c r="A19" s="348" t="s">
        <v>9</v>
      </c>
      <c r="B19" s="334">
        <v>2524</v>
      </c>
    </row>
    <row r="20" spans="1:6">
      <c r="A20" s="348" t="s">
        <v>10</v>
      </c>
      <c r="B20" s="334">
        <v>1073</v>
      </c>
    </row>
    <row r="21" spans="1:6">
      <c r="A21" s="348" t="s">
        <v>11</v>
      </c>
      <c r="B21" s="334">
        <v>14652</v>
      </c>
    </row>
    <row r="22" spans="1:6">
      <c r="A22" s="348" t="s">
        <v>12</v>
      </c>
      <c r="B22" s="334">
        <v>64530</v>
      </c>
    </row>
    <row r="23" spans="1:6">
      <c r="A23" s="348" t="s">
        <v>13</v>
      </c>
      <c r="B23" s="334">
        <v>608</v>
      </c>
    </row>
    <row r="24" spans="1:6">
      <c r="A24" s="348" t="s">
        <v>14</v>
      </c>
      <c r="B24" s="334">
        <v>30</v>
      </c>
    </row>
    <row r="25" spans="1:6">
      <c r="A25" s="348" t="s">
        <v>15</v>
      </c>
      <c r="B25" s="334">
        <v>3701</v>
      </c>
    </row>
    <row r="26" spans="1:6">
      <c r="A26" s="348" t="s">
        <v>16</v>
      </c>
      <c r="B26" s="334">
        <v>426</v>
      </c>
    </row>
    <row r="27" spans="1:6">
      <c r="A27" s="348" t="s">
        <v>17</v>
      </c>
      <c r="B27" s="334">
        <v>23</v>
      </c>
    </row>
    <row r="28" spans="1:6" s="356" customFormat="1">
      <c r="A28" s="355" t="s">
        <v>18</v>
      </c>
      <c r="B28" s="355">
        <v>528469</v>
      </c>
    </row>
    <row r="29" spans="1:6">
      <c r="A29" s="355" t="s">
        <v>884</v>
      </c>
      <c r="B29" s="355">
        <v>92</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1420</v>
      </c>
      <c r="D39" s="334">
        <v>20366642.673</v>
      </c>
      <c r="E39" s="334">
        <v>2897</v>
      </c>
      <c r="F39" s="334">
        <v>11213700.415999999</v>
      </c>
    </row>
    <row r="40" spans="1:6">
      <c r="A40" s="348" t="s">
        <v>30</v>
      </c>
      <c r="B40" s="348" t="s">
        <v>29</v>
      </c>
      <c r="C40" s="334">
        <v>0</v>
      </c>
      <c r="D40" s="334">
        <v>0</v>
      </c>
      <c r="E40" s="334">
        <v>0</v>
      </c>
      <c r="F40" s="334">
        <v>0</v>
      </c>
    </row>
    <row r="41" spans="1:6">
      <c r="A41" s="348" t="s">
        <v>32</v>
      </c>
      <c r="B41" s="348" t="s">
        <v>33</v>
      </c>
      <c r="C41" s="334">
        <v>15</v>
      </c>
      <c r="D41" s="334">
        <v>214466.70408</v>
      </c>
      <c r="E41" s="334">
        <v>70</v>
      </c>
      <c r="F41" s="334">
        <v>380005.12401999999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5070.6523884999997</v>
      </c>
    </row>
    <row r="48" spans="1:6">
      <c r="A48" s="348" t="s">
        <v>32</v>
      </c>
      <c r="B48" s="348" t="s">
        <v>29</v>
      </c>
      <c r="C48" s="334">
        <v>16</v>
      </c>
      <c r="D48" s="334">
        <v>294266743.51999998</v>
      </c>
      <c r="E48" s="334">
        <v>35</v>
      </c>
      <c r="F48" s="334">
        <v>14162603.577</v>
      </c>
    </row>
    <row r="49" spans="1:6">
      <c r="A49" s="348" t="s">
        <v>32</v>
      </c>
      <c r="B49" s="348" t="s">
        <v>40</v>
      </c>
      <c r="C49" s="334">
        <v>0</v>
      </c>
      <c r="D49" s="334">
        <v>0</v>
      </c>
      <c r="E49" s="334">
        <v>0</v>
      </c>
      <c r="F49" s="334">
        <v>0</v>
      </c>
    </row>
    <row r="50" spans="1:6">
      <c r="A50" s="348" t="s">
        <v>32</v>
      </c>
      <c r="B50" s="348" t="s">
        <v>41</v>
      </c>
      <c r="C50" s="334">
        <v>0</v>
      </c>
      <c r="D50" s="334">
        <v>0</v>
      </c>
      <c r="E50" s="334">
        <v>13</v>
      </c>
      <c r="F50" s="334">
        <v>35119258.794</v>
      </c>
    </row>
    <row r="51" spans="1:6">
      <c r="A51" s="348" t="s">
        <v>42</v>
      </c>
      <c r="B51" s="348" t="s">
        <v>43</v>
      </c>
      <c r="C51" s="334">
        <v>14</v>
      </c>
      <c r="D51" s="334">
        <v>25373559.932999998</v>
      </c>
      <c r="E51" s="334">
        <v>197</v>
      </c>
      <c r="F51" s="334">
        <v>4621096.6902000001</v>
      </c>
    </row>
    <row r="52" spans="1:6">
      <c r="A52" s="348" t="s">
        <v>42</v>
      </c>
      <c r="B52" s="348" t="s">
        <v>29</v>
      </c>
      <c r="C52" s="334">
        <v>1</v>
      </c>
      <c r="D52" s="334">
        <v>4465.2838771999996</v>
      </c>
      <c r="E52" s="334">
        <v>3</v>
      </c>
      <c r="F52" s="334">
        <v>29086.916504000001</v>
      </c>
    </row>
    <row r="53" spans="1:6">
      <c r="A53" s="348" t="s">
        <v>44</v>
      </c>
      <c r="B53" s="348" t="s">
        <v>45</v>
      </c>
      <c r="C53" s="334">
        <v>37</v>
      </c>
      <c r="D53" s="334">
        <v>687165.40078999999</v>
      </c>
      <c r="E53" s="334">
        <v>103</v>
      </c>
      <c r="F53" s="334">
        <v>913591.71193999995</v>
      </c>
    </row>
    <row r="54" spans="1:6">
      <c r="A54" s="348" t="s">
        <v>46</v>
      </c>
      <c r="B54" s="348" t="s">
        <v>47</v>
      </c>
      <c r="C54" s="334">
        <v>0</v>
      </c>
      <c r="D54" s="334">
        <v>0</v>
      </c>
      <c r="E54" s="334">
        <v>1</v>
      </c>
      <c r="F54" s="334">
        <v>727308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97923.659402999998</v>
      </c>
      <c r="E57" s="334">
        <v>28</v>
      </c>
      <c r="F57" s="334">
        <v>323884.27084999997</v>
      </c>
    </row>
    <row r="58" spans="1:6">
      <c r="A58" s="348" t="s">
        <v>49</v>
      </c>
      <c r="B58" s="348" t="s">
        <v>51</v>
      </c>
      <c r="C58" s="334">
        <v>3</v>
      </c>
      <c r="D58" s="334">
        <v>64409.476673999998</v>
      </c>
      <c r="E58" s="334">
        <v>7</v>
      </c>
      <c r="F58" s="334">
        <v>26611.915196999998</v>
      </c>
    </row>
    <row r="59" spans="1:6">
      <c r="A59" s="348" t="s">
        <v>49</v>
      </c>
      <c r="B59" s="348" t="s">
        <v>52</v>
      </c>
      <c r="C59" s="334">
        <v>3</v>
      </c>
      <c r="D59" s="334">
        <v>168878.52158999999</v>
      </c>
      <c r="E59" s="334">
        <v>74</v>
      </c>
      <c r="F59" s="334">
        <v>2871532.4928000001</v>
      </c>
    </row>
    <row r="60" spans="1:6">
      <c r="A60" s="348" t="s">
        <v>49</v>
      </c>
      <c r="B60" s="348" t="s">
        <v>53</v>
      </c>
      <c r="C60" s="334">
        <v>14</v>
      </c>
      <c r="D60" s="334">
        <v>374579.43923999998</v>
      </c>
      <c r="E60" s="334">
        <v>31</v>
      </c>
      <c r="F60" s="334">
        <v>606071.37239999999</v>
      </c>
    </row>
    <row r="61" spans="1:6">
      <c r="A61" s="348" t="s">
        <v>49</v>
      </c>
      <c r="B61" s="348" t="s">
        <v>54</v>
      </c>
      <c r="C61" s="334">
        <v>36</v>
      </c>
      <c r="D61" s="334">
        <v>2200398.4273000001</v>
      </c>
      <c r="E61" s="334">
        <v>91</v>
      </c>
      <c r="F61" s="334">
        <v>1355223.3722999999</v>
      </c>
    </row>
    <row r="62" spans="1:6">
      <c r="A62" s="348" t="s">
        <v>49</v>
      </c>
      <c r="B62" s="348" t="s">
        <v>55</v>
      </c>
      <c r="C62" s="334">
        <v>6</v>
      </c>
      <c r="D62" s="334">
        <v>447288.05067000003</v>
      </c>
      <c r="E62" s="334">
        <v>6</v>
      </c>
      <c r="F62" s="334">
        <v>64113.399079000003</v>
      </c>
    </row>
    <row r="63" spans="1:6">
      <c r="A63" s="348" t="s">
        <v>49</v>
      </c>
      <c r="B63" s="348" t="s">
        <v>29</v>
      </c>
      <c r="C63" s="334">
        <v>55</v>
      </c>
      <c r="D63" s="334">
        <v>5189640.4395000003</v>
      </c>
      <c r="E63" s="334">
        <v>79</v>
      </c>
      <c r="F63" s="334">
        <v>2232131.6508999998</v>
      </c>
    </row>
    <row r="64" spans="1:6">
      <c r="A64" s="348" t="s">
        <v>56</v>
      </c>
      <c r="B64" s="348" t="s">
        <v>57</v>
      </c>
      <c r="C64" s="334">
        <v>0</v>
      </c>
      <c r="D64" s="334">
        <v>0</v>
      </c>
      <c r="E64" s="334">
        <v>0</v>
      </c>
      <c r="F64" s="334">
        <v>0</v>
      </c>
    </row>
    <row r="65" spans="1:6">
      <c r="A65" s="348" t="s">
        <v>56</v>
      </c>
      <c r="B65" s="348" t="s">
        <v>29</v>
      </c>
      <c r="C65" s="334">
        <v>1</v>
      </c>
      <c r="D65" s="334">
        <v>7696.7200476999997</v>
      </c>
      <c r="E65" s="334">
        <v>2</v>
      </c>
      <c r="F65" s="334">
        <v>21328.934179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18190.227634999999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33306451</v>
      </c>
      <c r="E73" s="475">
        <v>33590433.088115074</v>
      </c>
    </row>
    <row r="74" spans="1:6">
      <c r="A74" s="348" t="s">
        <v>64</v>
      </c>
      <c r="B74" s="348" t="s">
        <v>667</v>
      </c>
      <c r="C74" s="1294" t="s">
        <v>669</v>
      </c>
      <c r="D74" s="475">
        <v>2866837.9899291256</v>
      </c>
      <c r="E74" s="475">
        <v>3128574.9851236753</v>
      </c>
    </row>
    <row r="75" spans="1:6">
      <c r="A75" s="348" t="s">
        <v>65</v>
      </c>
      <c r="B75" s="348" t="s">
        <v>666</v>
      </c>
      <c r="C75" s="1294" t="s">
        <v>670</v>
      </c>
      <c r="D75" s="475">
        <v>23770882</v>
      </c>
      <c r="E75" s="475">
        <v>26968816.197705828</v>
      </c>
    </row>
    <row r="76" spans="1:6">
      <c r="A76" s="348" t="s">
        <v>65</v>
      </c>
      <c r="B76" s="348" t="s">
        <v>667</v>
      </c>
      <c r="C76" s="1294" t="s">
        <v>671</v>
      </c>
      <c r="D76" s="475">
        <v>1603235.9899291256</v>
      </c>
      <c r="E76" s="475">
        <v>1789808.313683005</v>
      </c>
    </row>
    <row r="77" spans="1:6">
      <c r="A77" s="348" t="s">
        <v>66</v>
      </c>
      <c r="B77" s="348" t="s">
        <v>666</v>
      </c>
      <c r="C77" s="1294" t="s">
        <v>672</v>
      </c>
      <c r="D77" s="475">
        <v>1440094</v>
      </c>
      <c r="E77" s="475">
        <v>1562076.4244319277</v>
      </c>
    </row>
    <row r="78" spans="1:6">
      <c r="A78" s="341" t="s">
        <v>66</v>
      </c>
      <c r="B78" s="341" t="s">
        <v>667</v>
      </c>
      <c r="C78" s="341" t="s">
        <v>673</v>
      </c>
      <c r="D78" s="1295">
        <v>261520</v>
      </c>
      <c r="E78" s="1295">
        <v>272547.34152759443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274656.0201417486</v>
      </c>
      <c r="C83" s="475">
        <v>274656.0201417486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2507.7501002650656</v>
      </c>
    </row>
    <row r="92" spans="1:6">
      <c r="A92" s="341" t="s">
        <v>69</v>
      </c>
      <c r="B92" s="342">
        <v>1508.6088862856625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589</v>
      </c>
    </row>
    <row r="98" spans="1:6">
      <c r="A98" s="348" t="s">
        <v>72</v>
      </c>
      <c r="B98" s="334">
        <v>0</v>
      </c>
    </row>
    <row r="99" spans="1:6">
      <c r="A99" s="348" t="s">
        <v>73</v>
      </c>
      <c r="B99" s="334">
        <v>207</v>
      </c>
    </row>
    <row r="100" spans="1:6">
      <c r="A100" s="348" t="s">
        <v>74</v>
      </c>
      <c r="B100" s="334">
        <v>248</v>
      </c>
    </row>
    <row r="101" spans="1:6">
      <c r="A101" s="348" t="s">
        <v>75</v>
      </c>
      <c r="B101" s="334">
        <v>97</v>
      </c>
    </row>
    <row r="102" spans="1:6">
      <c r="A102" s="348" t="s">
        <v>76</v>
      </c>
      <c r="B102" s="334">
        <v>44</v>
      </c>
    </row>
    <row r="103" spans="1:6">
      <c r="A103" s="348" t="s">
        <v>77</v>
      </c>
      <c r="B103" s="334">
        <v>236</v>
      </c>
    </row>
    <row r="104" spans="1:6">
      <c r="A104" s="348" t="s">
        <v>78</v>
      </c>
      <c r="B104" s="334">
        <v>1428</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77172.753151302211</v>
      </c>
      <c r="C3" s="43" t="s">
        <v>170</v>
      </c>
      <c r="D3" s="43"/>
      <c r="E3" s="154"/>
      <c r="F3" s="43"/>
      <c r="G3" s="43"/>
      <c r="H3" s="43"/>
      <c r="I3" s="43"/>
      <c r="J3" s="43"/>
      <c r="K3" s="96"/>
    </row>
    <row r="4" spans="1:11">
      <c r="A4" s="383" t="s">
        <v>171</v>
      </c>
      <c r="B4" s="49">
        <f>IF(ISERROR('SEAP template'!B78+'SEAP template'!C78),0,'SEAP template'!B78+'SEAP template'!C78)</f>
        <v>10687.608986550727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1585.4029411764707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0.21093739871728115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2264.8613445378155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9530.3571428571431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727.30799999999999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727.30799999999999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0.21093739871728115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153.41645758626831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11213.700416</v>
      </c>
      <c r="C5" s="17">
        <f>IF(ISERROR('Eigen informatie GS &amp; warmtenet'!B57),0,'Eigen informatie GS &amp; warmtenet'!B57)</f>
        <v>0</v>
      </c>
      <c r="D5" s="30">
        <f>(SUM(HH_hh_gas_kWh,HH_rest_gas_kWh)/1000)*0.902</f>
        <v>18370.711691046003</v>
      </c>
      <c r="E5" s="17">
        <f>B46*B57</f>
        <v>8074.5859418105338</v>
      </c>
      <c r="F5" s="17">
        <f>B51*B62</f>
        <v>16555.099029417648</v>
      </c>
      <c r="G5" s="18"/>
      <c r="H5" s="17"/>
      <c r="I5" s="17"/>
      <c r="J5" s="17">
        <f>B50*B61+C50*C61</f>
        <v>4732.9553004889985</v>
      </c>
      <c r="K5" s="17"/>
      <c r="L5" s="17"/>
      <c r="M5" s="17"/>
      <c r="N5" s="17">
        <f>B48*B59+C48*C59</f>
        <v>10746.080182113994</v>
      </c>
      <c r="O5" s="17">
        <f>B69*B70*B71</f>
        <v>221.99333333333334</v>
      </c>
      <c r="P5" s="17">
        <f>B77*B78*B79/1000-B77*B78*B79/1000/B80</f>
        <v>228.8</v>
      </c>
    </row>
    <row r="6" spans="1:16">
      <c r="A6" s="16" t="s">
        <v>624</v>
      </c>
      <c r="B6" s="788">
        <f>kWh_PV_kleiner_dan_10kW</f>
        <v>2507.7501002650656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13721.450516265066</v>
      </c>
      <c r="C8" s="21">
        <f>C5</f>
        <v>0</v>
      </c>
      <c r="D8" s="21">
        <f>D5</f>
        <v>18370.711691046003</v>
      </c>
      <c r="E8" s="21">
        <f>E5</f>
        <v>8074.5859418105338</v>
      </c>
      <c r="F8" s="21">
        <f>F5</f>
        <v>16555.099029417648</v>
      </c>
      <c r="G8" s="21"/>
      <c r="H8" s="21"/>
      <c r="I8" s="21"/>
      <c r="J8" s="21">
        <f>J5</f>
        <v>4732.9553004889985</v>
      </c>
      <c r="K8" s="21"/>
      <c r="L8" s="21">
        <f>L5</f>
        <v>0</v>
      </c>
      <c r="M8" s="21">
        <f>M5</f>
        <v>0</v>
      </c>
      <c r="N8" s="21">
        <f>N5</f>
        <v>10746.080182113994</v>
      </c>
      <c r="O8" s="21">
        <f>O5</f>
        <v>221.99333333333334</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0.21093739871728115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2894.3670785288473</v>
      </c>
      <c r="C12" s="23">
        <f ca="1">C10*C8</f>
        <v>0</v>
      </c>
      <c r="D12" s="23">
        <f>D8*D10</f>
        <v>3710.8837615912926</v>
      </c>
      <c r="E12" s="23">
        <f>E10*E8</f>
        <v>1832.9310087909912</v>
      </c>
      <c r="F12" s="23">
        <f>F10*F8</f>
        <v>4420.2114408545121</v>
      </c>
      <c r="G12" s="23"/>
      <c r="H12" s="23"/>
      <c r="I12" s="23"/>
      <c r="J12" s="23">
        <f>J10*J8</f>
        <v>1675.4661763731053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589</v>
      </c>
      <c r="C18" s="166" t="s">
        <v>111</v>
      </c>
      <c r="D18" s="228"/>
      <c r="E18" s="15"/>
    </row>
    <row r="19" spans="1:7">
      <c r="A19" s="171" t="s">
        <v>72</v>
      </c>
      <c r="B19" s="37">
        <f>aantalw2001_ander</f>
        <v>0</v>
      </c>
      <c r="C19" s="166" t="s">
        <v>111</v>
      </c>
      <c r="D19" s="229"/>
      <c r="E19" s="15"/>
    </row>
    <row r="20" spans="1:7">
      <c r="A20" s="171" t="s">
        <v>73</v>
      </c>
      <c r="B20" s="37">
        <f>aantalw2001_propaan</f>
        <v>207</v>
      </c>
      <c r="C20" s="167">
        <f>IF(ISERROR(B20/SUM($B$20,$B$21,$B$22)*100),0,B20/SUM($B$20,$B$21,$B$22)*100)</f>
        <v>37.5</v>
      </c>
      <c r="D20" s="229"/>
      <c r="E20" s="15"/>
    </row>
    <row r="21" spans="1:7">
      <c r="A21" s="171" t="s">
        <v>74</v>
      </c>
      <c r="B21" s="37">
        <f>aantalw2001_elektriciteit</f>
        <v>248</v>
      </c>
      <c r="C21" s="167">
        <f>IF(ISERROR(B21/SUM($B$20,$B$21,$B$22)*100),0,B21/SUM($B$20,$B$21,$B$22)*100)</f>
        <v>44.927536231884055</v>
      </c>
      <c r="D21" s="229"/>
      <c r="E21" s="15"/>
    </row>
    <row r="22" spans="1:7">
      <c r="A22" s="171" t="s">
        <v>75</v>
      </c>
      <c r="B22" s="37">
        <f>aantalw2001_hout</f>
        <v>97</v>
      </c>
      <c r="C22" s="167">
        <f>IF(ISERROR(B22/SUM($B$20,$B$21,$B$22)*100),0,B22/SUM($B$20,$B$21,$B$22)*100)</f>
        <v>17.572463768115941</v>
      </c>
      <c r="D22" s="229"/>
      <c r="E22" s="15"/>
    </row>
    <row r="23" spans="1:7">
      <c r="A23" s="171" t="s">
        <v>76</v>
      </c>
      <c r="B23" s="37">
        <f>aantalw2001_niet_gespec</f>
        <v>44</v>
      </c>
      <c r="C23" s="166" t="s">
        <v>111</v>
      </c>
      <c r="D23" s="228"/>
      <c r="E23" s="15"/>
    </row>
    <row r="24" spans="1:7">
      <c r="A24" s="171" t="s">
        <v>77</v>
      </c>
      <c r="B24" s="37">
        <f>aantalw2001_steenkool</f>
        <v>236</v>
      </c>
      <c r="C24" s="166" t="s">
        <v>111</v>
      </c>
      <c r="D24" s="229"/>
      <c r="E24" s="15"/>
    </row>
    <row r="25" spans="1:7">
      <c r="A25" s="171" t="s">
        <v>78</v>
      </c>
      <c r="B25" s="37">
        <f>aantalw2001_stookolie</f>
        <v>1428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3217</v>
      </c>
      <c r="C28" s="36"/>
      <c r="D28" s="228"/>
    </row>
    <row r="29" spans="1:7" s="15" customFormat="1">
      <c r="A29" s="230" t="s">
        <v>699</v>
      </c>
      <c r="B29" s="37">
        <f>SUM(HH_hh_gas_aantal,HH_rest_gas_aantal)</f>
        <v>1420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1420</v>
      </c>
      <c r="C32" s="167">
        <f>IF(ISERROR(B32/SUM($B$32,$B$34,$B$35,$B$36,$B$38,$B$39)*100),0,B32/SUM($B$32,$B$34,$B$35,$B$36,$B$38,$B$39)*100)</f>
        <v>44.305772230889232</v>
      </c>
      <c r="D32" s="233"/>
      <c r="G32" s="15"/>
    </row>
    <row r="33" spans="1:7">
      <c r="A33" s="171" t="s">
        <v>72</v>
      </c>
      <c r="B33" s="34" t="s">
        <v>111</v>
      </c>
      <c r="C33" s="167"/>
      <c r="D33" s="233"/>
      <c r="G33" s="15"/>
    </row>
    <row r="34" spans="1:7">
      <c r="A34" s="171" t="s">
        <v>73</v>
      </c>
      <c r="B34" s="33">
        <f>IF((($B$28-$B$32-$B$39-$B$77-$B$38)*C20/100)&lt;0,0,($B$28-$B$32-$B$39-$B$77-$B$38)*C20/100)</f>
        <v>357.00000000000006</v>
      </c>
      <c r="C34" s="167">
        <f>IF(ISERROR(B34/SUM($B$32,$B$34,$B$35,$B$36,$B$38,$B$39)*100),0,B34/SUM($B$32,$B$34,$B$35,$B$36,$B$38,$B$39)*100)</f>
        <v>11.138845553822154</v>
      </c>
      <c r="D34" s="233"/>
      <c r="G34" s="15"/>
    </row>
    <row r="35" spans="1:7">
      <c r="A35" s="171" t="s">
        <v>74</v>
      </c>
      <c r="B35" s="33">
        <f>IF((($B$28-$B$32-$B$39-$B$77-$B$38)*C21/100)&lt;0,0,($B$28-$B$32-$B$39-$B$77-$B$38)*C21/100)</f>
        <v>427.71014492753625</v>
      </c>
      <c r="C35" s="167">
        <f>IF(ISERROR(B35/SUM($B$32,$B$34,$B$35,$B$36,$B$38,$B$39)*100),0,B35/SUM($B$32,$B$34,$B$35,$B$36,$B$38,$B$39)*100)</f>
        <v>13.345090325352146</v>
      </c>
      <c r="D35" s="233"/>
      <c r="G35" s="15"/>
    </row>
    <row r="36" spans="1:7">
      <c r="A36" s="171" t="s">
        <v>75</v>
      </c>
      <c r="B36" s="33">
        <f>IF((($B$28-$B$32-$B$39-$B$77-$B$38)*C22/100)&lt;0,0,($B$28-$B$32-$B$39-$B$77-$B$38)*C22/100)</f>
        <v>167.28985507246381</v>
      </c>
      <c r="C36" s="167">
        <f>IF(ISERROR(B36/SUM($B$32,$B$34,$B$35,$B$36,$B$38,$B$39)*100),0,B36/SUM($B$32,$B$34,$B$35,$B$36,$B$38,$B$39)*100)</f>
        <v>5.2196522643514456</v>
      </c>
      <c r="D36" s="233"/>
      <c r="G36" s="15"/>
    </row>
    <row r="37" spans="1:7">
      <c r="A37" s="171" t="s">
        <v>76</v>
      </c>
      <c r="B37" s="34" t="s">
        <v>111</v>
      </c>
      <c r="C37" s="167"/>
      <c r="D37" s="173"/>
      <c r="G37" s="15"/>
    </row>
    <row r="38" spans="1:7">
      <c r="A38" s="171" t="s">
        <v>77</v>
      </c>
      <c r="B38" s="33">
        <f>IF((B24-(B29-B18)*0.1)&lt;0,0,B24-(B29-B18)*0.1)</f>
        <v>152.89999999999998</v>
      </c>
      <c r="C38" s="167">
        <f>IF(ISERROR(B38/SUM($B$32,$B$34,$B$35,$B$36,$B$38,$B$39)*100),0,B38/SUM($B$32,$B$34,$B$35,$B$36,$B$38,$B$39)*100)</f>
        <v>4.7706708268330722</v>
      </c>
      <c r="D38" s="234"/>
      <c r="G38" s="15"/>
    </row>
    <row r="39" spans="1:7">
      <c r="A39" s="171" t="s">
        <v>78</v>
      </c>
      <c r="B39" s="33">
        <f>IF((B25-(B29-B18))&lt;0,0,B25-(B29-B18)*0.9)</f>
        <v>680.1</v>
      </c>
      <c r="C39" s="167">
        <f>IF(ISERROR(B39/SUM($B$32,$B$34,$B$35,$B$36,$B$38,$B$39)*100),0,B39/SUM($B$32,$B$34,$B$35,$B$36,$B$38,$B$39)*100)</f>
        <v>21.21996879875195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1420</v>
      </c>
      <c r="C44" s="34" t="s">
        <v>111</v>
      </c>
      <c r="D44" s="174"/>
    </row>
    <row r="45" spans="1:7">
      <c r="A45" s="171" t="s">
        <v>72</v>
      </c>
      <c r="B45" s="33" t="str">
        <f t="shared" si="0"/>
        <v>-</v>
      </c>
      <c r="C45" s="34" t="s">
        <v>111</v>
      </c>
      <c r="D45" s="174"/>
    </row>
    <row r="46" spans="1:7">
      <c r="A46" s="171" t="s">
        <v>73</v>
      </c>
      <c r="B46" s="33">
        <f t="shared" si="0"/>
        <v>357.00000000000006</v>
      </c>
      <c r="C46" s="34" t="s">
        <v>111</v>
      </c>
      <c r="D46" s="174"/>
    </row>
    <row r="47" spans="1:7">
      <c r="A47" s="171" t="s">
        <v>74</v>
      </c>
      <c r="B47" s="33">
        <f t="shared" si="0"/>
        <v>427.71014492753625</v>
      </c>
      <c r="C47" s="34" t="s">
        <v>111</v>
      </c>
      <c r="D47" s="174"/>
    </row>
    <row r="48" spans="1:7">
      <c r="A48" s="171" t="s">
        <v>75</v>
      </c>
      <c r="B48" s="33">
        <f t="shared" si="0"/>
        <v>167.28985507246381</v>
      </c>
      <c r="C48" s="33">
        <f>B48*10</f>
        <v>1672.898550724638</v>
      </c>
      <c r="D48" s="234"/>
    </row>
    <row r="49" spans="1:6">
      <c r="A49" s="171" t="s">
        <v>76</v>
      </c>
      <c r="B49" s="33" t="str">
        <f t="shared" si="0"/>
        <v>-</v>
      </c>
      <c r="C49" s="34" t="s">
        <v>111</v>
      </c>
      <c r="D49" s="234"/>
    </row>
    <row r="50" spans="1:6">
      <c r="A50" s="171" t="s">
        <v>77</v>
      </c>
      <c r="B50" s="33">
        <f t="shared" si="0"/>
        <v>152.89999999999998</v>
      </c>
      <c r="C50" s="33">
        <f>B50*2</f>
        <v>305.79999999999995</v>
      </c>
      <c r="D50" s="234"/>
    </row>
    <row r="51" spans="1:6">
      <c r="A51" s="171" t="s">
        <v>78</v>
      </c>
      <c r="B51" s="33">
        <f t="shared" si="0"/>
        <v>680.1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7479.5684735259993</v>
      </c>
      <c r="C5" s="17">
        <f>IF(ISERROR('Eigen informatie GS &amp; warmtenet'!B58),0,'Eigen informatie GS &amp; warmtenet'!B58)</f>
        <v>0</v>
      </c>
      <c r="D5" s="30">
        <f>SUM(D6:D12)</f>
        <v>7705.8924489680539</v>
      </c>
      <c r="E5" s="17">
        <f>SUM(E6:E12)</f>
        <v>168.33218596933179</v>
      </c>
      <c r="F5" s="17">
        <f>SUM(F6:F12)</f>
        <v>1851.0513431555532</v>
      </c>
      <c r="G5" s="18"/>
      <c r="H5" s="17"/>
      <c r="I5" s="17"/>
      <c r="J5" s="17">
        <f>SUM(J6:J12)</f>
        <v>0</v>
      </c>
      <c r="K5" s="17"/>
      <c r="L5" s="17"/>
      <c r="M5" s="17"/>
      <c r="N5" s="17">
        <f>SUM(N6:N12)</f>
        <v>457.55591045556082</v>
      </c>
      <c r="O5" s="17">
        <f>B38*B39*B40</f>
        <v>0</v>
      </c>
      <c r="P5" s="17">
        <f>B46*B47*B48/1000-B46*B47*B48/1000/B49</f>
        <v>19.066666666666666</v>
      </c>
      <c r="R5" s="32"/>
    </row>
    <row r="6" spans="1:18">
      <c r="A6" s="32" t="s">
        <v>54</v>
      </c>
      <c r="B6" s="37">
        <f>B26</f>
        <v>1355.2233722999999</v>
      </c>
      <c r="C6" s="33"/>
      <c r="D6" s="37">
        <f>IF(ISERROR(TER_kantoor_gas_kWh/1000),0,TER_kantoor_gas_kWh/1000)*0.902</f>
        <v>1984.7593814246002</v>
      </c>
      <c r="E6" s="33">
        <f>$C$26*'E Balans VL '!I12/100/3.6*1000000</f>
        <v>17.741543336532953</v>
      </c>
      <c r="F6" s="33">
        <f>$C$26*('E Balans VL '!L12+'E Balans VL '!N12)/100/3.6*1000000</f>
        <v>345.56795558130199</v>
      </c>
      <c r="G6" s="34"/>
      <c r="H6" s="33"/>
      <c r="I6" s="33"/>
      <c r="J6" s="33">
        <f>$C$26*('E Balans VL '!D12+'E Balans VL '!E12)/100/3.6*1000000</f>
        <v>0</v>
      </c>
      <c r="K6" s="33"/>
      <c r="L6" s="33"/>
      <c r="M6" s="33"/>
      <c r="N6" s="33">
        <f>$C$26*'E Balans VL '!Y12/100/3.6*1000000</f>
        <v>1.3597870144166491</v>
      </c>
      <c r="O6" s="33"/>
      <c r="P6" s="33"/>
      <c r="R6" s="32"/>
    </row>
    <row r="7" spans="1:18">
      <c r="A7" s="32" t="s">
        <v>53</v>
      </c>
      <c r="B7" s="37">
        <f t="shared" ref="B7:B12" si="0">B27</f>
        <v>606.07137239999997</v>
      </c>
      <c r="C7" s="33"/>
      <c r="D7" s="37">
        <f>IF(ISERROR(TER_horeca_gas_kWh/1000),0,TER_horeca_gas_kWh/1000)*0.902</f>
        <v>337.87065419447998</v>
      </c>
      <c r="E7" s="33">
        <f>$C$27*'E Balans VL '!I9/100/3.6*1000000</f>
        <v>20.057275817952441</v>
      </c>
      <c r="F7" s="33">
        <f>$C$27*('E Balans VL '!L9+'E Balans VL '!N9)/100/3.6*1000000</f>
        <v>260.6083673851507</v>
      </c>
      <c r="G7" s="34"/>
      <c r="H7" s="33"/>
      <c r="I7" s="33"/>
      <c r="J7" s="33">
        <f>$C$27*('E Balans VL '!D9+'E Balans VL '!E9)/100/3.6*1000000</f>
        <v>0</v>
      </c>
      <c r="K7" s="33"/>
      <c r="L7" s="33"/>
      <c r="M7" s="33"/>
      <c r="N7" s="33">
        <f>$C$27*'E Balans VL '!Y9/100/3.6*1000000</f>
        <v>0.14589018045885013</v>
      </c>
      <c r="O7" s="33"/>
      <c r="P7" s="33"/>
      <c r="R7" s="32"/>
    </row>
    <row r="8" spans="1:18">
      <c r="A8" s="6" t="s">
        <v>52</v>
      </c>
      <c r="B8" s="37">
        <f t="shared" si="0"/>
        <v>2871.5324928</v>
      </c>
      <c r="C8" s="33"/>
      <c r="D8" s="37">
        <f>IF(ISERROR(TER_handel_gas_kWh/1000),0,TER_handel_gas_kWh/1000)*0.902</f>
        <v>152.32842647417999</v>
      </c>
      <c r="E8" s="33">
        <f>$C$28*'E Balans VL '!I13/100/3.6*1000000</f>
        <v>90.629953043813998</v>
      </c>
      <c r="F8" s="33">
        <f>$C$28*('E Balans VL '!L13+'E Balans VL '!N13)/100/3.6*1000000</f>
        <v>563.15808638595274</v>
      </c>
      <c r="G8" s="34"/>
      <c r="H8" s="33"/>
      <c r="I8" s="33"/>
      <c r="J8" s="33">
        <f>$C$28*('E Balans VL '!D13+'E Balans VL '!E13)/100/3.6*1000000</f>
        <v>0</v>
      </c>
      <c r="K8" s="33"/>
      <c r="L8" s="33"/>
      <c r="M8" s="33"/>
      <c r="N8" s="33">
        <f>$C$28*'E Balans VL '!Y13/100/3.6*1000000</f>
        <v>3.4079515677642678</v>
      </c>
      <c r="O8" s="33"/>
      <c r="P8" s="33"/>
      <c r="R8" s="32"/>
    </row>
    <row r="9" spans="1:18">
      <c r="A9" s="32" t="s">
        <v>51</v>
      </c>
      <c r="B9" s="37">
        <f t="shared" si="0"/>
        <v>26.611915196999998</v>
      </c>
      <c r="C9" s="33"/>
      <c r="D9" s="37">
        <f>IF(ISERROR(TER_gezond_gas_kWh/1000),0,TER_gezond_gas_kWh/1000)*0.902</f>
        <v>58.097347959948003</v>
      </c>
      <c r="E9" s="33">
        <f>$C$29*'E Balans VL '!I10/100/3.6*1000000</f>
        <v>3.407103659521315E-3</v>
      </c>
      <c r="F9" s="33">
        <f>$C$29*('E Balans VL '!L10+'E Balans VL '!N10)/100/3.6*1000000</f>
        <v>5.5443773431207299</v>
      </c>
      <c r="G9" s="34"/>
      <c r="H9" s="33"/>
      <c r="I9" s="33"/>
      <c r="J9" s="33">
        <f>$C$29*('E Balans VL '!D10+'E Balans VL '!E10)/100/3.6*1000000</f>
        <v>0</v>
      </c>
      <c r="K9" s="33"/>
      <c r="L9" s="33"/>
      <c r="M9" s="33"/>
      <c r="N9" s="33">
        <f>$C$29*'E Balans VL '!Y10/100/3.6*1000000</f>
        <v>0.31256952243352271</v>
      </c>
      <c r="O9" s="33"/>
      <c r="P9" s="33"/>
      <c r="R9" s="32"/>
    </row>
    <row r="10" spans="1:18">
      <c r="A10" s="32" t="s">
        <v>50</v>
      </c>
      <c r="B10" s="37">
        <f t="shared" si="0"/>
        <v>323.88427084999995</v>
      </c>
      <c r="C10" s="33"/>
      <c r="D10" s="37">
        <f>IF(ISERROR(TER_ander_gas_kWh/1000),0,TER_ander_gas_kWh/1000)*0.902</f>
        <v>88.327140781506003</v>
      </c>
      <c r="E10" s="33">
        <f>$C$30*'E Balans VL '!I14/100/3.6*1000000</f>
        <v>0.48704577692342715</v>
      </c>
      <c r="F10" s="33">
        <f>$C$30*('E Balans VL '!L14+'E Balans VL '!N14)/100/3.6*1000000</f>
        <v>71.503206724738533</v>
      </c>
      <c r="G10" s="34"/>
      <c r="H10" s="33"/>
      <c r="I10" s="33"/>
      <c r="J10" s="33">
        <f>$C$30*('E Balans VL '!D14+'E Balans VL '!E14)/100/3.6*1000000</f>
        <v>0</v>
      </c>
      <c r="K10" s="33"/>
      <c r="L10" s="33"/>
      <c r="M10" s="33"/>
      <c r="N10" s="33">
        <f>$C$30*'E Balans VL '!Y14/100/3.6*1000000</f>
        <v>255.24260201941493</v>
      </c>
      <c r="O10" s="33"/>
      <c r="P10" s="33"/>
      <c r="R10" s="32"/>
    </row>
    <row r="11" spans="1:18">
      <c r="A11" s="32" t="s">
        <v>55</v>
      </c>
      <c r="B11" s="37">
        <f t="shared" si="0"/>
        <v>64.113399079000004</v>
      </c>
      <c r="C11" s="33"/>
      <c r="D11" s="37">
        <f>IF(ISERROR(TER_onderwijs_gas_kWh/1000),0,TER_onderwijs_gas_kWh/1000)*0.902</f>
        <v>403.45382170434004</v>
      </c>
      <c r="E11" s="33">
        <f>$C$31*'E Balans VL '!I11/100/3.6*1000000</f>
        <v>0.11290906846239038</v>
      </c>
      <c r="F11" s="33">
        <f>$C$31*('E Balans VL '!L11+'E Balans VL '!N11)/100/3.6*1000000</f>
        <v>29.602316484811865</v>
      </c>
      <c r="G11" s="34"/>
      <c r="H11" s="33"/>
      <c r="I11" s="33"/>
      <c r="J11" s="33">
        <f>$C$31*('E Balans VL '!D11+'E Balans VL '!E11)/100/3.6*1000000</f>
        <v>0</v>
      </c>
      <c r="K11" s="33"/>
      <c r="L11" s="33"/>
      <c r="M11" s="33"/>
      <c r="N11" s="33">
        <f>$C$31*'E Balans VL '!Y11/100/3.6*1000000</f>
        <v>0.11944414909418528</v>
      </c>
      <c r="O11" s="33"/>
      <c r="P11" s="33"/>
      <c r="R11" s="32"/>
    </row>
    <row r="12" spans="1:18">
      <c r="A12" s="32" t="s">
        <v>260</v>
      </c>
      <c r="B12" s="37">
        <f t="shared" si="0"/>
        <v>2232.1316508999998</v>
      </c>
      <c r="C12" s="33"/>
      <c r="D12" s="37">
        <f>IF(ISERROR(TER_rest_gas_kWh/1000),0,TER_rest_gas_kWh/1000)*0.902</f>
        <v>4681.0556764290004</v>
      </c>
      <c r="E12" s="33">
        <f>$C$32*'E Balans VL '!I8/100/3.6*1000000</f>
        <v>39.300051821987076</v>
      </c>
      <c r="F12" s="33">
        <f>$C$32*('E Balans VL '!L8+'E Balans VL '!N8)/100/3.6*1000000</f>
        <v>575.06703325047658</v>
      </c>
      <c r="G12" s="34"/>
      <c r="H12" s="33"/>
      <c r="I12" s="33"/>
      <c r="J12" s="33">
        <f>$C$32*('E Balans VL '!D8+'E Balans VL '!E8)/100/3.6*1000000</f>
        <v>0</v>
      </c>
      <c r="K12" s="33"/>
      <c r="L12" s="33"/>
      <c r="M12" s="33"/>
      <c r="N12" s="33">
        <f>$C$32*'E Balans VL '!Y8/100/3.6*1000000</f>
        <v>196.96766600197839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7479.5684735259993</v>
      </c>
      <c r="C16" s="21">
        <f t="shared" ca="1" si="1"/>
        <v>0</v>
      </c>
      <c r="D16" s="21">
        <f t="shared" ca="1" si="1"/>
        <v>7705.8924489680539</v>
      </c>
      <c r="E16" s="21">
        <f t="shared" si="1"/>
        <v>168.33218596933179</v>
      </c>
      <c r="F16" s="21">
        <f t="shared" ca="1" si="1"/>
        <v>1851.0513431555532</v>
      </c>
      <c r="G16" s="21">
        <f t="shared" si="1"/>
        <v>0</v>
      </c>
      <c r="H16" s="21">
        <f t="shared" si="1"/>
        <v>0</v>
      </c>
      <c r="I16" s="21">
        <f t="shared" si="1"/>
        <v>0</v>
      </c>
      <c r="J16" s="21">
        <f t="shared" si="1"/>
        <v>0</v>
      </c>
      <c r="K16" s="21">
        <f t="shared" si="1"/>
        <v>0</v>
      </c>
      <c r="L16" s="21">
        <f t="shared" ca="1" si="1"/>
        <v>0</v>
      </c>
      <c r="M16" s="21">
        <f t="shared" si="1"/>
        <v>0</v>
      </c>
      <c r="N16" s="21">
        <f t="shared" ca="1" si="1"/>
        <v>457.55591045556082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0.21093739871728115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1577.7207173333597</v>
      </c>
      <c r="C20" s="23">
        <f t="shared" ref="C20:P20" ca="1" si="2">C16*C18</f>
        <v>0</v>
      </c>
      <c r="D20" s="23">
        <f t="shared" ca="1" si="2"/>
        <v>1556.5902746915469</v>
      </c>
      <c r="E20" s="23">
        <f t="shared" si="2"/>
        <v>38.211406215038316</v>
      </c>
      <c r="F20" s="23">
        <f t="shared" ca="1" si="2"/>
        <v>494.23070862253275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1355.2233722999999</v>
      </c>
      <c r="C26" s="39">
        <f>IF(ISERROR(B26*3.6/1000000/'E Balans VL '!Z12*100),0,B26*3.6/1000000/'E Balans VL '!Z12*100)</f>
        <v>2.9029937466707154E-2</v>
      </c>
      <c r="D26" s="237" t="s">
        <v>660</v>
      </c>
      <c r="F26" s="6"/>
    </row>
    <row r="27" spans="1:18">
      <c r="A27" s="231" t="s">
        <v>53</v>
      </c>
      <c r="B27" s="33">
        <f>IF(ISERROR(TER_horeca_ele_kWh/1000),0,TER_horeca_ele_kWh/1000)</f>
        <v>606.07137239999997</v>
      </c>
      <c r="C27" s="39">
        <f>IF(ISERROR(B27*3.6/1000000/'E Balans VL '!Z9*100),0,B27*3.6/1000000/'E Balans VL '!Z9*100)</f>
        <v>4.8635120952512795E-2</v>
      </c>
      <c r="D27" s="237" t="s">
        <v>660</v>
      </c>
      <c r="F27" s="6"/>
    </row>
    <row r="28" spans="1:18">
      <c r="A28" s="171" t="s">
        <v>52</v>
      </c>
      <c r="B28" s="33">
        <f>IF(ISERROR(TER_handel_ele_kWh/1000),0,TER_handel_ele_kWh/1000)</f>
        <v>2871.5324928</v>
      </c>
      <c r="C28" s="39">
        <f>IF(ISERROR(B28*3.6/1000000/'E Balans VL '!Z13*100),0,B28*3.6/1000000/'E Balans VL '!Z13*100)</f>
        <v>8.4693738084174325E-2</v>
      </c>
      <c r="D28" s="237" t="s">
        <v>660</v>
      </c>
      <c r="F28" s="6"/>
    </row>
    <row r="29" spans="1:18">
      <c r="A29" s="231" t="s">
        <v>51</v>
      </c>
      <c r="B29" s="33">
        <f>IF(ISERROR(TER_gezond_ele_kWh/1000),0,TER_gezond_ele_kWh/1000)</f>
        <v>26.611915196999998</v>
      </c>
      <c r="C29" s="39">
        <f>IF(ISERROR(B29*3.6/1000000/'E Balans VL '!Z10*100),0,B29*3.6/1000000/'E Balans VL '!Z10*100)</f>
        <v>2.8414390508374309E-3</v>
      </c>
      <c r="D29" s="237" t="s">
        <v>660</v>
      </c>
      <c r="F29" s="6"/>
    </row>
    <row r="30" spans="1:18">
      <c r="A30" s="231" t="s">
        <v>50</v>
      </c>
      <c r="B30" s="33">
        <f>IF(ISERROR(TER_ander_ele_kWh/1000),0,TER_ander_ele_kWh/1000)</f>
        <v>323.88427084999995</v>
      </c>
      <c r="C30" s="39">
        <f>IF(ISERROR(B30*3.6/1000000/'E Balans VL '!Z14*100),0,B30*3.6/1000000/'E Balans VL '!Z14*100)</f>
        <v>2.4464250819530235E-2</v>
      </c>
      <c r="D30" s="237" t="s">
        <v>660</v>
      </c>
      <c r="F30" s="6"/>
    </row>
    <row r="31" spans="1:18">
      <c r="A31" s="231" t="s">
        <v>55</v>
      </c>
      <c r="B31" s="33">
        <f>IF(ISERROR(TER_onderwijs_ele_kWh/1000),0,TER_onderwijs_ele_kWh/1000)</f>
        <v>64.113399079000004</v>
      </c>
      <c r="C31" s="39">
        <f>IF(ISERROR(B31*3.6/1000000/'E Balans VL '!Z11*100),0,B31*3.6/1000000/'E Balans VL '!Z11*100)</f>
        <v>1.2946635544656276E-2</v>
      </c>
      <c r="D31" s="237" t="s">
        <v>660</v>
      </c>
    </row>
    <row r="32" spans="1:18">
      <c r="A32" s="231" t="s">
        <v>260</v>
      </c>
      <c r="B32" s="33">
        <f>IF(ISERROR(TER_rest_ele_kWh/1000),0,TER_rest_ele_kWh/1000)</f>
        <v>2232.1316508999998</v>
      </c>
      <c r="C32" s="39">
        <f>IF(ISERROR(B32*3.6/1000000/'E Balans VL '!Z8*100),0,B32*3.6/1000000/'E Balans VL '!Z8*100)</f>
        <v>1.8507479606861801E-2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49666.938147408502</v>
      </c>
      <c r="C5" s="17">
        <f>IF(ISERROR('Eigen informatie GS &amp; warmtenet'!B59),0,'Eigen informatie GS &amp; warmtenet'!B59)</f>
        <v>0</v>
      </c>
      <c r="D5" s="30">
        <f>SUM(D6:D15)</f>
        <v>265622.05162212014</v>
      </c>
      <c r="E5" s="17">
        <f>SUM(E6:E15)</f>
        <v>1758.4156631195488</v>
      </c>
      <c r="F5" s="17">
        <f>SUM(F6:F15)</f>
        <v>11361.037096736822</v>
      </c>
      <c r="G5" s="18"/>
      <c r="H5" s="17"/>
      <c r="I5" s="17"/>
      <c r="J5" s="17">
        <f>SUM(J6:J15)</f>
        <v>115.15731606853706</v>
      </c>
      <c r="K5" s="17"/>
      <c r="L5" s="17"/>
      <c r="M5" s="17"/>
      <c r="N5" s="17">
        <f>SUM(N6:N15)</f>
        <v>16150.635204902384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380.00512401999998</v>
      </c>
      <c r="C9" s="33"/>
      <c r="D9" s="37">
        <f>IF( ISERROR(IND_andere_gas_kWh/1000),0,IND_andere_gas_kWh/1000)*0.902</f>
        <v>193.44896708016</v>
      </c>
      <c r="E9" s="33">
        <f>C31*'E Balans VL '!I19/100/3.6*1000000</f>
        <v>96.968709793156037</v>
      </c>
      <c r="F9" s="33">
        <f>C31*'E Balans VL '!L19/100/3.6*1000000+C31*'E Balans VL '!N19/100/3.6*1000000</f>
        <v>327.15584948569204</v>
      </c>
      <c r="G9" s="34"/>
      <c r="H9" s="33"/>
      <c r="I9" s="33"/>
      <c r="J9" s="40">
        <f>C31*'E Balans VL '!D19/100/3.6*1000000+C31*'E Balans VL '!E19/100/3.6*1000000</f>
        <v>0</v>
      </c>
      <c r="K9" s="33"/>
      <c r="L9" s="33"/>
      <c r="M9" s="33"/>
      <c r="N9" s="33">
        <f>C31*'E Balans VL '!Y19/100/3.6*1000000</f>
        <v>118.84061609740461</v>
      </c>
      <c r="O9" s="33"/>
      <c r="P9" s="33"/>
      <c r="R9" s="32"/>
    </row>
    <row r="10" spans="1:18">
      <c r="A10" s="6" t="s">
        <v>41</v>
      </c>
      <c r="B10" s="37">
        <f t="shared" si="0"/>
        <v>35119.258794000001</v>
      </c>
      <c r="C10" s="33"/>
      <c r="D10" s="37">
        <f>IF( ISERROR(IND_voed_gas_kWh/1000),0,IND_voed_gas_kWh/1000)*0.902</f>
        <v>0</v>
      </c>
      <c r="E10" s="33">
        <f>C32*'E Balans VL '!I20/100/3.6*1000000</f>
        <v>892.77978123757248</v>
      </c>
      <c r="F10" s="33">
        <f>C32*'E Balans VL '!L20/100/3.6*1000000+C32*'E Balans VL '!N20/100/3.6*1000000</f>
        <v>7946.9610795431918</v>
      </c>
      <c r="G10" s="34"/>
      <c r="H10" s="33"/>
      <c r="I10" s="33"/>
      <c r="J10" s="40">
        <f>C32*'E Balans VL '!D20/100/3.6*1000000+C32*'E Balans VL '!E20/100/3.6*1000000</f>
        <v>0</v>
      </c>
      <c r="K10" s="33"/>
      <c r="L10" s="33"/>
      <c r="M10" s="33"/>
      <c r="N10" s="33">
        <f>C32*'E Balans VL '!Y20/100/3.6*1000000</f>
        <v>13170.67399270309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5.0706523885000001</v>
      </c>
      <c r="C13" s="33"/>
      <c r="D13" s="37">
        <f>IF( ISERROR(IND_papier_gas_kWh/1000),0,IND_papier_gas_kWh/1000)*0.902</f>
        <v>0</v>
      </c>
      <c r="E13" s="33">
        <f>C35*'E Balans VL '!I23/100/3.6*1000000</f>
        <v>2.1746552951322377E-2</v>
      </c>
      <c r="F13" s="33">
        <f>C35*'E Balans VL '!L23/100/3.6*1000000+C35*'E Balans VL '!N23/100/3.6*1000000</f>
        <v>0.12744123282611786</v>
      </c>
      <c r="G13" s="34"/>
      <c r="H13" s="33"/>
      <c r="I13" s="33"/>
      <c r="J13" s="40">
        <f>C35*'E Balans VL '!D23/100/3.6*1000000+C35*'E Balans VL '!E23/100/3.6*1000000</f>
        <v>0.33945236602577211</v>
      </c>
      <c r="K13" s="33"/>
      <c r="L13" s="33"/>
      <c r="M13" s="33"/>
      <c r="N13" s="33">
        <f>C35*'E Balans VL '!Y23/100/3.6*1000000</f>
        <v>9.2297931942139115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14162.603577</v>
      </c>
      <c r="C15" s="33"/>
      <c r="D15" s="37">
        <f>IF( ISERROR(IND_rest_gas_kWh/1000),0,IND_rest_gas_kWh/1000)*0.902</f>
        <v>265428.60265503998</v>
      </c>
      <c r="E15" s="33">
        <f>C37*'E Balans VL '!I15/100/3.6*1000000</f>
        <v>768.64542553586898</v>
      </c>
      <c r="F15" s="33">
        <f>C37*'E Balans VL '!L15/100/3.6*1000000+C37*'E Balans VL '!N15/100/3.6*1000000</f>
        <v>3086.7927264751129</v>
      </c>
      <c r="G15" s="34"/>
      <c r="H15" s="33"/>
      <c r="I15" s="33"/>
      <c r="J15" s="40">
        <f>C37*'E Balans VL '!D15/100/3.6*1000000+C37*'E Balans VL '!E15/100/3.6*1000000</f>
        <v>114.81786370251129</v>
      </c>
      <c r="K15" s="33"/>
      <c r="L15" s="33"/>
      <c r="M15" s="33"/>
      <c r="N15" s="33">
        <f>C37*'E Balans VL '!Y15/100/3.6*1000000</f>
        <v>2851.8908029076752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49666.938147408502</v>
      </c>
      <c r="C18" s="21">
        <f>C5+C16</f>
        <v>0</v>
      </c>
      <c r="D18" s="21">
        <f>MAX((D5+D16),0)</f>
        <v>265622.05162212014</v>
      </c>
      <c r="E18" s="21">
        <f>MAX((E5+E16),0)</f>
        <v>1758.4156631195488</v>
      </c>
      <c r="F18" s="21">
        <f>MAX((F5+F16),0)</f>
        <v>11361.037096736822</v>
      </c>
      <c r="G18" s="21"/>
      <c r="H18" s="21"/>
      <c r="I18" s="21"/>
      <c r="J18" s="21">
        <f>MAX((J5+J16),0)</f>
        <v>115.15731606853706</v>
      </c>
      <c r="K18" s="21"/>
      <c r="L18" s="21">
        <f>MAX((L5+L16),0)</f>
        <v>0</v>
      </c>
      <c r="M18" s="21"/>
      <c r="N18" s="21">
        <f>MAX((N5+N16),0)</f>
        <v>16150.635204902384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0.21093739871728115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10476.614735066449</v>
      </c>
      <c r="C22" s="23">
        <f ca="1">C18*C20</f>
        <v>0</v>
      </c>
      <c r="D22" s="23">
        <f>D18*D20</f>
        <v>53655.654427668269</v>
      </c>
      <c r="E22" s="23">
        <f>E18*E20</f>
        <v>399.16035552813759</v>
      </c>
      <c r="F22" s="23">
        <f>F18*F20</f>
        <v>3033.3969048287317</v>
      </c>
      <c r="G22" s="23"/>
      <c r="H22" s="23"/>
      <c r="I22" s="23"/>
      <c r="J22" s="23">
        <f>J18*J20</f>
        <v>40.765689888262116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380.00512401999998</v>
      </c>
      <c r="C31" s="39">
        <f>IF(ISERROR(B31*3.6/1000000/'E Balans VL '!Z19*100),0,B31*3.6/1000000/'E Balans VL '!Z19*100)</f>
        <v>1.599527853438849E-2</v>
      </c>
      <c r="D31" s="237" t="s">
        <v>660</v>
      </c>
    </row>
    <row r="32" spans="1:18">
      <c r="A32" s="171" t="s">
        <v>41</v>
      </c>
      <c r="B32" s="37">
        <f>IF( ISERROR(IND_voed_ele_kWh/1000),0,IND_voed_ele_kWh/1000)</f>
        <v>35119.258794000001</v>
      </c>
      <c r="C32" s="39">
        <f>IF(ISERROR(B32*3.6/1000000/'E Balans VL '!Z20*100),0,B32*3.6/1000000/'E Balans VL '!Z20*100)</f>
        <v>5.8670695286227437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5.0706523885000001</v>
      </c>
      <c r="C35" s="39">
        <f>IF(ISERROR(B35*3.6/1000000/'E Balans VL '!Z22*100),0,B35*3.6/1000000/'E Balans VL '!Z22*100)</f>
        <v>6.42732536189941E-4</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14162.603577</v>
      </c>
      <c r="C37" s="39">
        <f>IF(ISERROR(B37*3.6/1000000/'E Balans VL '!Z15*100),0,B37*3.6/1000000/'E Balans VL '!Z15*100)</f>
        <v>0.1143401826885788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4650.1836067040003</v>
      </c>
      <c r="C5" s="17">
        <f>'Eigen informatie GS &amp; warmtenet'!B60</f>
        <v>0</v>
      </c>
      <c r="D5" s="30">
        <f>IF(ISERROR(SUM(LB_lb_gas_kWh,LB_rest_gas_kWh)/1000),0,SUM(LB_lb_gas_kWh,LB_rest_gas_kWh)/1000)*0.902</f>
        <v>22890.978745623233</v>
      </c>
      <c r="E5" s="17">
        <f>B17*'E Balans VL '!I25/3.6*1000000/100</f>
        <v>119.91038057610642</v>
      </c>
      <c r="F5" s="17">
        <f>B17*('E Balans VL '!L25/3.6*1000000+'E Balans VL '!N25/3.6*1000000)/100</f>
        <v>16997.306666951863</v>
      </c>
      <c r="G5" s="18"/>
      <c r="H5" s="17"/>
      <c r="I5" s="17"/>
      <c r="J5" s="17">
        <f>('E Balans VL '!D25+'E Balans VL '!E25)/3.6*1000000*landbouw!B17/100</f>
        <v>669.45537465570476</v>
      </c>
      <c r="K5" s="17"/>
      <c r="L5" s="17">
        <f>L6*(-1)</f>
        <v>0</v>
      </c>
      <c r="M5" s="17"/>
      <c r="N5" s="17">
        <f>N6*(-1)</f>
        <v>0</v>
      </c>
      <c r="O5" s="17"/>
      <c r="P5" s="17"/>
      <c r="R5" s="32"/>
    </row>
    <row r="6" spans="1:18">
      <c r="A6" s="16" t="s">
        <v>491</v>
      </c>
      <c r="B6" s="17" t="s">
        <v>211</v>
      </c>
      <c r="C6" s="17">
        <f>'lokale energieproductie'!O92+'lokale energieproductie'!O61</f>
        <v>9530.3571428571431</v>
      </c>
      <c r="D6" s="310">
        <f>('lokale energieproductie'!P61+'lokale energieproductie'!P92)*(-1)</f>
        <v>-19060.714285714286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4650.1836067040003</v>
      </c>
      <c r="C8" s="21">
        <f>C5+C6</f>
        <v>9530.3571428571431</v>
      </c>
      <c r="D8" s="21">
        <f>MAX((D5+D6),0)</f>
        <v>3830.2644599089472</v>
      </c>
      <c r="E8" s="21">
        <f>MAX((E5+E6),0)</f>
        <v>119.91038057610642</v>
      </c>
      <c r="F8" s="21">
        <f>MAX((F5+F6),0)</f>
        <v>16997.306666951863</v>
      </c>
      <c r="G8" s="21"/>
      <c r="H8" s="21"/>
      <c r="I8" s="21"/>
      <c r="J8" s="21">
        <f>MAX((J5+J6),0)</f>
        <v>669.45537465570476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0.21093739871728115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980.89763355588627</v>
      </c>
      <c r="C12" s="23">
        <f ca="1">C8*C10</f>
        <v>2264.8613445378155</v>
      </c>
      <c r="D12" s="23">
        <f>D8*D10</f>
        <v>773.71342090160738</v>
      </c>
      <c r="E12" s="23">
        <f>E8*E10</f>
        <v>27.219656390776159</v>
      </c>
      <c r="F12" s="23">
        <f>F8*F10</f>
        <v>4538.2808800761477</v>
      </c>
      <c r="G12" s="23"/>
      <c r="H12" s="23"/>
      <c r="I12" s="23"/>
      <c r="J12" s="23">
        <f>J8*J10</f>
        <v>236.98720262811946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0.65570669067080289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696.20341980574608</v>
      </c>
      <c r="C26" s="247">
        <f>B26*'GWP N2O_CH4'!B5</f>
        <v>14620.271815920667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474.64672614028149</v>
      </c>
      <c r="C27" s="247">
        <f>B27*'GWP N2O_CH4'!B5</f>
        <v>9967.5812489459113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11.370674964376866</v>
      </c>
      <c r="C28" s="247">
        <f>B28*'GWP N2O_CH4'!B4</f>
        <v>3524.9092389568282</v>
      </c>
      <c r="D28" s="50"/>
    </row>
    <row r="29" spans="1:4">
      <c r="A29" s="41" t="s">
        <v>277</v>
      </c>
      <c r="B29" s="247">
        <f>B34*'ha_N2O bodem landbouw'!B4</f>
        <v>27.965882351147663</v>
      </c>
      <c r="C29" s="247">
        <f>B29*'GWP N2O_CH4'!B4</f>
        <v>8669.4235288557757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6.2938432392626378E-3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4.936570365111862E-5</v>
      </c>
      <c r="C5" s="463" t="s">
        <v>211</v>
      </c>
      <c r="D5" s="448">
        <f>SUM(D6:D11)</f>
        <v>1.289104928947129E-4</v>
      </c>
      <c r="E5" s="448">
        <f>SUM(E6:E11)</f>
        <v>4.8888318856733011E-4</v>
      </c>
      <c r="F5" s="461" t="s">
        <v>211</v>
      </c>
      <c r="G5" s="448">
        <f>SUM(G6:G11)</f>
        <v>0.16136460835983843</v>
      </c>
      <c r="H5" s="448">
        <f>SUM(H6:H11)</f>
        <v>3.4364665618711265E-2</v>
      </c>
      <c r="I5" s="463" t="s">
        <v>211</v>
      </c>
      <c r="J5" s="463" t="s">
        <v>211</v>
      </c>
      <c r="K5" s="463" t="s">
        <v>211</v>
      </c>
      <c r="L5" s="463" t="s">
        <v>211</v>
      </c>
      <c r="M5" s="448">
        <f>SUM(M6:M11)</f>
        <v>6.113495605536607E-3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2.8097551003677986E-5</v>
      </c>
      <c r="C6" s="449"/>
      <c r="D6" s="892">
        <f>vkm_2011_GW_PW*SUMIFS(TableVerdeelsleutelVkm[CNG],TableVerdeelsleutelVkm[Voertuigtype],"Lichte voertuigen")*SUMIFS(TableECFTransport[EnergieConsumptieFactor (PJ per km)],TableECFTransport[Index],CONCATENATE($A6,"_CNG_CNG"))</f>
        <v>5.5830326016028585E-5</v>
      </c>
      <c r="E6" s="892">
        <f>vkm_2011_GW_PW*SUMIFS(TableVerdeelsleutelVkm[LPG],TableVerdeelsleutelVkm[Voertuigtype],"Lichte voertuigen")*SUMIFS(TableECFTransport[EnergieConsumptieFactor (PJ per km)],TableECFTransport[Index],CONCATENATE($A6,"_LPG_LPG"))</f>
        <v>2.1971234654463503E-4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5.2240057238105785E-2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1.5114948870764309E-2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2.0988441868744156E-3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2.7470608349263747E-2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8.8741798628557071E-6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8.6555683696495109E-4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2.0053279450200531E-5</v>
      </c>
      <c r="C8" s="449"/>
      <c r="D8" s="451">
        <f>vkm_2011_NGW_PW*SUMIFS(TableVerdeelsleutelVkm[CNG],TableVerdeelsleutelVkm[Voertuigtype],"Lichte voertuigen")*SUMIFS(TableECFTransport[EnergieConsumptieFactor (PJ per km)],TableECFTransport[Index],CONCATENATE($A8,"_CNG_CNG"))</f>
        <v>7.0553115734445207E-5</v>
      </c>
      <c r="E8" s="451">
        <f>vkm_2011_NGW_PW*SUMIFS(TableVerdeelsleutelVkm[LPG],TableVerdeelsleutelVkm[Voertuigtype],"Lichte voertuigen")*SUMIFS(TableECFTransport[EnergieConsumptieFactor (PJ per km)],TableECFTransport[Index],CONCATENATE($A8,"_LPG_LPG"))</f>
        <v>2.5677886538136952E-4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5.7012126431372559E-2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1.8521226012924861E-2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2.3513237877175698E-3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1.9608767019218282E-2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5.9906445891725641E-6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6.1783193345811582E-4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1.2148731972400975E-6</v>
      </c>
      <c r="C10" s="449"/>
      <c r="D10" s="451">
        <f>vkm_2011_SW_PW*SUMIFS(TableVerdeelsleutelVkm[CNG],TableVerdeelsleutelVkm[Voertuigtype],"Lichte voertuigen")*SUMIFS(TableECFTransport[EnergieConsumptieFactor (PJ per km)],TableECFTransport[Index],CONCATENATE($A10,"_CNG_CNG"))</f>
        <v>2.5270511442390998E-6</v>
      </c>
      <c r="E10" s="451">
        <f>vkm_2011_SW_PW*SUMIFS(TableVerdeelsleutelVkm[LPG],TableVerdeelsleutelVkm[Voertuigtype],"Lichte voertuigen")*SUMIFS(TableECFTransport[EnergieConsumptieFactor (PJ per km)],TableECFTransport[Index],CONCATENATE($A10,"_LPG_LPG"))</f>
        <v>1.2391976641325557E-5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2.6393487445891435E-3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7.127927627616935E-4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1.0451522187243351E-4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2.3937005772888716E-3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8.3314780837373858E-7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7.5423638649121718E-5</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13.712695458644061</v>
      </c>
      <c r="C14" s="21"/>
      <c r="D14" s="21">
        <f t="shared" ref="D14:M14" si="0">((D5)*10^9/3600)+D12</f>
        <v>35.808470248531364</v>
      </c>
      <c r="E14" s="21">
        <f t="shared" si="0"/>
        <v>135.80088571314727</v>
      </c>
      <c r="F14" s="21"/>
      <c r="G14" s="21">
        <f t="shared" si="0"/>
        <v>44823.502322177337</v>
      </c>
      <c r="H14" s="21">
        <f t="shared" si="0"/>
        <v>9545.7404496420168</v>
      </c>
      <c r="I14" s="21"/>
      <c r="J14" s="21"/>
      <c r="K14" s="21"/>
      <c r="L14" s="21"/>
      <c r="M14" s="21">
        <f t="shared" si="0"/>
        <v>1698.1932237601686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0.21093739871728115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2.8925203094486527</v>
      </c>
      <c r="C18" s="23"/>
      <c r="D18" s="23">
        <f t="shared" ref="D18:M18" si="1">D14*D16</f>
        <v>7.2333109902033357</v>
      </c>
      <c r="E18" s="23">
        <f t="shared" si="1"/>
        <v>30.826801056884431</v>
      </c>
      <c r="F18" s="23"/>
      <c r="G18" s="23">
        <f t="shared" si="1"/>
        <v>11967.87512002135</v>
      </c>
      <c r="H18" s="23">
        <f t="shared" si="1"/>
        <v>2376.8893719608623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3.5706025534042113E-3</v>
      </c>
      <c r="H50" s="321">
        <f t="shared" si="2"/>
        <v>0</v>
      </c>
      <c r="I50" s="321">
        <f t="shared" si="2"/>
        <v>0</v>
      </c>
      <c r="J50" s="321">
        <f t="shared" si="2"/>
        <v>0</v>
      </c>
      <c r="K50" s="321">
        <f t="shared" si="2"/>
        <v>0</v>
      </c>
      <c r="L50" s="321">
        <f t="shared" si="2"/>
        <v>0</v>
      </c>
      <c r="M50" s="321">
        <f t="shared" si="2"/>
        <v>1.1075210311852233E-4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3.5706025534042113E-3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1.1075210311852233E-4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991.834042612281</v>
      </c>
      <c r="H54" s="21">
        <f t="shared" si="3"/>
        <v>0</v>
      </c>
      <c r="I54" s="21">
        <f t="shared" si="3"/>
        <v>0</v>
      </c>
      <c r="J54" s="21">
        <f t="shared" si="3"/>
        <v>0</v>
      </c>
      <c r="K54" s="21">
        <f t="shared" si="3"/>
        <v>0</v>
      </c>
      <c r="L54" s="21">
        <f t="shared" si="3"/>
        <v>0</v>
      </c>
      <c r="M54" s="21">
        <f t="shared" si="3"/>
        <v>30.764473088478429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0.21093739871728115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264.81968937747905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8206.8764735259992</v>
      </c>
      <c r="D10" s="1012">
        <f ca="1">tertiair!C16</f>
        <v>0</v>
      </c>
      <c r="E10" s="1012">
        <f ca="1">tertiair!D16</f>
        <v>7705.8924489680539</v>
      </c>
      <c r="F10" s="1012">
        <f>tertiair!E16</f>
        <v>168.33218596933179</v>
      </c>
      <c r="G10" s="1012">
        <f ca="1">tertiair!F16</f>
        <v>1851.0513431555532</v>
      </c>
      <c r="H10" s="1012">
        <f>tertiair!G16</f>
        <v>0</v>
      </c>
      <c r="I10" s="1012">
        <f>tertiair!H16</f>
        <v>0</v>
      </c>
      <c r="J10" s="1012">
        <f>tertiair!I16</f>
        <v>0</v>
      </c>
      <c r="K10" s="1012">
        <f>tertiair!J16</f>
        <v>0</v>
      </c>
      <c r="L10" s="1012">
        <f>tertiair!K16</f>
        <v>0</v>
      </c>
      <c r="M10" s="1012">
        <f ca="1">tertiair!L16</f>
        <v>0</v>
      </c>
      <c r="N10" s="1012">
        <f>tertiair!M16</f>
        <v>0</v>
      </c>
      <c r="O10" s="1012">
        <f ca="1">tertiair!N16</f>
        <v>457.55591045556082</v>
      </c>
      <c r="P10" s="1012">
        <f>tertiair!O16</f>
        <v>0</v>
      </c>
      <c r="Q10" s="1013">
        <f>tertiair!P16</f>
        <v>19.066666666666666</v>
      </c>
      <c r="R10" s="700">
        <f ca="1">SUM(C10:Q10)</f>
        <v>18408.775028741165</v>
      </c>
      <c r="S10" s="67"/>
    </row>
    <row r="11" spans="1:19" s="473" customFormat="1">
      <c r="A11" s="809" t="s">
        <v>225</v>
      </c>
      <c r="B11" s="814"/>
      <c r="C11" s="1012">
        <f>huishoudens!B8</f>
        <v>13721.450516265066</v>
      </c>
      <c r="D11" s="1012">
        <f>huishoudens!C8</f>
        <v>0</v>
      </c>
      <c r="E11" s="1012">
        <f>huishoudens!D8</f>
        <v>18370.711691046003</v>
      </c>
      <c r="F11" s="1012">
        <f>huishoudens!E8</f>
        <v>8074.5859418105338</v>
      </c>
      <c r="G11" s="1012">
        <f>huishoudens!F8</f>
        <v>16555.099029417648</v>
      </c>
      <c r="H11" s="1012">
        <f>huishoudens!G8</f>
        <v>0</v>
      </c>
      <c r="I11" s="1012">
        <f>huishoudens!H8</f>
        <v>0</v>
      </c>
      <c r="J11" s="1012">
        <f>huishoudens!I8</f>
        <v>0</v>
      </c>
      <c r="K11" s="1012">
        <f>huishoudens!J8</f>
        <v>4732.9553004889985</v>
      </c>
      <c r="L11" s="1012">
        <f>huishoudens!K8</f>
        <v>0</v>
      </c>
      <c r="M11" s="1012">
        <f>huishoudens!L8</f>
        <v>0</v>
      </c>
      <c r="N11" s="1012">
        <f>huishoudens!M8</f>
        <v>0</v>
      </c>
      <c r="O11" s="1012">
        <f>huishoudens!N8</f>
        <v>10746.080182113994</v>
      </c>
      <c r="P11" s="1012">
        <f>huishoudens!O8</f>
        <v>221.99333333333334</v>
      </c>
      <c r="Q11" s="1013">
        <f>huishoudens!P8</f>
        <v>228.8</v>
      </c>
      <c r="R11" s="700">
        <f>SUM(C11:Q11)</f>
        <v>72651.675994475576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49666.938147408502</v>
      </c>
      <c r="D13" s="1012">
        <f>industrie!C18</f>
        <v>0</v>
      </c>
      <c r="E13" s="1012">
        <f>industrie!D18</f>
        <v>265622.05162212014</v>
      </c>
      <c r="F13" s="1012">
        <f>industrie!E18</f>
        <v>1758.4156631195488</v>
      </c>
      <c r="G13" s="1012">
        <f>industrie!F18</f>
        <v>11361.037096736822</v>
      </c>
      <c r="H13" s="1012">
        <f>industrie!G18</f>
        <v>0</v>
      </c>
      <c r="I13" s="1012">
        <f>industrie!H18</f>
        <v>0</v>
      </c>
      <c r="J13" s="1012">
        <f>industrie!I18</f>
        <v>0</v>
      </c>
      <c r="K13" s="1012">
        <f>industrie!J18</f>
        <v>115.15731606853706</v>
      </c>
      <c r="L13" s="1012">
        <f>industrie!K18</f>
        <v>0</v>
      </c>
      <c r="M13" s="1012">
        <f>industrie!L18</f>
        <v>0</v>
      </c>
      <c r="N13" s="1012">
        <f>industrie!M18</f>
        <v>0</v>
      </c>
      <c r="O13" s="1012">
        <f>industrie!N18</f>
        <v>16150.635204902384</v>
      </c>
      <c r="P13" s="1012">
        <f>industrie!O18</f>
        <v>0</v>
      </c>
      <c r="Q13" s="1013">
        <f>industrie!P18</f>
        <v>0</v>
      </c>
      <c r="R13" s="700">
        <f>SUM(C13:Q13)</f>
        <v>344674.2350503559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71595.265137199574</v>
      </c>
      <c r="D16" s="732">
        <f t="shared" ref="D16:R16" ca="1" si="0">SUM(D9:D15)</f>
        <v>0</v>
      </c>
      <c r="E16" s="732">
        <f t="shared" ca="1" si="0"/>
        <v>291698.65576213418</v>
      </c>
      <c r="F16" s="732">
        <f t="shared" si="0"/>
        <v>10001.333790899414</v>
      </c>
      <c r="G16" s="732">
        <f t="shared" ca="1" si="0"/>
        <v>29767.187469310022</v>
      </c>
      <c r="H16" s="732">
        <f t="shared" si="0"/>
        <v>0</v>
      </c>
      <c r="I16" s="732">
        <f t="shared" si="0"/>
        <v>0</v>
      </c>
      <c r="J16" s="732">
        <f t="shared" si="0"/>
        <v>0</v>
      </c>
      <c r="K16" s="732">
        <f t="shared" si="0"/>
        <v>4848.1126165575351</v>
      </c>
      <c r="L16" s="732">
        <f t="shared" si="0"/>
        <v>0</v>
      </c>
      <c r="M16" s="732">
        <f t="shared" ca="1" si="0"/>
        <v>0</v>
      </c>
      <c r="N16" s="732">
        <f t="shared" si="0"/>
        <v>0</v>
      </c>
      <c r="O16" s="732">
        <f t="shared" ca="1" si="0"/>
        <v>27354.27129747194</v>
      </c>
      <c r="P16" s="732">
        <f t="shared" si="0"/>
        <v>221.99333333333334</v>
      </c>
      <c r="Q16" s="732">
        <f t="shared" si="0"/>
        <v>247.86666666666667</v>
      </c>
      <c r="R16" s="732">
        <f t="shared" ca="1" si="0"/>
        <v>435734.68607357261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991.834042612281</v>
      </c>
      <c r="I19" s="1012">
        <f>transport!H54</f>
        <v>0</v>
      </c>
      <c r="J19" s="1012">
        <f>transport!I54</f>
        <v>0</v>
      </c>
      <c r="K19" s="1012">
        <f>transport!J54</f>
        <v>0</v>
      </c>
      <c r="L19" s="1012">
        <f>transport!K54</f>
        <v>0</v>
      </c>
      <c r="M19" s="1012">
        <f>transport!L54</f>
        <v>0</v>
      </c>
      <c r="N19" s="1012">
        <f>transport!M54</f>
        <v>30.764473088478429</v>
      </c>
      <c r="O19" s="1012">
        <f>transport!N54</f>
        <v>0</v>
      </c>
      <c r="P19" s="1012">
        <f>transport!O54</f>
        <v>0</v>
      </c>
      <c r="Q19" s="1013">
        <f>transport!P54</f>
        <v>0</v>
      </c>
      <c r="R19" s="700">
        <f>SUM(C19:Q19)</f>
        <v>1022.5985157007594</v>
      </c>
      <c r="S19" s="67"/>
    </row>
    <row r="20" spans="1:19" s="473" customFormat="1">
      <c r="A20" s="809" t="s">
        <v>307</v>
      </c>
      <c r="B20" s="814"/>
      <c r="C20" s="1012">
        <f>transport!B14</f>
        <v>13.712695458644061</v>
      </c>
      <c r="D20" s="1012">
        <f>transport!C14</f>
        <v>0</v>
      </c>
      <c r="E20" s="1012">
        <f>transport!D14</f>
        <v>35.808470248531364</v>
      </c>
      <c r="F20" s="1012">
        <f>transport!E14</f>
        <v>135.80088571314727</v>
      </c>
      <c r="G20" s="1012">
        <f>transport!F14</f>
        <v>0</v>
      </c>
      <c r="H20" s="1012">
        <f>transport!G14</f>
        <v>44823.502322177337</v>
      </c>
      <c r="I20" s="1012">
        <f>transport!H14</f>
        <v>9545.7404496420168</v>
      </c>
      <c r="J20" s="1012">
        <f>transport!I14</f>
        <v>0</v>
      </c>
      <c r="K20" s="1012">
        <f>transport!J14</f>
        <v>0</v>
      </c>
      <c r="L20" s="1012">
        <f>transport!K14</f>
        <v>0</v>
      </c>
      <c r="M20" s="1012">
        <f>transport!L14</f>
        <v>0</v>
      </c>
      <c r="N20" s="1012">
        <f>transport!M14</f>
        <v>1698.1932237601686</v>
      </c>
      <c r="O20" s="1012">
        <f>transport!N14</f>
        <v>0</v>
      </c>
      <c r="P20" s="1012">
        <f>transport!O14</f>
        <v>0</v>
      </c>
      <c r="Q20" s="1013">
        <f>transport!P14</f>
        <v>0</v>
      </c>
      <c r="R20" s="700">
        <f>SUM(C20:Q20)</f>
        <v>56252.75804699985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13.712695458644061</v>
      </c>
      <c r="D22" s="812">
        <f t="shared" ref="D22:R22" si="1">SUM(D18:D21)</f>
        <v>0</v>
      </c>
      <c r="E22" s="812">
        <f t="shared" si="1"/>
        <v>35.808470248531364</v>
      </c>
      <c r="F22" s="812">
        <f t="shared" si="1"/>
        <v>135.80088571314727</v>
      </c>
      <c r="G22" s="812">
        <f t="shared" si="1"/>
        <v>0</v>
      </c>
      <c r="H22" s="812">
        <f t="shared" si="1"/>
        <v>45815.336364789619</v>
      </c>
      <c r="I22" s="812">
        <f t="shared" si="1"/>
        <v>9545.7404496420168</v>
      </c>
      <c r="J22" s="812">
        <f t="shared" si="1"/>
        <v>0</v>
      </c>
      <c r="K22" s="812">
        <f t="shared" si="1"/>
        <v>0</v>
      </c>
      <c r="L22" s="812">
        <f t="shared" si="1"/>
        <v>0</v>
      </c>
      <c r="M22" s="812">
        <f t="shared" si="1"/>
        <v>0</v>
      </c>
      <c r="N22" s="812">
        <f t="shared" si="1"/>
        <v>1728.9576968486469</v>
      </c>
      <c r="O22" s="812">
        <f t="shared" si="1"/>
        <v>0</v>
      </c>
      <c r="P22" s="812">
        <f t="shared" si="1"/>
        <v>0</v>
      </c>
      <c r="Q22" s="812">
        <f t="shared" si="1"/>
        <v>0</v>
      </c>
      <c r="R22" s="812">
        <f t="shared" si="1"/>
        <v>57275.35656270061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4650.1836067040003</v>
      </c>
      <c r="D24" s="1012">
        <f>+landbouw!C8</f>
        <v>9530.3571428571431</v>
      </c>
      <c r="E24" s="1012">
        <f>+landbouw!D8</f>
        <v>3830.2644599089472</v>
      </c>
      <c r="F24" s="1012">
        <f>+landbouw!E8</f>
        <v>119.91038057610642</v>
      </c>
      <c r="G24" s="1012">
        <f>+landbouw!F8</f>
        <v>16997.306666951863</v>
      </c>
      <c r="H24" s="1012">
        <f>+landbouw!G8</f>
        <v>0</v>
      </c>
      <c r="I24" s="1012">
        <f>+landbouw!H8</f>
        <v>0</v>
      </c>
      <c r="J24" s="1012">
        <f>+landbouw!I8</f>
        <v>0</v>
      </c>
      <c r="K24" s="1012">
        <f>+landbouw!J8</f>
        <v>669.45537465570476</v>
      </c>
      <c r="L24" s="1012">
        <f>+landbouw!K8</f>
        <v>0</v>
      </c>
      <c r="M24" s="1012">
        <f>+landbouw!L8</f>
        <v>0</v>
      </c>
      <c r="N24" s="1012">
        <f>+landbouw!M8</f>
        <v>0</v>
      </c>
      <c r="O24" s="1012">
        <f>+landbouw!N8</f>
        <v>0</v>
      </c>
      <c r="P24" s="1012">
        <f>+landbouw!O8</f>
        <v>0</v>
      </c>
      <c r="Q24" s="1013">
        <f>+landbouw!P8</f>
        <v>0</v>
      </c>
      <c r="R24" s="700">
        <f>SUM(C24:Q24)</f>
        <v>35797.477631653768</v>
      </c>
      <c r="S24" s="67"/>
    </row>
    <row r="25" spans="1:19" s="473" customFormat="1" ht="15" thickBot="1">
      <c r="A25" s="831" t="s">
        <v>848</v>
      </c>
      <c r="B25" s="1015"/>
      <c r="C25" s="1016">
        <f>IF(Onbekend_ele_kWh="---",0,Onbekend_ele_kWh)/1000+IF(REST_rest_ele_kWh="---",0,REST_rest_ele_kWh)/1000</f>
        <v>913.59171193999998</v>
      </c>
      <c r="D25" s="1016"/>
      <c r="E25" s="1016">
        <f>IF(onbekend_gas_kWh="---",0,onbekend_gas_kWh)/1000+IF(REST_rest_gas_kWh="---",0,REST_rest_gas_kWh)/1000</f>
        <v>687.16540079000004</v>
      </c>
      <c r="F25" s="1016"/>
      <c r="G25" s="1016"/>
      <c r="H25" s="1016"/>
      <c r="I25" s="1016"/>
      <c r="J25" s="1016"/>
      <c r="K25" s="1016"/>
      <c r="L25" s="1016"/>
      <c r="M25" s="1016"/>
      <c r="N25" s="1016"/>
      <c r="O25" s="1016"/>
      <c r="P25" s="1016"/>
      <c r="Q25" s="1017"/>
      <c r="R25" s="700">
        <f>SUM(C25:Q25)</f>
        <v>1600.75711273</v>
      </c>
      <c r="S25" s="67"/>
    </row>
    <row r="26" spans="1:19" s="473" customFormat="1" ht="15.75" thickBot="1">
      <c r="A26" s="705" t="s">
        <v>849</v>
      </c>
      <c r="B26" s="817"/>
      <c r="C26" s="812">
        <f>SUM(C24:C25)</f>
        <v>5563.7753186440004</v>
      </c>
      <c r="D26" s="812">
        <f t="shared" ref="D26:R26" si="2">SUM(D24:D25)</f>
        <v>9530.3571428571431</v>
      </c>
      <c r="E26" s="812">
        <f t="shared" si="2"/>
        <v>4517.4298606989469</v>
      </c>
      <c r="F26" s="812">
        <f t="shared" si="2"/>
        <v>119.91038057610642</v>
      </c>
      <c r="G26" s="812">
        <f t="shared" si="2"/>
        <v>16997.306666951863</v>
      </c>
      <c r="H26" s="812">
        <f t="shared" si="2"/>
        <v>0</v>
      </c>
      <c r="I26" s="812">
        <f t="shared" si="2"/>
        <v>0</v>
      </c>
      <c r="J26" s="812">
        <f t="shared" si="2"/>
        <v>0</v>
      </c>
      <c r="K26" s="812">
        <f t="shared" si="2"/>
        <v>669.45537465570476</v>
      </c>
      <c r="L26" s="812">
        <f t="shared" si="2"/>
        <v>0</v>
      </c>
      <c r="M26" s="812">
        <f t="shared" si="2"/>
        <v>0</v>
      </c>
      <c r="N26" s="812">
        <f t="shared" si="2"/>
        <v>0</v>
      </c>
      <c r="O26" s="812">
        <f t="shared" si="2"/>
        <v>0</v>
      </c>
      <c r="P26" s="812">
        <f t="shared" si="2"/>
        <v>0</v>
      </c>
      <c r="Q26" s="812">
        <f t="shared" si="2"/>
        <v>0</v>
      </c>
      <c r="R26" s="812">
        <f t="shared" si="2"/>
        <v>37398.234744383772</v>
      </c>
      <c r="S26" s="67"/>
    </row>
    <row r="27" spans="1:19" s="473" customFormat="1" ht="17.25" thickTop="1" thickBot="1">
      <c r="A27" s="706" t="s">
        <v>116</v>
      </c>
      <c r="B27" s="805"/>
      <c r="C27" s="707">
        <f ca="1">C22+C16+C26</f>
        <v>77172.753151302211</v>
      </c>
      <c r="D27" s="707">
        <f t="shared" ref="D27:R27" ca="1" si="3">D22+D16+D26</f>
        <v>9530.3571428571431</v>
      </c>
      <c r="E27" s="707">
        <f t="shared" ca="1" si="3"/>
        <v>296251.89409308165</v>
      </c>
      <c r="F27" s="707">
        <f t="shared" si="3"/>
        <v>10257.045057188669</v>
      </c>
      <c r="G27" s="707">
        <f t="shared" ca="1" si="3"/>
        <v>46764.494136261885</v>
      </c>
      <c r="H27" s="707">
        <f t="shared" si="3"/>
        <v>45815.336364789619</v>
      </c>
      <c r="I27" s="707">
        <f t="shared" si="3"/>
        <v>9545.7404496420168</v>
      </c>
      <c r="J27" s="707">
        <f t="shared" si="3"/>
        <v>0</v>
      </c>
      <c r="K27" s="707">
        <f t="shared" si="3"/>
        <v>5517.56799121324</v>
      </c>
      <c r="L27" s="707">
        <f t="shared" si="3"/>
        <v>0</v>
      </c>
      <c r="M27" s="707">
        <f t="shared" ca="1" si="3"/>
        <v>0</v>
      </c>
      <c r="N27" s="707">
        <f t="shared" si="3"/>
        <v>1728.9576968486469</v>
      </c>
      <c r="O27" s="707">
        <f t="shared" ca="1" si="3"/>
        <v>27354.27129747194</v>
      </c>
      <c r="P27" s="707">
        <f t="shared" si="3"/>
        <v>221.99333333333334</v>
      </c>
      <c r="Q27" s="707">
        <f t="shared" si="3"/>
        <v>247.86666666666667</v>
      </c>
      <c r="R27" s="707">
        <f t="shared" ca="1" si="3"/>
        <v>530408.27738065692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1731.137174919628</v>
      </c>
      <c r="D40" s="1012">
        <f ca="1">tertiair!C20</f>
        <v>0</v>
      </c>
      <c r="E40" s="1012">
        <f ca="1">tertiair!D20</f>
        <v>1556.5902746915469</v>
      </c>
      <c r="F40" s="1012">
        <f>tertiair!E20</f>
        <v>38.211406215038316</v>
      </c>
      <c r="G40" s="1012">
        <f ca="1">tertiair!F20</f>
        <v>494.23070862253275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3820.1695644487459</v>
      </c>
    </row>
    <row r="41" spans="1:18">
      <c r="A41" s="822" t="s">
        <v>225</v>
      </c>
      <c r="B41" s="829"/>
      <c r="C41" s="1012">
        <f ca="1">huishoudens!B12</f>
        <v>2894.3670785288473</v>
      </c>
      <c r="D41" s="1012">
        <f ca="1">huishoudens!C12</f>
        <v>0</v>
      </c>
      <c r="E41" s="1012">
        <f>huishoudens!D12</f>
        <v>3710.8837615912926</v>
      </c>
      <c r="F41" s="1012">
        <f>huishoudens!E12</f>
        <v>1832.9310087909912</v>
      </c>
      <c r="G41" s="1012">
        <f>huishoudens!F12</f>
        <v>4420.2114408545121</v>
      </c>
      <c r="H41" s="1012">
        <f>huishoudens!G12</f>
        <v>0</v>
      </c>
      <c r="I41" s="1012">
        <f>huishoudens!H12</f>
        <v>0</v>
      </c>
      <c r="J41" s="1012">
        <f>huishoudens!I12</f>
        <v>0</v>
      </c>
      <c r="K41" s="1012">
        <f>huishoudens!J12</f>
        <v>1675.4661763731053</v>
      </c>
      <c r="L41" s="1012">
        <f>huishoudens!K12</f>
        <v>0</v>
      </c>
      <c r="M41" s="1012">
        <f>huishoudens!L12</f>
        <v>0</v>
      </c>
      <c r="N41" s="1012">
        <f>huishoudens!M12</f>
        <v>0</v>
      </c>
      <c r="O41" s="1012">
        <f>huishoudens!N12</f>
        <v>0</v>
      </c>
      <c r="P41" s="1012">
        <f>huishoudens!O12</f>
        <v>0</v>
      </c>
      <c r="Q41" s="774">
        <f>huishoudens!P12</f>
        <v>0</v>
      </c>
      <c r="R41" s="850">
        <f t="shared" ca="1" si="4"/>
        <v>14533.859466138747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10476.614735066449</v>
      </c>
      <c r="D43" s="1012">
        <f ca="1">industrie!C22</f>
        <v>0</v>
      </c>
      <c r="E43" s="1012">
        <f>industrie!D22</f>
        <v>53655.654427668269</v>
      </c>
      <c r="F43" s="1012">
        <f>industrie!E22</f>
        <v>399.16035552813759</v>
      </c>
      <c r="G43" s="1012">
        <f>industrie!F22</f>
        <v>3033.3969048287317</v>
      </c>
      <c r="H43" s="1012">
        <f>industrie!G22</f>
        <v>0</v>
      </c>
      <c r="I43" s="1012">
        <f>industrie!H22</f>
        <v>0</v>
      </c>
      <c r="J43" s="1012">
        <f>industrie!I22</f>
        <v>0</v>
      </c>
      <c r="K43" s="1012">
        <f>industrie!J22</f>
        <v>40.765689888262116</v>
      </c>
      <c r="L43" s="1012">
        <f>industrie!K22</f>
        <v>0</v>
      </c>
      <c r="M43" s="1012">
        <f>industrie!L22</f>
        <v>0</v>
      </c>
      <c r="N43" s="1012">
        <f>industrie!M22</f>
        <v>0</v>
      </c>
      <c r="O43" s="1012">
        <f>industrie!N22</f>
        <v>0</v>
      </c>
      <c r="P43" s="1012">
        <f>industrie!O22</f>
        <v>0</v>
      </c>
      <c r="Q43" s="774">
        <f>industrie!P22</f>
        <v>0</v>
      </c>
      <c r="R43" s="849">
        <f t="shared" ca="1" si="4"/>
        <v>67605.592112979837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15102.118988514925</v>
      </c>
      <c r="D46" s="732">
        <f t="shared" ref="D46:Q46" ca="1" si="5">SUM(D39:D45)</f>
        <v>0</v>
      </c>
      <c r="E46" s="732">
        <f t="shared" ca="1" si="5"/>
        <v>58923.128463951107</v>
      </c>
      <c r="F46" s="732">
        <f t="shared" si="5"/>
        <v>2270.3027705341669</v>
      </c>
      <c r="G46" s="732">
        <f t="shared" ca="1" si="5"/>
        <v>7947.8390543057767</v>
      </c>
      <c r="H46" s="732">
        <f t="shared" si="5"/>
        <v>0</v>
      </c>
      <c r="I46" s="732">
        <f t="shared" si="5"/>
        <v>0</v>
      </c>
      <c r="J46" s="732">
        <f t="shared" si="5"/>
        <v>0</v>
      </c>
      <c r="K46" s="732">
        <f t="shared" si="5"/>
        <v>1716.2318662613675</v>
      </c>
      <c r="L46" s="732">
        <f t="shared" si="5"/>
        <v>0</v>
      </c>
      <c r="M46" s="732">
        <f t="shared" ca="1" si="5"/>
        <v>0</v>
      </c>
      <c r="N46" s="732">
        <f t="shared" si="5"/>
        <v>0</v>
      </c>
      <c r="O46" s="732">
        <f t="shared" ca="1" si="5"/>
        <v>0</v>
      </c>
      <c r="P46" s="732">
        <f t="shared" si="5"/>
        <v>0</v>
      </c>
      <c r="Q46" s="732">
        <f t="shared" si="5"/>
        <v>0</v>
      </c>
      <c r="R46" s="732">
        <f ca="1">SUM(R39:R45)</f>
        <v>85959.621143567332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264.81968937747905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264.81968937747905</v>
      </c>
    </row>
    <row r="50" spans="1:18">
      <c r="A50" s="825" t="s">
        <v>307</v>
      </c>
      <c r="B50" s="835"/>
      <c r="C50" s="703">
        <f ca="1">transport!B18</f>
        <v>2.8925203094486527</v>
      </c>
      <c r="D50" s="703">
        <f>transport!C18</f>
        <v>0</v>
      </c>
      <c r="E50" s="703">
        <f>transport!D18</f>
        <v>7.2333109902033357</v>
      </c>
      <c r="F50" s="703">
        <f>transport!E18</f>
        <v>30.826801056884431</v>
      </c>
      <c r="G50" s="703">
        <f>transport!F18</f>
        <v>0</v>
      </c>
      <c r="H50" s="703">
        <f>transport!G18</f>
        <v>11967.87512002135</v>
      </c>
      <c r="I50" s="703">
        <f>transport!H18</f>
        <v>2376.8893719608623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14385.717124338749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2.8925203094486527</v>
      </c>
      <c r="D52" s="732">
        <f t="shared" ref="D52:Q52" ca="1" si="6">SUM(D48:D51)</f>
        <v>0</v>
      </c>
      <c r="E52" s="732">
        <f t="shared" si="6"/>
        <v>7.2333109902033357</v>
      </c>
      <c r="F52" s="732">
        <f t="shared" si="6"/>
        <v>30.826801056884431</v>
      </c>
      <c r="G52" s="732">
        <f t="shared" si="6"/>
        <v>0</v>
      </c>
      <c r="H52" s="732">
        <f t="shared" si="6"/>
        <v>12232.694809398829</v>
      </c>
      <c r="I52" s="732">
        <f t="shared" si="6"/>
        <v>2376.8893719608623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14650.536813716228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980.89763355588627</v>
      </c>
      <c r="D54" s="703">
        <f ca="1">+landbouw!C12</f>
        <v>2264.8613445378155</v>
      </c>
      <c r="E54" s="703">
        <f>+landbouw!D12</f>
        <v>773.71342090160738</v>
      </c>
      <c r="F54" s="703">
        <f>+landbouw!E12</f>
        <v>27.219656390776159</v>
      </c>
      <c r="G54" s="703">
        <f>+landbouw!F12</f>
        <v>4538.2808800761477</v>
      </c>
      <c r="H54" s="703">
        <f>+landbouw!G12</f>
        <v>0</v>
      </c>
      <c r="I54" s="703">
        <f>+landbouw!H12</f>
        <v>0</v>
      </c>
      <c r="J54" s="703">
        <f>+landbouw!I12</f>
        <v>0</v>
      </c>
      <c r="K54" s="703">
        <f>+landbouw!J12</f>
        <v>236.98720262811946</v>
      </c>
      <c r="L54" s="703">
        <f>+landbouw!K12</f>
        <v>0</v>
      </c>
      <c r="M54" s="703">
        <f>+landbouw!L12</f>
        <v>0</v>
      </c>
      <c r="N54" s="703">
        <f>+landbouw!M12</f>
        <v>0</v>
      </c>
      <c r="O54" s="703">
        <f>+landbouw!N12</f>
        <v>0</v>
      </c>
      <c r="P54" s="703">
        <f>+landbouw!O12</f>
        <v>0</v>
      </c>
      <c r="Q54" s="704">
        <f>+landbouw!P12</f>
        <v>0</v>
      </c>
      <c r="R54" s="731">
        <f ca="1">SUM(C54:Q54)</f>
        <v>8821.9601380903514</v>
      </c>
    </row>
    <row r="55" spans="1:18" ht="15" thickBot="1">
      <c r="A55" s="825" t="s">
        <v>848</v>
      </c>
      <c r="B55" s="835"/>
      <c r="C55" s="703">
        <f ca="1">C25*'EF ele_warmte'!B12</f>
        <v>192.71065920629124</v>
      </c>
      <c r="D55" s="703"/>
      <c r="E55" s="703">
        <f>E25*EF_CO2_aardgas</f>
        <v>138.80741095958001</v>
      </c>
      <c r="F55" s="703"/>
      <c r="G55" s="703"/>
      <c r="H55" s="703"/>
      <c r="I55" s="703"/>
      <c r="J55" s="703"/>
      <c r="K55" s="703"/>
      <c r="L55" s="703"/>
      <c r="M55" s="703"/>
      <c r="N55" s="703"/>
      <c r="O55" s="703"/>
      <c r="P55" s="703"/>
      <c r="Q55" s="704"/>
      <c r="R55" s="731">
        <f ca="1">SUM(C55:Q55)</f>
        <v>331.51807016587122</v>
      </c>
    </row>
    <row r="56" spans="1:18" ht="15.75" thickBot="1">
      <c r="A56" s="823" t="s">
        <v>849</v>
      </c>
      <c r="B56" s="836"/>
      <c r="C56" s="732">
        <f ca="1">SUM(C54:C55)</f>
        <v>1173.6082927621776</v>
      </c>
      <c r="D56" s="732">
        <f t="shared" ref="D56:Q56" ca="1" si="7">SUM(D54:D55)</f>
        <v>2264.8613445378155</v>
      </c>
      <c r="E56" s="732">
        <f t="shared" si="7"/>
        <v>912.52083186118739</v>
      </c>
      <c r="F56" s="732">
        <f t="shared" si="7"/>
        <v>27.219656390776159</v>
      </c>
      <c r="G56" s="732">
        <f t="shared" si="7"/>
        <v>4538.2808800761477</v>
      </c>
      <c r="H56" s="732">
        <f t="shared" si="7"/>
        <v>0</v>
      </c>
      <c r="I56" s="732">
        <f t="shared" si="7"/>
        <v>0</v>
      </c>
      <c r="J56" s="732">
        <f t="shared" si="7"/>
        <v>0</v>
      </c>
      <c r="K56" s="732">
        <f t="shared" si="7"/>
        <v>236.98720262811946</v>
      </c>
      <c r="L56" s="732">
        <f t="shared" si="7"/>
        <v>0</v>
      </c>
      <c r="M56" s="732">
        <f t="shared" si="7"/>
        <v>0</v>
      </c>
      <c r="N56" s="732">
        <f t="shared" si="7"/>
        <v>0</v>
      </c>
      <c r="O56" s="732">
        <f t="shared" si="7"/>
        <v>0</v>
      </c>
      <c r="P56" s="732">
        <f t="shared" si="7"/>
        <v>0</v>
      </c>
      <c r="Q56" s="733">
        <f t="shared" si="7"/>
        <v>0</v>
      </c>
      <c r="R56" s="734">
        <f ca="1">SUM(R54:R55)</f>
        <v>9153.4782082562233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16278.619801586552</v>
      </c>
      <c r="D61" s="740">
        <f t="shared" ref="D61:Q61" ca="1" si="8">D46+D52+D56</f>
        <v>2264.8613445378155</v>
      </c>
      <c r="E61" s="740">
        <f t="shared" ca="1" si="8"/>
        <v>59842.882606802494</v>
      </c>
      <c r="F61" s="740">
        <f t="shared" si="8"/>
        <v>2328.3492279818274</v>
      </c>
      <c r="G61" s="740">
        <f t="shared" ca="1" si="8"/>
        <v>12486.119934381924</v>
      </c>
      <c r="H61" s="740">
        <f t="shared" si="8"/>
        <v>12232.694809398829</v>
      </c>
      <c r="I61" s="740">
        <f t="shared" si="8"/>
        <v>2376.8893719608623</v>
      </c>
      <c r="J61" s="740">
        <f t="shared" si="8"/>
        <v>0</v>
      </c>
      <c r="K61" s="740">
        <f t="shared" si="8"/>
        <v>1953.2190688894871</v>
      </c>
      <c r="L61" s="740">
        <f t="shared" si="8"/>
        <v>0</v>
      </c>
      <c r="M61" s="740">
        <f t="shared" ca="1" si="8"/>
        <v>0</v>
      </c>
      <c r="N61" s="740">
        <f t="shared" si="8"/>
        <v>0</v>
      </c>
      <c r="O61" s="740">
        <f t="shared" ca="1" si="8"/>
        <v>0</v>
      </c>
      <c r="P61" s="740">
        <f t="shared" si="8"/>
        <v>0</v>
      </c>
      <c r="Q61" s="740">
        <f t="shared" si="8"/>
        <v>0</v>
      </c>
      <c r="R61" s="740">
        <f ca="1">R46+R52+R56</f>
        <v>109763.63616553979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0.21093739871728118</v>
      </c>
      <c r="D63" s="781">
        <f t="shared" ca="1" si="9"/>
        <v>0.23764705882352943</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4016.3589865507283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6671.25</v>
      </c>
      <c r="D76" s="1033">
        <f>'lokale energieproductie'!C8</f>
        <v>7848.5294117647054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1585.4029411764707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4016.3589865507283</v>
      </c>
      <c r="C78" s="755">
        <f>SUM(C72:C77)</f>
        <v>6671.25</v>
      </c>
      <c r="D78" s="756">
        <f t="shared" ref="D78:H78" si="10">SUM(D76:D77)</f>
        <v>7848.5294117647054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1585.4029411764707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9530.3571428571431</v>
      </c>
      <c r="D87" s="777">
        <f>'lokale energieproductie'!C17</f>
        <v>11212.18487394958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2264.8613445378155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9530.3571428571431</v>
      </c>
      <c r="D90" s="755">
        <f t="shared" ref="D90:H90" si="12">SUM(D87:D89)</f>
        <v>11212.18487394958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2264.8613445378155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4016.3589865507283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6671.25</v>
      </c>
      <c r="C8" s="570">
        <f>B101</f>
        <v>7848.5294117647054</v>
      </c>
      <c r="D8" s="1043"/>
      <c r="E8" s="1043">
        <f>E101</f>
        <v>0</v>
      </c>
      <c r="F8" s="1044"/>
      <c r="G8" s="571"/>
      <c r="H8" s="1043">
        <f>I101</f>
        <v>0</v>
      </c>
      <c r="I8" s="1043">
        <f>G101+F101</f>
        <v>0</v>
      </c>
      <c r="J8" s="1043">
        <f>H101+D101+C101</f>
        <v>0</v>
      </c>
      <c r="K8" s="1043"/>
      <c r="L8" s="1043"/>
      <c r="M8" s="1043"/>
      <c r="N8" s="572"/>
      <c r="O8" s="573">
        <f>C8*$C$12+D8*$D$12+E8*$E$12+F8*$F$12+G8*$G$12+H8*$H$12+I8*$I$12+J8*$J$12</f>
        <v>1585.4029411764707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10687.608986550727</v>
      </c>
      <c r="C10" s="583">
        <f t="shared" ref="C10:L10" si="0">SUM(C8:C9)</f>
        <v>7848.5294117647054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1585.4029411764707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9530.3571428571431</v>
      </c>
      <c r="C17" s="595">
        <f>B102</f>
        <v>11212.18487394958</v>
      </c>
      <c r="D17" s="596"/>
      <c r="E17" s="596">
        <f>E102</f>
        <v>0</v>
      </c>
      <c r="F17" s="1049"/>
      <c r="G17" s="597"/>
      <c r="H17" s="595">
        <f>I102</f>
        <v>0</v>
      </c>
      <c r="I17" s="596">
        <f>G102+F102</f>
        <v>0</v>
      </c>
      <c r="J17" s="596">
        <f>H102+D102+C102</f>
        <v>0</v>
      </c>
      <c r="K17" s="596"/>
      <c r="L17" s="596"/>
      <c r="M17" s="596"/>
      <c r="N17" s="1050"/>
      <c r="O17" s="598">
        <f>C17*$C$22+E17*$E$22+H17*$H$22+I17*$I$22+J17*$J$22+D17*$D$22+F17*$F$22+G17*$G$22+K17*$K$22+L17*$L$22</f>
        <v>2264.8613445378155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9530.3571428571431</v>
      </c>
      <c r="C20" s="582">
        <f>SUM(C17:C19)</f>
        <v>11212.18487394958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2264.8613445378155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33040</v>
      </c>
      <c r="C28" s="796">
        <v>8920</v>
      </c>
      <c r="D28" s="653" t="s">
        <v>890</v>
      </c>
      <c r="E28" s="652" t="s">
        <v>891</v>
      </c>
      <c r="F28" s="652" t="s">
        <v>892</v>
      </c>
      <c r="G28" s="652" t="s">
        <v>893</v>
      </c>
      <c r="H28" s="652" t="s">
        <v>894</v>
      </c>
      <c r="I28" s="652" t="s">
        <v>891</v>
      </c>
      <c r="J28" s="795">
        <v>40584</v>
      </c>
      <c r="K28" s="795">
        <v>40584</v>
      </c>
      <c r="L28" s="652" t="s">
        <v>895</v>
      </c>
      <c r="M28" s="652">
        <v>1477</v>
      </c>
      <c r="N28" s="652">
        <v>6646.5</v>
      </c>
      <c r="O28" s="652">
        <v>9495</v>
      </c>
      <c r="P28" s="652">
        <v>18990</v>
      </c>
      <c r="Q28" s="652">
        <v>0</v>
      </c>
      <c r="R28" s="652">
        <v>0</v>
      </c>
      <c r="S28" s="652">
        <v>0</v>
      </c>
      <c r="T28" s="652">
        <v>0</v>
      </c>
      <c r="U28" s="652">
        <v>0</v>
      </c>
      <c r="V28" s="652">
        <v>0</v>
      </c>
      <c r="W28" s="652">
        <v>0</v>
      </c>
      <c r="X28" s="652">
        <v>10</v>
      </c>
      <c r="Y28" s="652" t="s">
        <v>112</v>
      </c>
      <c r="Z28" s="654" t="s">
        <v>112</v>
      </c>
    </row>
    <row r="29" spans="1:26" s="606" customFormat="1" ht="25.5">
      <c r="A29" s="605"/>
      <c r="B29" s="796">
        <v>33040</v>
      </c>
      <c r="C29" s="796">
        <v>8920</v>
      </c>
      <c r="D29" s="653" t="s">
        <v>896</v>
      </c>
      <c r="E29" s="652" t="s">
        <v>897</v>
      </c>
      <c r="F29" s="652" t="s">
        <v>898</v>
      </c>
      <c r="G29" s="652" t="s">
        <v>893</v>
      </c>
      <c r="H29" s="652" t="s">
        <v>894</v>
      </c>
      <c r="I29" s="652" t="s">
        <v>897</v>
      </c>
      <c r="J29" s="795">
        <v>41411</v>
      </c>
      <c r="K29" s="795">
        <v>41474</v>
      </c>
      <c r="L29" s="652" t="s">
        <v>895</v>
      </c>
      <c r="M29" s="652">
        <v>5.5</v>
      </c>
      <c r="N29" s="652">
        <v>24.75</v>
      </c>
      <c r="O29" s="652">
        <v>35.357142857142861</v>
      </c>
      <c r="P29" s="652">
        <v>70.714285714285722</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1482.5</v>
      </c>
      <c r="N58" s="610">
        <f>SUM(N28:N57)</f>
        <v>6671.25</v>
      </c>
      <c r="O58" s="610">
        <f t="shared" ref="O58:W58" si="2">SUM(O28:O57)</f>
        <v>9530.3571428571431</v>
      </c>
      <c r="P58" s="610">
        <f t="shared" si="2"/>
        <v>19060.714285714286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1482.5</v>
      </c>
      <c r="N61" s="615">
        <f t="shared" si="4"/>
        <v>6671.25</v>
      </c>
      <c r="O61" s="615">
        <f t="shared" si="4"/>
        <v>9530.3571428571431</v>
      </c>
      <c r="P61" s="615">
        <f t="shared" si="4"/>
        <v>19060.714285714286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7848.5294117647054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11212.18487394958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13721.450516265066</v>
      </c>
      <c r="C4" s="477">
        <f>huishoudens!C8</f>
        <v>0</v>
      </c>
      <c r="D4" s="477">
        <f>huishoudens!D8</f>
        <v>18370.711691046003</v>
      </c>
      <c r="E4" s="477">
        <f>huishoudens!E8</f>
        <v>8074.5859418105338</v>
      </c>
      <c r="F4" s="477">
        <f>huishoudens!F8</f>
        <v>16555.099029417648</v>
      </c>
      <c r="G4" s="477">
        <f>huishoudens!G8</f>
        <v>0</v>
      </c>
      <c r="H4" s="477">
        <f>huishoudens!H8</f>
        <v>0</v>
      </c>
      <c r="I4" s="477">
        <f>huishoudens!I8</f>
        <v>0</v>
      </c>
      <c r="J4" s="477">
        <f>huishoudens!J8</f>
        <v>4732.9553004889985</v>
      </c>
      <c r="K4" s="477">
        <f>huishoudens!K8</f>
        <v>0</v>
      </c>
      <c r="L4" s="477">
        <f>huishoudens!L8</f>
        <v>0</v>
      </c>
      <c r="M4" s="477">
        <f>huishoudens!M8</f>
        <v>0</v>
      </c>
      <c r="N4" s="477">
        <f>huishoudens!N8</f>
        <v>10746.080182113994</v>
      </c>
      <c r="O4" s="477">
        <f>huishoudens!O8</f>
        <v>221.99333333333334</v>
      </c>
      <c r="P4" s="478">
        <f>huishoudens!P8</f>
        <v>228.8</v>
      </c>
      <c r="Q4" s="479">
        <f>SUM(B4:P4)</f>
        <v>72651.675994475576</v>
      </c>
    </row>
    <row r="5" spans="1:17">
      <c r="A5" s="476" t="s">
        <v>156</v>
      </c>
      <c r="B5" s="477">
        <f ca="1">tertiair!B16</f>
        <v>7479.5684735259993</v>
      </c>
      <c r="C5" s="477">
        <f ca="1">tertiair!C16</f>
        <v>0</v>
      </c>
      <c r="D5" s="477">
        <f ca="1">tertiair!D16</f>
        <v>7705.8924489680539</v>
      </c>
      <c r="E5" s="477">
        <f>tertiair!E16</f>
        <v>168.33218596933179</v>
      </c>
      <c r="F5" s="477">
        <f ca="1">tertiair!F16</f>
        <v>1851.0513431555532</v>
      </c>
      <c r="G5" s="477">
        <f>tertiair!G16</f>
        <v>0</v>
      </c>
      <c r="H5" s="477">
        <f>tertiair!H16</f>
        <v>0</v>
      </c>
      <c r="I5" s="477">
        <f>tertiair!I16</f>
        <v>0</v>
      </c>
      <c r="J5" s="477">
        <f>tertiair!J16</f>
        <v>0</v>
      </c>
      <c r="K5" s="477">
        <f>tertiair!K16</f>
        <v>0</v>
      </c>
      <c r="L5" s="477">
        <f ca="1">tertiair!L16</f>
        <v>0</v>
      </c>
      <c r="M5" s="477">
        <f>tertiair!M16</f>
        <v>0</v>
      </c>
      <c r="N5" s="477">
        <f ca="1">tertiair!N16</f>
        <v>457.55591045556082</v>
      </c>
      <c r="O5" s="477">
        <f>tertiair!O16</f>
        <v>0</v>
      </c>
      <c r="P5" s="478">
        <f>tertiair!P16</f>
        <v>19.066666666666666</v>
      </c>
      <c r="Q5" s="476">
        <f t="shared" ref="Q5:Q14" ca="1" si="0">SUM(B5:P5)</f>
        <v>17681.467028741165</v>
      </c>
    </row>
    <row r="6" spans="1:17">
      <c r="A6" s="476" t="s">
        <v>194</v>
      </c>
      <c r="B6" s="477">
        <f>'openbare verlichting'!B8</f>
        <v>727.30799999999999</v>
      </c>
      <c r="C6" s="477"/>
      <c r="D6" s="477"/>
      <c r="E6" s="477"/>
      <c r="F6" s="477"/>
      <c r="G6" s="477"/>
      <c r="H6" s="477"/>
      <c r="I6" s="477"/>
      <c r="J6" s="477"/>
      <c r="K6" s="477"/>
      <c r="L6" s="477"/>
      <c r="M6" s="477"/>
      <c r="N6" s="477"/>
      <c r="O6" s="477"/>
      <c r="P6" s="478"/>
      <c r="Q6" s="476">
        <f t="shared" si="0"/>
        <v>727.30799999999999</v>
      </c>
    </row>
    <row r="7" spans="1:17">
      <c r="A7" s="476" t="s">
        <v>112</v>
      </c>
      <c r="B7" s="477">
        <f>landbouw!B8</f>
        <v>4650.1836067040003</v>
      </c>
      <c r="C7" s="477">
        <f>landbouw!C8</f>
        <v>9530.3571428571431</v>
      </c>
      <c r="D7" s="477">
        <f>landbouw!D8</f>
        <v>3830.2644599089472</v>
      </c>
      <c r="E7" s="477">
        <f>landbouw!E8</f>
        <v>119.91038057610642</v>
      </c>
      <c r="F7" s="477">
        <f>landbouw!F8</f>
        <v>16997.306666951863</v>
      </c>
      <c r="G7" s="477">
        <f>landbouw!G8</f>
        <v>0</v>
      </c>
      <c r="H7" s="477">
        <f>landbouw!H8</f>
        <v>0</v>
      </c>
      <c r="I7" s="477">
        <f>landbouw!I8</f>
        <v>0</v>
      </c>
      <c r="J7" s="477">
        <f>landbouw!J8</f>
        <v>669.45537465570476</v>
      </c>
      <c r="K7" s="477">
        <f>landbouw!K8</f>
        <v>0</v>
      </c>
      <c r="L7" s="477">
        <f>landbouw!L8</f>
        <v>0</v>
      </c>
      <c r="M7" s="477">
        <f>landbouw!M8</f>
        <v>0</v>
      </c>
      <c r="N7" s="477">
        <f>landbouw!N8</f>
        <v>0</v>
      </c>
      <c r="O7" s="477">
        <f>landbouw!O8</f>
        <v>0</v>
      </c>
      <c r="P7" s="478">
        <f>landbouw!P8</f>
        <v>0</v>
      </c>
      <c r="Q7" s="476">
        <f t="shared" si="0"/>
        <v>35797.477631653768</v>
      </c>
    </row>
    <row r="8" spans="1:17">
      <c r="A8" s="476" t="s">
        <v>638</v>
      </c>
      <c r="B8" s="477">
        <f>industrie!B18</f>
        <v>49666.938147408502</v>
      </c>
      <c r="C8" s="477">
        <f>industrie!C18</f>
        <v>0</v>
      </c>
      <c r="D8" s="477">
        <f>industrie!D18</f>
        <v>265622.05162212014</v>
      </c>
      <c r="E8" s="477">
        <f>industrie!E18</f>
        <v>1758.4156631195488</v>
      </c>
      <c r="F8" s="477">
        <f>industrie!F18</f>
        <v>11361.037096736822</v>
      </c>
      <c r="G8" s="477">
        <f>industrie!G18</f>
        <v>0</v>
      </c>
      <c r="H8" s="477">
        <f>industrie!H18</f>
        <v>0</v>
      </c>
      <c r="I8" s="477">
        <f>industrie!I18</f>
        <v>0</v>
      </c>
      <c r="J8" s="477">
        <f>industrie!J18</f>
        <v>115.15731606853706</v>
      </c>
      <c r="K8" s="477">
        <f>industrie!K18</f>
        <v>0</v>
      </c>
      <c r="L8" s="477">
        <f>industrie!L18</f>
        <v>0</v>
      </c>
      <c r="M8" s="477">
        <f>industrie!M18</f>
        <v>0</v>
      </c>
      <c r="N8" s="477">
        <f>industrie!N18</f>
        <v>16150.635204902384</v>
      </c>
      <c r="O8" s="477">
        <f>industrie!O18</f>
        <v>0</v>
      </c>
      <c r="P8" s="478">
        <f>industrie!P18</f>
        <v>0</v>
      </c>
      <c r="Q8" s="476">
        <f t="shared" si="0"/>
        <v>344674.2350503559</v>
      </c>
    </row>
    <row r="9" spans="1:17" s="482" customFormat="1">
      <c r="A9" s="480" t="s">
        <v>564</v>
      </c>
      <c r="B9" s="481">
        <f>transport!B14</f>
        <v>13.712695458644061</v>
      </c>
      <c r="C9" s="481">
        <f>transport!C14</f>
        <v>0</v>
      </c>
      <c r="D9" s="481">
        <f>transport!D14</f>
        <v>35.808470248531364</v>
      </c>
      <c r="E9" s="481">
        <f>transport!E14</f>
        <v>135.80088571314727</v>
      </c>
      <c r="F9" s="481">
        <f>transport!F14</f>
        <v>0</v>
      </c>
      <c r="G9" s="481">
        <f>transport!G14</f>
        <v>44823.502322177337</v>
      </c>
      <c r="H9" s="481">
        <f>transport!H14</f>
        <v>9545.7404496420168</v>
      </c>
      <c r="I9" s="481">
        <f>transport!I14</f>
        <v>0</v>
      </c>
      <c r="J9" s="481">
        <f>transport!J14</f>
        <v>0</v>
      </c>
      <c r="K9" s="481">
        <f>transport!K14</f>
        <v>0</v>
      </c>
      <c r="L9" s="481">
        <f>transport!L14</f>
        <v>0</v>
      </c>
      <c r="M9" s="481">
        <f>transport!M14</f>
        <v>1698.1932237601686</v>
      </c>
      <c r="N9" s="481">
        <f>transport!N14</f>
        <v>0</v>
      </c>
      <c r="O9" s="481">
        <f>transport!O14</f>
        <v>0</v>
      </c>
      <c r="P9" s="481">
        <f>transport!P14</f>
        <v>0</v>
      </c>
      <c r="Q9" s="480">
        <f>SUM(B9:P9)</f>
        <v>56252.75804699985</v>
      </c>
    </row>
    <row r="10" spans="1:17">
      <c r="A10" s="476" t="s">
        <v>554</v>
      </c>
      <c r="B10" s="477">
        <f>transport!B54</f>
        <v>0</v>
      </c>
      <c r="C10" s="477">
        <f>transport!C54</f>
        <v>0</v>
      </c>
      <c r="D10" s="477">
        <f>transport!D54</f>
        <v>0</v>
      </c>
      <c r="E10" s="477">
        <f>transport!E54</f>
        <v>0</v>
      </c>
      <c r="F10" s="477">
        <f>transport!F54</f>
        <v>0</v>
      </c>
      <c r="G10" s="477">
        <f>transport!G54</f>
        <v>991.834042612281</v>
      </c>
      <c r="H10" s="477">
        <f>transport!H54</f>
        <v>0</v>
      </c>
      <c r="I10" s="477">
        <f>transport!I54</f>
        <v>0</v>
      </c>
      <c r="J10" s="477">
        <f>transport!J54</f>
        <v>0</v>
      </c>
      <c r="K10" s="477">
        <f>transport!K54</f>
        <v>0</v>
      </c>
      <c r="L10" s="477">
        <f>transport!L54</f>
        <v>0</v>
      </c>
      <c r="M10" s="477">
        <f>transport!M54</f>
        <v>30.764473088478429</v>
      </c>
      <c r="N10" s="477">
        <f>transport!N54</f>
        <v>0</v>
      </c>
      <c r="O10" s="477">
        <f>transport!O54</f>
        <v>0</v>
      </c>
      <c r="P10" s="478">
        <f>transport!P54</f>
        <v>0</v>
      </c>
      <c r="Q10" s="476">
        <f t="shared" si="0"/>
        <v>1022.5985157007594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913.59171193999998</v>
      </c>
      <c r="C14" s="484"/>
      <c r="D14" s="484">
        <f>'SEAP template'!E25</f>
        <v>687.16540079000004</v>
      </c>
      <c r="E14" s="484"/>
      <c r="F14" s="484"/>
      <c r="G14" s="484"/>
      <c r="H14" s="484"/>
      <c r="I14" s="484"/>
      <c r="J14" s="484"/>
      <c r="K14" s="484"/>
      <c r="L14" s="484"/>
      <c r="M14" s="484"/>
      <c r="N14" s="484"/>
      <c r="O14" s="484"/>
      <c r="P14" s="485"/>
      <c r="Q14" s="476">
        <f t="shared" si="0"/>
        <v>1600.75711273</v>
      </c>
    </row>
    <row r="15" spans="1:17" s="486" customFormat="1">
      <c r="A15" s="1038" t="s">
        <v>558</v>
      </c>
      <c r="B15" s="978">
        <f ca="1">SUM(B4:B14)</f>
        <v>77172.753151302211</v>
      </c>
      <c r="C15" s="978">
        <f t="shared" ref="C15:Q15" ca="1" si="1">SUM(C4:C14)</f>
        <v>9530.3571428571431</v>
      </c>
      <c r="D15" s="978">
        <f t="shared" ca="1" si="1"/>
        <v>296251.89409308165</v>
      </c>
      <c r="E15" s="978">
        <f t="shared" si="1"/>
        <v>10257.045057188669</v>
      </c>
      <c r="F15" s="978">
        <f t="shared" ca="1" si="1"/>
        <v>46764.494136261885</v>
      </c>
      <c r="G15" s="978">
        <f t="shared" si="1"/>
        <v>45815.336364789619</v>
      </c>
      <c r="H15" s="978">
        <f t="shared" si="1"/>
        <v>9545.7404496420168</v>
      </c>
      <c r="I15" s="978">
        <f t="shared" si="1"/>
        <v>0</v>
      </c>
      <c r="J15" s="978">
        <f t="shared" si="1"/>
        <v>5517.56799121324</v>
      </c>
      <c r="K15" s="978">
        <f t="shared" si="1"/>
        <v>0</v>
      </c>
      <c r="L15" s="978">
        <f t="shared" ca="1" si="1"/>
        <v>0</v>
      </c>
      <c r="M15" s="978">
        <f t="shared" si="1"/>
        <v>1728.9576968486469</v>
      </c>
      <c r="N15" s="978">
        <f t="shared" ca="1" si="1"/>
        <v>27354.27129747194</v>
      </c>
      <c r="O15" s="978">
        <f t="shared" si="1"/>
        <v>221.99333333333334</v>
      </c>
      <c r="P15" s="978">
        <f t="shared" si="1"/>
        <v>247.86666666666667</v>
      </c>
      <c r="Q15" s="978">
        <f t="shared" ca="1" si="1"/>
        <v>530408.27738065692</v>
      </c>
    </row>
    <row r="17" spans="1:17">
      <c r="A17" s="487" t="s">
        <v>559</v>
      </c>
      <c r="B17" s="786">
        <f ca="1">huishoudens!B10</f>
        <v>0.21093739871728115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2894.3670785288473</v>
      </c>
      <c r="C22" s="477">
        <f t="shared" ref="C22:C32" ca="1" si="3">C4*$C$17</f>
        <v>0</v>
      </c>
      <c r="D22" s="477">
        <f t="shared" ref="D22:D32" si="4">D4*$D$17</f>
        <v>3710.8837615912926</v>
      </c>
      <c r="E22" s="477">
        <f t="shared" ref="E22:E32" si="5">E4*$E$17</f>
        <v>1832.9310087909912</v>
      </c>
      <c r="F22" s="477">
        <f t="shared" ref="F22:F32" si="6">F4*$F$17</f>
        <v>4420.2114408545121</v>
      </c>
      <c r="G22" s="477">
        <f t="shared" ref="G22:G32" si="7">G4*$G$17</f>
        <v>0</v>
      </c>
      <c r="H22" s="477">
        <f t="shared" ref="H22:H32" si="8">H4*$H$17</f>
        <v>0</v>
      </c>
      <c r="I22" s="477">
        <f t="shared" ref="I22:I32" si="9">I4*$I$17</f>
        <v>0</v>
      </c>
      <c r="J22" s="477">
        <f t="shared" ref="J22:J32" si="10">J4*$J$17</f>
        <v>1675.4661763731053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14533.859466138747</v>
      </c>
    </row>
    <row r="23" spans="1:17">
      <c r="A23" s="476" t="s">
        <v>156</v>
      </c>
      <c r="B23" s="477">
        <f t="shared" ca="1" si="2"/>
        <v>1577.7207173333597</v>
      </c>
      <c r="C23" s="477">
        <f t="shared" ca="1" si="3"/>
        <v>0</v>
      </c>
      <c r="D23" s="477">
        <f t="shared" ca="1" si="4"/>
        <v>1556.5902746915469</v>
      </c>
      <c r="E23" s="477">
        <f t="shared" si="5"/>
        <v>38.211406215038316</v>
      </c>
      <c r="F23" s="477">
        <f t="shared" ca="1" si="6"/>
        <v>494.23070862253275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3666.7531068624776</v>
      </c>
    </row>
    <row r="24" spans="1:17">
      <c r="A24" s="476" t="s">
        <v>194</v>
      </c>
      <c r="B24" s="477">
        <f t="shared" ca="1" si="2"/>
        <v>153.41645758626831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153.41645758626831</v>
      </c>
    </row>
    <row r="25" spans="1:17">
      <c r="A25" s="476" t="s">
        <v>112</v>
      </c>
      <c r="B25" s="477">
        <f t="shared" ca="1" si="2"/>
        <v>980.89763355588627</v>
      </c>
      <c r="C25" s="477">
        <f t="shared" ca="1" si="3"/>
        <v>2264.8613445378155</v>
      </c>
      <c r="D25" s="477">
        <f t="shared" si="4"/>
        <v>773.71342090160738</v>
      </c>
      <c r="E25" s="477">
        <f t="shared" si="5"/>
        <v>27.219656390776159</v>
      </c>
      <c r="F25" s="477">
        <f t="shared" si="6"/>
        <v>4538.2808800761477</v>
      </c>
      <c r="G25" s="477">
        <f t="shared" si="7"/>
        <v>0</v>
      </c>
      <c r="H25" s="477">
        <f t="shared" si="8"/>
        <v>0</v>
      </c>
      <c r="I25" s="477">
        <f t="shared" si="9"/>
        <v>0</v>
      </c>
      <c r="J25" s="477">
        <f t="shared" si="10"/>
        <v>236.98720262811946</v>
      </c>
      <c r="K25" s="477">
        <f t="shared" si="11"/>
        <v>0</v>
      </c>
      <c r="L25" s="477">
        <f t="shared" si="12"/>
        <v>0</v>
      </c>
      <c r="M25" s="477">
        <f t="shared" si="13"/>
        <v>0</v>
      </c>
      <c r="N25" s="477">
        <f t="shared" si="14"/>
        <v>0</v>
      </c>
      <c r="O25" s="477">
        <f t="shared" si="15"/>
        <v>0</v>
      </c>
      <c r="P25" s="478">
        <f t="shared" si="16"/>
        <v>0</v>
      </c>
      <c r="Q25" s="476">
        <f t="shared" ca="1" si="17"/>
        <v>8821.9601380903514</v>
      </c>
    </row>
    <row r="26" spans="1:17">
      <c r="A26" s="476" t="s">
        <v>638</v>
      </c>
      <c r="B26" s="477">
        <f t="shared" ca="1" si="2"/>
        <v>10476.614735066449</v>
      </c>
      <c r="C26" s="477">
        <f t="shared" ca="1" si="3"/>
        <v>0</v>
      </c>
      <c r="D26" s="477">
        <f t="shared" si="4"/>
        <v>53655.654427668269</v>
      </c>
      <c r="E26" s="477">
        <f t="shared" si="5"/>
        <v>399.16035552813759</v>
      </c>
      <c r="F26" s="477">
        <f t="shared" si="6"/>
        <v>3033.3969048287317</v>
      </c>
      <c r="G26" s="477">
        <f t="shared" si="7"/>
        <v>0</v>
      </c>
      <c r="H26" s="477">
        <f t="shared" si="8"/>
        <v>0</v>
      </c>
      <c r="I26" s="477">
        <f t="shared" si="9"/>
        <v>0</v>
      </c>
      <c r="J26" s="477">
        <f t="shared" si="10"/>
        <v>40.765689888262116</v>
      </c>
      <c r="K26" s="477">
        <f t="shared" si="11"/>
        <v>0</v>
      </c>
      <c r="L26" s="477">
        <f t="shared" si="12"/>
        <v>0</v>
      </c>
      <c r="M26" s="477">
        <f t="shared" si="13"/>
        <v>0</v>
      </c>
      <c r="N26" s="477">
        <f t="shared" si="14"/>
        <v>0</v>
      </c>
      <c r="O26" s="477">
        <f t="shared" si="15"/>
        <v>0</v>
      </c>
      <c r="P26" s="478">
        <f t="shared" si="16"/>
        <v>0</v>
      </c>
      <c r="Q26" s="476">
        <f t="shared" ca="1" si="17"/>
        <v>67605.592112979837</v>
      </c>
    </row>
    <row r="27" spans="1:17" s="482" customFormat="1">
      <c r="A27" s="480" t="s">
        <v>564</v>
      </c>
      <c r="B27" s="780">
        <f t="shared" ca="1" si="2"/>
        <v>2.8925203094486527</v>
      </c>
      <c r="C27" s="481">
        <f t="shared" ca="1" si="3"/>
        <v>0</v>
      </c>
      <c r="D27" s="481">
        <f t="shared" si="4"/>
        <v>7.2333109902033357</v>
      </c>
      <c r="E27" s="481">
        <f t="shared" si="5"/>
        <v>30.826801056884431</v>
      </c>
      <c r="F27" s="481">
        <f t="shared" si="6"/>
        <v>0</v>
      </c>
      <c r="G27" s="481">
        <f t="shared" si="7"/>
        <v>11967.87512002135</v>
      </c>
      <c r="H27" s="481">
        <f t="shared" si="8"/>
        <v>2376.8893719608623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14385.717124338749</v>
      </c>
    </row>
    <row r="28" spans="1:17">
      <c r="A28" s="476" t="s">
        <v>554</v>
      </c>
      <c r="B28" s="477">
        <f t="shared" ca="1" si="2"/>
        <v>0</v>
      </c>
      <c r="C28" s="477">
        <f t="shared" ca="1" si="3"/>
        <v>0</v>
      </c>
      <c r="D28" s="477">
        <f t="shared" si="4"/>
        <v>0</v>
      </c>
      <c r="E28" s="477">
        <f t="shared" si="5"/>
        <v>0</v>
      </c>
      <c r="F28" s="477">
        <f t="shared" si="6"/>
        <v>0</v>
      </c>
      <c r="G28" s="477">
        <f t="shared" si="7"/>
        <v>264.81968937747905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264.81968937747905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192.71065920629124</v>
      </c>
      <c r="C32" s="477">
        <f t="shared" ca="1" si="3"/>
        <v>0</v>
      </c>
      <c r="D32" s="477">
        <f t="shared" si="4"/>
        <v>138.80741095958001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331.51807016587122</v>
      </c>
    </row>
    <row r="33" spans="1:17" s="486" customFormat="1">
      <c r="A33" s="1038" t="s">
        <v>558</v>
      </c>
      <c r="B33" s="978">
        <f ca="1">SUM(B22:B32)</f>
        <v>16278.619801586552</v>
      </c>
      <c r="C33" s="978">
        <f t="shared" ref="C33:Q33" ca="1" si="18">SUM(C22:C32)</f>
        <v>2264.8613445378155</v>
      </c>
      <c r="D33" s="978">
        <f t="shared" ca="1" si="18"/>
        <v>59842.882606802494</v>
      </c>
      <c r="E33" s="978">
        <f t="shared" si="18"/>
        <v>2328.3492279818279</v>
      </c>
      <c r="F33" s="978">
        <f t="shared" ca="1" si="18"/>
        <v>12486.119934381924</v>
      </c>
      <c r="G33" s="978">
        <f t="shared" si="18"/>
        <v>12232.694809398829</v>
      </c>
      <c r="H33" s="978">
        <f t="shared" si="18"/>
        <v>2376.8893719608623</v>
      </c>
      <c r="I33" s="978">
        <f t="shared" si="18"/>
        <v>0</v>
      </c>
      <c r="J33" s="978">
        <f t="shared" si="18"/>
        <v>1953.2190688894868</v>
      </c>
      <c r="K33" s="978">
        <f t="shared" si="18"/>
        <v>0</v>
      </c>
      <c r="L33" s="978">
        <f t="shared" ca="1" si="18"/>
        <v>0</v>
      </c>
      <c r="M33" s="978">
        <f t="shared" si="18"/>
        <v>0</v>
      </c>
      <c r="N33" s="978">
        <f t="shared" ca="1" si="18"/>
        <v>0</v>
      </c>
      <c r="O33" s="978">
        <f t="shared" si="18"/>
        <v>0</v>
      </c>
      <c r="P33" s="978">
        <f t="shared" si="18"/>
        <v>0</v>
      </c>
      <c r="Q33" s="978">
        <f t="shared" ca="1" si="18"/>
        <v>109763.63616553978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4016.3589865507283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6671.25</v>
      </c>
      <c r="D8" s="1055">
        <f>'SEAP template'!D76</f>
        <v>7848.5294117647054</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1585.4029411764707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4016.3589865507283</v>
      </c>
      <c r="C10" s="1059">
        <f>SUM(C4:C9)</f>
        <v>6671.25</v>
      </c>
      <c r="D10" s="1059">
        <f t="shared" ref="D10:H10" si="0">SUM(D8:D9)</f>
        <v>7848.5294117647054</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1585.4029411764707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0.21093739871728115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9530.3571428571431</v>
      </c>
      <c r="D17" s="1056">
        <f>'SEAP template'!D87</f>
        <v>11212.18487394958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2264.8613445378155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9530.3571428571431</v>
      </c>
      <c r="D20" s="1059">
        <f t="shared" ref="D20:H20" si="2">SUM(D17:D19)</f>
        <v>11212.18487394958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2264.8613445378155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0.21093739871728115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2019-08-12T08:24:24Z</dcterms:modified>
</cp:coreProperties>
</file>