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N19" i="59"/>
  <c r="N20" s="1"/>
  <c r="N90" i="14"/>
  <c r="L18" i="59"/>
  <c r="L90" i="14"/>
  <c r="K10" i="59"/>
  <c r="E89" i="14"/>
  <c r="E19" i="59" s="1"/>
  <c r="C98" i="18"/>
  <c r="B101" s="1"/>
  <c r="C8" s="1"/>
  <c r="H10" i="59"/>
  <c r="L10" i="18"/>
  <c r="E20" i="59"/>
  <c r="P31" i="48"/>
  <c r="E77" i="14"/>
  <c r="E9" i="59" s="1"/>
  <c r="E10" s="1"/>
  <c r="B17" i="18"/>
  <c r="B20" s="1"/>
  <c r="N77" i="14"/>
  <c r="N9" i="59" s="1"/>
  <c r="N10" s="1"/>
  <c r="R25" i="14"/>
  <c r="O32" i="48"/>
  <c r="F13" i="15"/>
  <c r="L78" i="14"/>
  <c r="L8" i="59"/>
  <c r="L10" s="1"/>
  <c r="H90" i="14"/>
  <c r="H18" i="59"/>
  <c r="H20" s="1"/>
  <c r="H78" i="14"/>
  <c r="H8" i="59"/>
  <c r="P29" i="48"/>
  <c r="B10" i="18"/>
  <c r="K90" i="14"/>
  <c r="K20" i="59"/>
  <c r="P25" i="48"/>
  <c r="G78" i="14"/>
  <c r="L20" i="59"/>
  <c r="B8" i="18"/>
  <c r="O19"/>
  <c r="L13" i="15"/>
  <c r="N13"/>
  <c r="Q77" i="14"/>
  <c r="P9" i="59" s="1"/>
  <c r="O9" i="18"/>
  <c r="O18"/>
  <c r="B89" i="14"/>
  <c r="B19" i="59" s="1"/>
  <c r="G88" i="14"/>
  <c r="F89"/>
  <c r="I101" i="18"/>
  <c r="H8" s="1"/>
  <c r="I102"/>
  <c r="H17" s="1"/>
  <c r="E102"/>
  <c r="E17" s="1"/>
  <c r="H102"/>
  <c r="D102"/>
  <c r="G102"/>
  <c r="C102"/>
  <c r="F102"/>
  <c r="B102"/>
  <c r="C17" s="1"/>
  <c r="Q88" i="14"/>
  <c r="P18" i="59" s="1"/>
  <c r="B88" i="14"/>
  <c r="B18" i="59" s="1"/>
  <c r="Q14" i="48"/>
  <c r="O24"/>
  <c r="O30"/>
  <c r="P24"/>
  <c r="P30"/>
  <c r="C88" i="14"/>
  <c r="C18" i="59" s="1"/>
  <c r="E78" i="14"/>
  <c r="E90"/>
  <c r="G90" l="1"/>
  <c r="G18" i="59"/>
  <c r="G20" s="1"/>
  <c r="B77" i="14"/>
  <c r="B9" i="59" s="1"/>
  <c r="H101" i="18"/>
  <c r="J8" s="1"/>
  <c r="G101"/>
  <c r="I8" s="1"/>
  <c r="F101"/>
  <c r="C89" i="14"/>
  <c r="C19" i="59" s="1"/>
  <c r="F19"/>
  <c r="E101" i="18"/>
  <c r="E8" s="1"/>
  <c r="C77" i="14"/>
  <c r="C9" i="59" s="1"/>
  <c r="D101" i="18"/>
  <c r="C101"/>
  <c r="N78" i="14"/>
  <c r="Q89"/>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F90" i="14"/>
  <c r="F17" i="59"/>
  <c r="F20" s="1"/>
  <c r="I10" i="14"/>
  <c r="I16" s="1"/>
  <c r="H5" i="48"/>
  <c r="G5"/>
  <c r="H10" i="14"/>
  <c r="H16" s="1"/>
  <c r="M90"/>
  <c r="M17" i="59"/>
  <c r="M20" s="1"/>
  <c r="M78" i="14"/>
  <c r="M8" i="59"/>
  <c r="M10" s="1"/>
  <c r="I76" i="14"/>
  <c r="I8" i="59" s="1"/>
  <c r="I10" s="1"/>
  <c r="I10" i="18"/>
  <c r="Q87" i="14"/>
  <c r="D90"/>
  <c r="F78"/>
  <c r="J87"/>
  <c r="J20" i="18"/>
  <c r="J10"/>
  <c r="J76" i="14"/>
  <c r="I87"/>
  <c r="I17" i="59" s="1"/>
  <c r="I20" s="1"/>
  <c r="I20" i="18"/>
  <c r="Q76" i="14"/>
  <c r="D78"/>
  <c r="B24" i="44"/>
  <c r="B23"/>
  <c r="J90" i="14" l="1"/>
  <c r="J17" i="59"/>
  <c r="J20" s="1"/>
  <c r="Q90" i="14"/>
  <c r="B17" i="6" s="1"/>
  <c r="P17" i="59"/>
  <c r="P20" s="1"/>
  <c r="J78" i="14"/>
  <c r="J8" i="59"/>
  <c r="J1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28"/>
  <c r="J27"/>
  <c r="J31"/>
  <c r="J24"/>
  <c r="J30"/>
  <c r="O4"/>
  <c r="P11" i="14"/>
  <c r="D4" i="48"/>
  <c r="D22" s="1"/>
  <c r="E11" i="14"/>
  <c r="C4" i="48"/>
  <c r="D11" i="14"/>
  <c r="B4" i="48"/>
  <c r="C11" i="14"/>
  <c r="N32" i="48"/>
  <c r="N27"/>
  <c r="N28"/>
  <c r="N30"/>
  <c r="N29"/>
  <c r="N24"/>
  <c r="N31"/>
  <c r="E28"/>
  <c r="E32"/>
  <c r="E29"/>
  <c r="E24"/>
  <c r="E31"/>
  <c r="E30"/>
  <c r="M32"/>
  <c r="M24"/>
  <c r="M25"/>
  <c r="M26"/>
  <c r="M30"/>
  <c r="M22"/>
  <c r="M29"/>
  <c r="M23"/>
  <c r="L10" i="14"/>
  <c r="L16" s="1"/>
  <c r="L27" s="1"/>
  <c r="K5" i="48"/>
  <c r="D28"/>
  <c r="D30"/>
  <c r="D32"/>
  <c r="D29"/>
  <c r="D24"/>
  <c r="D31"/>
  <c r="L28"/>
  <c r="L27"/>
  <c r="L32"/>
  <c r="L30"/>
  <c r="L29"/>
  <c r="L22"/>
  <c r="L31"/>
  <c r="L24"/>
  <c r="P5"/>
  <c r="P23" s="1"/>
  <c r="Q10" i="14"/>
  <c r="P4" i="48"/>
  <c r="Q11" i="14"/>
  <c r="I26" i="48"/>
  <c r="I27"/>
  <c r="I32"/>
  <c r="I31"/>
  <c r="I25"/>
  <c r="I29"/>
  <c r="I22"/>
  <c r="I24"/>
  <c r="I30"/>
  <c r="I28"/>
  <c r="H25"/>
  <c r="H26"/>
  <c r="H28"/>
  <c r="H32"/>
  <c r="H29"/>
  <c r="H24"/>
  <c r="H22"/>
  <c r="H30"/>
  <c r="H23"/>
  <c r="G32"/>
  <c r="G25"/>
  <c r="G29"/>
  <c r="G26"/>
  <c r="G30"/>
  <c r="G24"/>
  <c r="G22"/>
  <c r="G23"/>
  <c r="F32"/>
  <c r="F28"/>
  <c r="F27"/>
  <c r="F29"/>
  <c r="F30"/>
  <c r="F24"/>
  <c r="F31"/>
  <c r="B10"/>
  <c r="C19" i="14"/>
  <c r="K28" i="48"/>
  <c r="K27"/>
  <c r="K32"/>
  <c r="K31"/>
  <c r="K25"/>
  <c r="K29"/>
  <c r="K24"/>
  <c r="K26"/>
  <c r="K22"/>
  <c r="K30"/>
  <c r="C24" i="14"/>
  <c r="C26" s="1"/>
  <c r="B7" i="48"/>
  <c r="N46" i="14"/>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G13" i="48"/>
  <c r="H18" i="14"/>
  <c r="H13" i="48"/>
  <c r="H31" s="1"/>
  <c r="I18" i="14"/>
  <c r="F20"/>
  <c r="F22" s="1"/>
  <c r="E9" i="48"/>
  <c r="E27" s="1"/>
  <c r="K23"/>
  <c r="K33" s="1"/>
  <c r="K15"/>
  <c r="Q16" i="14"/>
  <c r="Q27" s="1"/>
  <c r="J10"/>
  <c r="J16" s="1"/>
  <c r="J27" s="1"/>
  <c r="J63" s="1"/>
  <c r="I5" i="48"/>
  <c r="M12" i="22"/>
  <c r="N18" i="14"/>
  <c r="M13" i="48"/>
  <c r="M31" s="1"/>
  <c r="Q13" i="14"/>
  <c r="P8" i="48"/>
  <c r="P26" s="1"/>
  <c r="D9"/>
  <c r="D27" s="1"/>
  <c r="E20" i="14"/>
  <c r="E22" s="1"/>
  <c r="P10"/>
  <c r="O5" i="48"/>
  <c r="O23" s="1"/>
  <c r="K24" i="14"/>
  <c r="K26" s="1"/>
  <c r="J7" i="48"/>
  <c r="J25" s="1"/>
  <c r="C20" i="14"/>
  <c r="B9" i="48"/>
  <c r="P22"/>
  <c r="P33" s="1"/>
  <c r="O22"/>
  <c r="J46" i="14"/>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G31"/>
  <c r="Q13"/>
  <c r="O22" i="16"/>
  <c r="P43" i="14" s="1"/>
  <c r="O8" i="48"/>
  <c r="P13" i="14"/>
  <c r="P46"/>
  <c r="P61" s="1"/>
  <c r="M14" i="22"/>
  <c r="G14"/>
  <c r="I22" i="14"/>
  <c r="I27" s="1"/>
  <c r="H19"/>
  <c r="G10" i="48"/>
  <c r="I23"/>
  <c r="I33" s="1"/>
  <c r="I15"/>
  <c r="K11" i="14"/>
  <c r="J4" i="48"/>
  <c r="E7"/>
  <c r="E25" s="1"/>
  <c r="F24" i="14"/>
  <c r="F26" s="1"/>
  <c r="R18"/>
  <c r="I20"/>
  <c r="H9" i="48"/>
  <c r="M10"/>
  <c r="M28" s="1"/>
  <c r="N19" i="14"/>
  <c r="P16"/>
  <c r="P27" s="1"/>
  <c r="Q63"/>
  <c r="P15" i="48"/>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22" l="1"/>
  <c r="N27" s="1"/>
  <c r="N63" s="1"/>
  <c r="H20"/>
  <c r="R20" s="1"/>
  <c r="G9" i="48"/>
  <c r="O26"/>
  <c r="O33" s="1"/>
  <c r="O15"/>
  <c r="G28"/>
  <c r="Q10"/>
  <c r="E22"/>
  <c r="Q4"/>
  <c r="I63" i="14"/>
  <c r="R19"/>
  <c r="R22" s="1"/>
  <c r="J5" i="48"/>
  <c r="J23" s="1"/>
  <c r="K10" i="14"/>
  <c r="J22" i="48"/>
  <c r="H27"/>
  <c r="H33" s="1"/>
  <c r="H15"/>
  <c r="F10" i="14"/>
  <c r="E5" i="48"/>
  <c r="E23" s="1"/>
  <c r="N20" i="14"/>
  <c r="M9" i="48"/>
  <c r="P63" i="14"/>
  <c r="H22"/>
  <c r="H27" s="1"/>
  <c r="R11"/>
  <c r="R24"/>
  <c r="R26" s="1"/>
  <c r="J20" i="15"/>
  <c r="K40" i="14" s="1"/>
  <c r="Q7" i="48"/>
  <c r="E20" i="15"/>
  <c r="F40" i="14" s="1"/>
  <c r="J18" i="16"/>
  <c r="E18"/>
  <c r="F18"/>
  <c r="F22" s="1"/>
  <c r="G43" i="14" s="1"/>
  <c r="N18" i="16"/>
  <c r="G18" i="22"/>
  <c r="H50" i="14" s="1"/>
  <c r="H52" s="1"/>
  <c r="H61" s="1"/>
  <c r="H18" i="22"/>
  <c r="I50" i="14" s="1"/>
  <c r="I52" s="1"/>
  <c r="I61" s="1"/>
  <c r="E8" i="48" l="1"/>
  <c r="F13" i="14"/>
  <c r="G27" i="48"/>
  <c r="G33" s="1"/>
  <c r="G15"/>
  <c r="Q9"/>
  <c r="H63" i="14"/>
  <c r="E22" i="16"/>
  <c r="F43" i="14" s="1"/>
  <c r="F16"/>
  <c r="F27" s="1"/>
  <c r="J22" i="16"/>
  <c r="K43" i="14" s="1"/>
  <c r="K46" s="1"/>
  <c r="K61" s="1"/>
  <c r="K63" s="1"/>
  <c r="K13"/>
  <c r="J8" i="48"/>
  <c r="M27"/>
  <c r="M33" s="1"/>
  <c r="M15"/>
  <c r="F46" i="14"/>
  <c r="F61" s="1"/>
  <c r="F63" s="1"/>
  <c r="K16"/>
  <c r="K27" s="1"/>
  <c r="N8" i="48"/>
  <c r="N26" s="1"/>
  <c r="O13" i="14"/>
  <c r="N22" i="16"/>
  <c r="O43" i="14" s="1"/>
  <c r="G13"/>
  <c r="F8" i="48"/>
  <c r="E26" l="1"/>
  <c r="E33" s="1"/>
  <c r="E15"/>
  <c r="J26"/>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<sst xmlns="http://schemas.openxmlformats.org/spreadsheetml/2006/main" count="2392" uniqueCount="890">
  <si>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</si>
  <si>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</si>
  <si>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</si>
  <si>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</si>
  <si>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</si>
  <si>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</si>
  <si>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</si>
  <si>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</si>
  <si>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</si>
  <si>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</si>
  <si>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</si>
  <si>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</si>
  <si>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</si>
  <si>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</si>
  <si>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</si>
  <si>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</si>
  <si>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</si>
  <si>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</si>
  <si>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</si>
  <si>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</si>
  <si>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</si>
  <si>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</si>
  <si>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</si>
  <si>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</si>
  <si>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</si>
  <si>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</si>
  <si>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</si>
  <si>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</si>
  <si>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</si>
  <si>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</si>
  <si>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</si>
  <si>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</si>
  <si>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</si>
  <si>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</si>
  <si>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</si>
  <si>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</si>
  <si>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</si>
  <si>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</si>
  <si>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</si>
  <si>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</si>
  <si>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</si>
  <si>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</si>
  <si>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</si>
  <si>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</si>
  <si>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</si>
  <si>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</si>
  <si>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</si>
  <si>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</si>
  <si>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</si>
  <si>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</si>
  <si>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</si>
  <si>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</si>
  <si>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</si>
  <si>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</si>
  <si>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</si>
  <si>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</si>
  <si>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</si>
  <si>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</si>
  <si>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</si>
  <si>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</si>
  <si>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</si>
  <si>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</si>
  <si>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</si>
  <si>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</si>
  <si>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</si>
  <si>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</si>
  <si>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</si>
  <si>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</si>
  <si>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</si>
  <si>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</si>
  <si>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</si>
  <si>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</si>
  <si>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</si>
  <si>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</si>
  <si>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</si>
  <si>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</si>
  <si>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</si>
  <si>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</si>
  <si>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</si>
  <si>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</si>
  <si>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</si>
  <si>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</si>
  <si>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</si>
  <si>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</si>
  <si>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</si>
  <si>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</si>
  <si>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</si>
  <si>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</si>
  <si>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</si>
  <si>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</si>
  <si>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</si>
  <si>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</si>
  <si>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</si>
  <si>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</si>
  <si>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</si>
  <si>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</si>
  <si>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</si>
  <si>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</si>
  <si>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</si>
  <si>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</si>
  <si>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</si>
  <si>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</si>
  <si>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</si>
  <si>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</si>
  <si>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</si>
  <si>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</si>
  <si>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</si>
  <si>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</si>
  <si>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</si>
  <si>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</si>
  <si>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</si>
  <si>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</si>
  <si>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</si>
  <si>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</si>
  <si>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</si>
  <si>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</si>
  <si>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</si>
  <si>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</si>
  <si>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</si>
  <si>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</si>
  <si>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</si>
  <si>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</si>
  <si>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</si>
  <si>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</si>
  <si>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</si>
  <si>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</si>
  <si>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</si>
  <si>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</si>
  <si>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</si>
  <si>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</si>
  <si>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</si>
  <si>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</si>
  <si>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</si>
  <si>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</si>
  <si>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</si>
  <si>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</si>
  <si>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</si>
  <si>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</si>
  <si>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</si>
  <si>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</si>
  <si>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</si>
  <si>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</si>
  <si>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</si>
  <si>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</si>
  <si>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</si>
  <si>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</si>
  <si>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</si>
  <si>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</si>
  <si>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</si>
  <si>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</si>
  <si>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</si>
  <si>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</si>
  <si>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</si>
  <si>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</si>
  <si>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</si>
  <si>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</si>
  <si>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</si>
  <si>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</si>
  <si>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</si>
  <si>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</si>
  <si>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</si>
  <si>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</si>
  <si>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</si>
  <si>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</si>
  <si>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</si>
  <si>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</si>
  <si>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</si>
  <si>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</si>
  <si>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</si>
  <si>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</si>
  <si>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</si>
  <si>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</si>
  <si>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</si>
  <si>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</si>
  <si>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</si>
  <si>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</si>
  <si>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</si>
  <si>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</si>
  <si>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</si>
  <si>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</si>
  <si>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</si>
  <si>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</si>
  <si>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</si>
  <si>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</si>
  <si>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</si>
  <si>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</si>
  <si>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</si>
  <si>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</si>
  <si>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</si>
  <si>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</si>
  <si>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</si>
  <si>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</si>
  <si>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</si>
  <si>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</si>
  <si>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</si>
  <si>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</si>
  <si>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</si>
  <si>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</si>
  <si>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</si>
  <si>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</si>
  <si>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</si>
  <si>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</si>
  <si>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</si>
  <si>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</si>
  <si>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</si>
  <si>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</si>
  <si>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</si>
  <si>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</si>
  <si>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</si>
  <si>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</si>
  <si>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</si>
  <si>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</si>
  <si>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</si>
  <si>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</si>
  <si>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</si>
  <si>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</si>
  <si>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</si>
  <si>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</si>
  <si>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</si>
  <si>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</si>
  <si>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</si>
  <si>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</si>
  <si>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</si>
  <si>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</si>
  <si>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</si>
  <si>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</si>
  <si>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</si>
  <si>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</si>
  <si>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</si>
  <si>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</si>
  <si>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</si>
  <si>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</si>
  <si>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</si>
  <si>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</si>
  <si>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</si>
  <si>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</si>
  <si>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</si>
  <si>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</si>
  <si>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</si>
  <si>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</si>
  <si>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</si>
  <si>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</si>
  <si>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</si>
  <si>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</si>
  <si>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</si>
  <si>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</si>
  <si>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</si>
  <si>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</si>
  <si>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</si>
  <si>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</si>
  <si>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</si>
  <si>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</si>
  <si>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</si>
  <si>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</si>
  <si>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</si>
  <si>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</si>
  <si>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</si>
  <si>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</si>
  <si>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</si>
  <si>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</si>
  <si>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</si>
  <si>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</si>
  <si>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</si>
  <si>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</si>
  <si>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</si>
  <si>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</si>
  <si>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</si>
  <si>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</si>
  <si>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</si>
  <si>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</si>
  <si>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</si>
  <si>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</si>
  <si>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</si>
  <si>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</si>
  <si>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</si>
  <si>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</si>
  <si>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</si>
  <si>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</si>
  <si>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</si>
  <si>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</si>
  <si>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</si>
  <si>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</si>
  <si>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</si>
  <si>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</si>
  <si>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</si>
  <si>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</si>
  <si>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</si>
  <si>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</si>
  <si>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</si>
  <si>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</si>
  <si>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</si>
  <si>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</si>
  <si>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</si>
  <si>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</si>
  <si>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</si>
  <si>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</si>
  <si>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</si>
  <si>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</si>
  <si>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</si>
  <si>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</si>
  <si>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</si>
  <si>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</si>
  <si>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</si>
  <si>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</si>
  <si>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</si>
  <si>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</si>
  <si>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</si>
  <si>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</si>
  <si>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</si>
  <si>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</si>
  <si>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</si>
  <si>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</si>
  <si>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</si>
  <si>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</si>
  <si>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</si>
  <si>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</si>
  <si>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</si>
  <si>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</si>
  <si>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</si>
  <si>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</si>
  <si>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</si>
  <si>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</si>
  <si>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</si>
  <si>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</si>
  <si>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</si>
  <si>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</si>
  <si>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</si>
  <si>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</si>
  <si>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</si>
  <si>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</si>
  <si>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</si>
  <si>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</si>
  <si>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</si>
  <si>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</si>
  <si>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</si>
  <si>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</si>
  <si>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</si>
  <si>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</si>
  <si>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</si>
  <si>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</si>
  <si>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</si>
  <si>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</si>
  <si>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</si>
  <si>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</si>
  <si>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</si>
  <si>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</si>
  <si>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</si>
  <si>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</si>
  <si>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</si>
  <si>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</si>
  <si>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</si>
  <si>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</si>
  <si>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</si>
  <si>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</si>
  <si>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</si>
  <si>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</si>
  <si>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</si>
  <si>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</si>
  <si>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</si>
  <si>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</si>
  <si>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</si>
  <si>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</si>
  <si>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</si>
  <si>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</si>
  <si>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</si>
  <si>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</si>
  <si>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</si>
  <si>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</si>
  <si>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</si>
  <si>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</si>
  <si>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</si>
  <si>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</si>
  <si>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</si>
  <si>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</si>
  <si>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</si>
  <si>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</si>
  <si>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</si>
  <si>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</si>
  <si>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</si>
  <si>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</si>
  <si>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</si>
  <si>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</si>
  <si>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</si>
  <si>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</si>
  <si>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</si>
  <si>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</si>
  <si>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</si>
  <si>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</si>
  <si>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</si>
  <si>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</si>
  <si>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</si>
  <si>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</si>
  <si>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</si>
  <si>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</si>
  <si>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</si>
  <si>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</si>
  <si>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</si>
  <si>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</si>
  <si>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</si>
  <si>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</si>
  <si>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</si>
  <si>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</si>
  <si>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</si>
  <si>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</si>
  <si>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</si>
  <si>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</si>
  <si>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</si>
  <si>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</si>
  <si>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</si>
  <si>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</si>
  <si>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</si>
  <si>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</si>
  <si>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</si>
  <si>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</si>
  <si>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</si>
  <si>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</si>
  <si>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</si>
  <si>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</si>
  <si>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</si>
  <si>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</si>
  <si>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</si>
  <si>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</si>
  <si>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</si>
  <si>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</si>
  <si>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</si>
  <si>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</si>
  <si>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</si>
  <si>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</si>
  <si>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</si>
  <si>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</si>
  <si>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</si>
  <si>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</si>
  <si>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</si>
  <si>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</si>
  <si>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</si>
  <si>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</si>
  <si>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</si>
  <si>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</si>
  <si>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</si>
  <si>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</si>
  <si>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</si>
  <si>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</si>
  <si>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</si>
  <si>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</si>
  <si>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</si>
  <si>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</si>
  <si>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</si>
  <si>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</si>
  <si>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</si>
  <si>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</si>
  <si>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</si>
  <si>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</si>
  <si>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</si>
  <si>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</si>
  <si>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</si>
  <si>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</si>
  <si>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</si>
  <si>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</si>
  <si>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</si>
  <si>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</si>
  <si>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</si>
  <si>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</si>
  <si>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</si>
  <si>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</si>
  <si>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</si>
  <si>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</si>
  <si>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</si>
  <si>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</si>
  <si>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</si>
  <si>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</si>
  <si>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</si>
  <si>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</si>
  <si>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</si>
  <si>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</si>
  <si>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</si>
  <si>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</si>
  <si>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</si>
  <si>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</si>
  <si>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</si>
  <si>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</si>
  <si>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</si>
  <si>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</si>
  <si>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</si>
  <si>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</si>
  <si>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</si>
  <si>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</si>
  <si>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</si>
  <si>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</si>
  <si>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</si>
  <si>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</si>
  <si>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</si>
  <si>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</si>
  <si>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</si>
  <si>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</si>
  <si>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</si>
  <si>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</si>
  <si>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</si>
  <si>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</si>
  <si>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</si>
  <si>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</si>
  <si>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</si>
  <si>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</si>
  <si>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</si>
  <si>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</si>
  <si>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</si>
  <si>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</si>
  <si>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</si>
  <si>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</si>
  <si>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</si>
  <si>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</si>
  <si>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</si>
  <si>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</si>
  <si>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</si>
  <si>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</si>
  <si>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</si>
  <si>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</si>
  <si>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</si>
  <si>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</si>
  <si>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</si>
  <si>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</si>
  <si>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</si>
  <si>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</si>
  <si>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</si>
  <si>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</si>
  <si>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</si>
  <si>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</si>
  <si>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</si>
  <si>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</si>
  <si>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</si>
  <si>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</si>
  <si>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</si>
  <si>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</si>
  <si>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</si>
  <si>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</si>
  <si>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</si>
  <si>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</si>
  <si>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</si>
  <si>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</si>
  <si>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</si>
  <si>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</si>
  <si>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</si>
  <si>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</si>
  <si>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</si>
  <si>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</si>
  <si>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</si>
  <si>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</si>
  <si>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</si>
  <si>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</si>
  <si>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</si>
  <si>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</si>
  <si>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</si>
  <si>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</si>
  <si>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</si>
  <si>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</si>
  <si>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</si>
  <si>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</si>
  <si>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</si>
  <si>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</si>
  <si>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</si>
  <si>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</si>
  <si>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</si>
  <si>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</si>
  <si>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</si>
  <si>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</si>
  <si>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</si>
  <si>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</si>
  <si>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</si>
  <si>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</si>
  <si>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</si>
  <si>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</si>
  <si>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</si>
  <si>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</si>
  <si>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</si>
  <si>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</si>
  <si>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</si>
  <si>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</si>
  <si>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</si>
  <si>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</si>
  <si>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</si>
  <si>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</si>
  <si>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</si>
  <si>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</si>
  <si>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</si>
  <si>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</si>
  <si>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</si>
  <si>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</si>
  <si>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</si>
  <si>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</si>
  <si>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</si>
  <si>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</si>
  <si>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</si>
  <si>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</si>
  <si>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</si>
  <si>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</si>
  <si>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</si>
  <si>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</si>
  <si>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</si>
  <si>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</si>
  <si>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</si>
  <si>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</si>
  <si>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</si>
  <si>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</si>
  <si>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</si>
  <si>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</si>
  <si>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</si>
  <si>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</si>
  <si>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</si>
  <si>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</si>
  <si>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</si>
  <si>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</si>
  <si>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</si>
  <si>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</si>
  <si>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</si>
  <si>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</si>
  <si>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</si>
  <si>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</si>
  <si>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</si>
  <si>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</si>
  <si>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</si>
  <si>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</si>
  <si>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</si>
  <si>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</si>
  <si>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</si>
  <si>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</si>
  <si>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</si>
  <si>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</si>
  <si>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</si>
  <si>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</si>
  <si>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</si>
  <si>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</si>
  <si>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</si>
  <si>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</si>
  <si>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</si>
  <si>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</si>
  <si>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</si>
  <si>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</si>
  <si>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</si>
  <si>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</si>
  <si>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</si>
  <si>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</si>
  <si>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</si>
  <si>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</si>
  <si>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</si>
  <si>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</si>
  <si>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</si>
  <si>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</si>
  <si>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</si>
  <si>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</si>
  <si>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</si>
  <si>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</si>
  <si>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</si>
  <si>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</si>
  <si>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</si>
  <si>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</si>
  <si>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</si>
  <si>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</si>
  <si>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</si>
  <si>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</si>
  <si>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</si>
  <si>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</si>
  <si>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</si>
  <si>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</si>
  <si>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</si>
  <si>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</si>
  <si>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</si>
  <si>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</si>
  <si>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</si>
  <si>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</si>
  <si>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</si>
  <si>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</si>
  <si>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</si>
  <si>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</si>
  <si>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</si>
  <si>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</si>
  <si>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</si>
  <si>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</si>
  <si>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</si>
  <si>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</si>
  <si>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</si>
  <si>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</si>
  <si>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</si>
  <si>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</si>
  <si>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</si>
  <si>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</si>
  <si>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</si>
  <si>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</si>
  <si>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</si>
  <si>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</si>
  <si>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</si>
  <si>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</si>
  <si>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</si>
  <si>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</si>
  <si>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</si>
  <si>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</si>
  <si>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</si>
  <si>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</si>
  <si>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</si>
  <si>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</si>
  <si>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</si>
  <si>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</si>
  <si>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</si>
  <si>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</si>
  <si>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</si>
  <si>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</si>
  <si>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</si>
  <si>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</si>
  <si>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</si>
  <si>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</si>
  <si>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</si>
  <si>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</si>
  <si>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</si>
  <si>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</si>
  <si>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</si>
  <si>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</si>
  <si>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</si>
  <si>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</si>
  <si>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</si>
  <si>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</si>
  <si>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</si>
  <si>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</si>
  <si>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</si>
  <si>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</si>
  <si>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</si>
  <si>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</si>
  <si>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</si>
  <si>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</si>
  <si>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</si>
  <si>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</si>
  <si>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</si>
  <si>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</si>
  <si>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</si>
  <si>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</si>
  <si>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</si>
  <si>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</si>
  <si>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</si>
  <si>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</si>
  <si>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</si>
  <si>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</si>
  <si>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</si>
  <si>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</si>
  <si>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</si>
  <si>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</si>
  <si>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</si>
  <si>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</si>
  <si>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</si>
  <si>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</si>
  <si>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</si>
  <si>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</si>
  <si>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</si>
  <si>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</si>
  <si>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</si>
  <si>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</si>
  <si>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</si>
  <si>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</si>
  <si>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</si>
  <si>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</si>
  <si>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</si>
  <si>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</si>
  <si>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</si>
  <si>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</si>
  <si>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</si>
  <si>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</si>
  <si>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</si>
  <si>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</si>
  <si>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</si>
  <si>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</si>
  <si>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</si>
  <si>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</si>
  <si>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</si>
  <si>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</si>
  <si>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</si>
  <si>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</si>
  <si>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</si>
  <si>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</si>
  <si>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</si>
  <si>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</si>
  <si>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</si>
  <si>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</si>
  <si>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</si>
  <si>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</si>
  <si>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</si>
  <si>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</si>
  <si>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</si>
  <si>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</si>
  <si>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</si>
  <si>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</si>
  <si>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</si>
  <si>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</si>
  <si>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</si>
  <si>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</si>
  <si>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</si>
  <si>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</si>
  <si>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</si>
  <si>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</si>
  <si>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</si>
  <si>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</si>
  <si>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</si>
  <si>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</si>
  <si>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</si>
  <si>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</si>
  <si>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</si>
  <si>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</si>
  <si>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</si>
  <si>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</si>
  <si>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</si>
  <si>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</si>
  <si>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</si>
  <si>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</si>
  <si>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</si>
  <si>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</si>
  <si>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</si>
  <si>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</si>
  <si>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</si>
  <si>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</si>
  <si>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</si>
  <si>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</si>
  <si>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</si>
  <si>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</si>
  <si>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</si>
  <si>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</si>
  <si>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</si>
  <si>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</si>
  <si>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</si>
  <si>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</si>
  <si>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</si>
  <si>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</si>
  <si>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</si>
  <si>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</si>
  <si>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</si>
  <si>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</si>
  <si>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</si>
  <si>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</si>
  <si>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</si>
  <si>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</si>
  <si>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</si>
  <si>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</si>
  <si>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</si>
  <si>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</si>
  <si>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</si>
  <si>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</si>
  <si>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</si>
  <si>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</si>
  <si>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</si>
  <si>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</si>
  <si>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</si>
  <si>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</si>
  <si>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</si>
  <si>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</si>
  <si>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</si>
  <si>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</si>
  <si>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</si>
  <si>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</si>
  <si>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</si>
  <si>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</si>
  <si>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</si>
  <si>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</si>
  <si>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</si>
  <si>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</si>
  <si>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</si>
  <si>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</si>
  <si>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</si>
  <si>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</si>
  <si>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</si>
  <si>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</si>
  <si>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</si>
  <si>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</si>
  <si>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</si>
  <si>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</si>
  <si>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</si>
  <si>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</si>
  <si>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</si>
  <si>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</si>
  <si>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</si>
  <si>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</si>
  <si>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</si>
  <si>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</si>
  <si>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</si>
  <si>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</si>
  <si>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</si>
  <si>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</si>
  <si>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</si>
  <si>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</si>
  <si>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32011</t>
  </si>
  <si>
    <t>KORTEMARK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</si>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</sst>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109123.15730114868</c:v>
                </c:pt>
                <c:pt idx="1">
                  <c:v>38706.752645348082</c:v>
                </c:pt>
                <c:pt idx="2">
                  <c:v>706.952</c:v>
                </c:pt>
                <c:pt idx="3">
                  <c:v>22094.192182796996</c:v>
                </c:pt>
                <c:pt idx="4">
                  <c:v>134531.95789747627</c:v>
                </c:pt>
                <c:pt idx="5">
                  <c:v>71414.88234741315</c:v>
                </c:pt>
                <c:pt idx="6">
                  <c:v>563.60858670626533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109123.15730114868</c:v>
                </c:pt>
                <c:pt idx="1">
                  <c:v>38706.752645348082</c:v>
                </c:pt>
                <c:pt idx="2">
                  <c:v>706.952</c:v>
                </c:pt>
                <c:pt idx="3">
                  <c:v>22094.192182796996</c:v>
                </c:pt>
                <c:pt idx="4">
                  <c:v>134531.95789747627</c:v>
                </c:pt>
                <c:pt idx="5">
                  <c:v>71414.88234741315</c:v>
                </c:pt>
                <c:pt idx="6">
                  <c:v>563.60858670626533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20457.972153834893</c:v>
                </c:pt>
                <c:pt idx="2">
                  <c:v>7703.9514157632093</c:v>
                </c:pt>
                <c:pt idx="3">
                  <c:v>144.89891408981259</c:v>
                </c:pt>
                <c:pt idx="4">
                  <c:v>5633.9420828812808</c:v>
                </c:pt>
                <c:pt idx="5">
                  <c:v>26257.31964916343</c:v>
                </c:pt>
                <c:pt idx="6">
                  <c:v>18266.235879951448</c:v>
                </c:pt>
                <c:pt idx="7">
                  <c:v>145.95625611655905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87296"/>
      </c:barChart>
      <c:catAx>
        <c:axId val="18401587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20457.972153834893</c:v>
                </c:pt>
                <c:pt idx="2">
                  <c:v>7703.9514157632093</c:v>
                </c:pt>
                <c:pt idx="3">
                  <c:v>144.89891408981259</c:v>
                </c:pt>
                <c:pt idx="4">
                  <c:v>5633.9420828812808</c:v>
                </c:pt>
                <c:pt idx="5">
                  <c:v>26257.31964916343</c:v>
                </c:pt>
                <c:pt idx="6">
                  <c:v>18266.235879951448</c:v>
                </c:pt>
                <c:pt idx="7">
                  <c:v>145.95625611655905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32011</v>
      </c>
      <c r="B6" s="415"/>
      <c r="C6" s="416"/>
    </row>
    <row r="7" spans="1:7" s="413" customFormat="1" ht="15.75" customHeight="1">
      <c r="A7" s="417" t="str">
        <f>txtMunicipality</f>
        <v>KORTEMARK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0.20496287455133105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0.20496287455133105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5050</v>
      </c>
      <c r="C9" s="342">
        <v>4916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4038.61</v>
      </c>
    </row>
    <row r="15" spans="1:6">
      <c r="A15" s="348" t="s">
        <v>184</v>
      </c>
      <c r="B15" s="334">
        <v>673</v>
      </c>
    </row>
    <row r="16" spans="1:6">
      <c r="A16" s="348" t="s">
        <v>6</v>
      </c>
      <c r="B16" s="334">
        <v>1248</v>
      </c>
    </row>
    <row r="17" spans="1:6">
      <c r="A17" s="348" t="s">
        <v>7</v>
      </c>
      <c r="B17" s="334">
        <v>1237</v>
      </c>
    </row>
    <row r="18" spans="1:6">
      <c r="A18" s="348" t="s">
        <v>8</v>
      </c>
      <c r="B18" s="334">
        <v>1775</v>
      </c>
    </row>
    <row r="19" spans="1:6">
      <c r="A19" s="348" t="s">
        <v>9</v>
      </c>
      <c r="B19" s="334">
        <v>1624</v>
      </c>
    </row>
    <row r="20" spans="1:6">
      <c r="A20" s="348" t="s">
        <v>10</v>
      </c>
      <c r="B20" s="334">
        <v>1052</v>
      </c>
    </row>
    <row r="21" spans="1:6">
      <c r="A21" s="348" t="s">
        <v>11</v>
      </c>
      <c r="B21" s="334">
        <v>30009</v>
      </c>
    </row>
    <row r="22" spans="1:6">
      <c r="A22" s="348" t="s">
        <v>12</v>
      </c>
      <c r="B22" s="334">
        <v>71633</v>
      </c>
    </row>
    <row r="23" spans="1:6">
      <c r="A23" s="348" t="s">
        <v>13</v>
      </c>
      <c r="B23" s="334">
        <v>1320</v>
      </c>
    </row>
    <row r="24" spans="1:6">
      <c r="A24" s="348" t="s">
        <v>14</v>
      </c>
      <c r="B24" s="334">
        <v>49</v>
      </c>
    </row>
    <row r="25" spans="1:6">
      <c r="A25" s="348" t="s">
        <v>15</v>
      </c>
      <c r="B25" s="334">
        <v>7380</v>
      </c>
    </row>
    <row r="26" spans="1:6">
      <c r="A26" s="348" t="s">
        <v>16</v>
      </c>
      <c r="B26" s="334">
        <v>537</v>
      </c>
    </row>
    <row r="27" spans="1:6">
      <c r="A27" s="348" t="s">
        <v>17</v>
      </c>
      <c r="B27" s="334">
        <v>12</v>
      </c>
    </row>
    <row r="28" spans="1:6" s="356" customFormat="1">
      <c r="A28" s="355" t="s">
        <v>18</v>
      </c>
      <c r="B28" s="355">
        <v>147335</v>
      </c>
    </row>
    <row r="29" spans="1:6">
      <c r="A29" s="355" t="s">
        <v>884</v>
      </c>
      <c r="B29" s="355">
        <v>183</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81042.795786000002</v>
      </c>
      <c r="E36" s="334">
        <v>10</v>
      </c>
      <c r="F36" s="334">
        <v>40883</v>
      </c>
    </row>
    <row r="37" spans="1:6">
      <c r="A37" s="348" t="s">
        <v>25</v>
      </c>
      <c r="B37" s="348" t="s">
        <v>28</v>
      </c>
      <c r="C37" s="334">
        <v>0</v>
      </c>
      <c r="D37" s="334">
        <v>0</v>
      </c>
      <c r="E37" s="334">
        <v>0</v>
      </c>
      <c r="F37" s="334">
        <v>0</v>
      </c>
    </row>
    <row r="38" spans="1:6">
      <c r="A38" s="348" t="s">
        <v>25</v>
      </c>
      <c r="B38" s="348" t="s">
        <v>29</v>
      </c>
      <c r="C38" s="334">
        <v>2</v>
      </c>
      <c r="D38" s="334">
        <v>682785.91974000004</v>
      </c>
      <c r="E38" s="334">
        <v>0</v>
      </c>
      <c r="F38" s="334">
        <v>1741</v>
      </c>
    </row>
    <row r="39" spans="1:6">
      <c r="A39" s="348" t="s">
        <v>30</v>
      </c>
      <c r="B39" s="348" t="s">
        <v>31</v>
      </c>
      <c r="C39" s="334">
        <v>2926</v>
      </c>
      <c r="D39" s="334">
        <v>44843915.987000003</v>
      </c>
      <c r="E39" s="334">
        <v>4796</v>
      </c>
      <c r="F39" s="334">
        <v>18856209.440611999</v>
      </c>
    </row>
    <row r="40" spans="1:6">
      <c r="A40" s="348" t="s">
        <v>30</v>
      </c>
      <c r="B40" s="348" t="s">
        <v>29</v>
      </c>
      <c r="C40" s="334">
        <v>0</v>
      </c>
      <c r="D40" s="334">
        <v>0</v>
      </c>
      <c r="E40" s="334">
        <v>0</v>
      </c>
      <c r="F40" s="334">
        <v>0</v>
      </c>
    </row>
    <row r="41" spans="1:6">
      <c r="A41" s="348" t="s">
        <v>32</v>
      </c>
      <c r="B41" s="348" t="s">
        <v>33</v>
      </c>
      <c r="C41" s="334">
        <v>51</v>
      </c>
      <c r="D41" s="334">
        <v>856755.94365999999</v>
      </c>
      <c r="E41" s="334">
        <v>159</v>
      </c>
      <c r="F41" s="334">
        <v>3062288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177069.79607000001</v>
      </c>
      <c r="E44" s="334">
        <v>37</v>
      </c>
      <c r="F44" s="334">
        <v>1937703</v>
      </c>
    </row>
    <row r="45" spans="1:6">
      <c r="A45" s="348" t="s">
        <v>32</v>
      </c>
      <c r="B45" s="348" t="s">
        <v>37</v>
      </c>
      <c r="C45" s="334">
        <v>0</v>
      </c>
      <c r="D45" s="334">
        <v>0</v>
      </c>
      <c r="E45" s="334">
        <v>4</v>
      </c>
      <c r="F45" s="334">
        <v>10242884</v>
      </c>
    </row>
    <row r="46" spans="1:6">
      <c r="A46" s="348" t="s">
        <v>32</v>
      </c>
      <c r="B46" s="348" t="s">
        <v>38</v>
      </c>
      <c r="C46" s="334">
        <v>0</v>
      </c>
      <c r="D46" s="334">
        <v>0</v>
      </c>
      <c r="E46" s="334">
        <v>0</v>
      </c>
      <c r="F46" s="334">
        <v>0</v>
      </c>
    </row>
    <row r="47" spans="1:6">
      <c r="A47" s="348" t="s">
        <v>32</v>
      </c>
      <c r="B47" s="348" t="s">
        <v>39</v>
      </c>
      <c r="C47" s="334">
        <v>0</v>
      </c>
      <c r="D47" s="334">
        <v>0</v>
      </c>
      <c r="E47" s="334">
        <v>4</v>
      </c>
      <c r="F47" s="334">
        <v>631623</v>
      </c>
    </row>
    <row r="48" spans="1:6">
      <c r="A48" s="348" t="s">
        <v>32</v>
      </c>
      <c r="B48" s="348" t="s">
        <v>29</v>
      </c>
      <c r="C48" s="334">
        <v>21</v>
      </c>
      <c r="D48" s="334">
        <v>11721478.899</v>
      </c>
      <c r="E48" s="334">
        <v>3</v>
      </c>
      <c r="F48" s="334">
        <v>212644</v>
      </c>
    </row>
    <row r="49" spans="1:6">
      <c r="A49" s="348" t="s">
        <v>32</v>
      </c>
      <c r="B49" s="348" t="s">
        <v>40</v>
      </c>
      <c r="C49" s="334">
        <v>0</v>
      </c>
      <c r="D49" s="334">
        <v>0</v>
      </c>
      <c r="E49" s="334">
        <v>0</v>
      </c>
      <c r="F49" s="334">
        <v>0</v>
      </c>
    </row>
    <row r="50" spans="1:6">
      <c r="A50" s="348" t="s">
        <v>32</v>
      </c>
      <c r="B50" s="348" t="s">
        <v>41</v>
      </c>
      <c r="C50" s="334">
        <v>13</v>
      </c>
      <c r="D50" s="334">
        <v>81192914.104000002</v>
      </c>
      <c r="E50" s="334">
        <v>24</v>
      </c>
      <c r="F50" s="334">
        <v>15430466</v>
      </c>
    </row>
    <row r="51" spans="1:6">
      <c r="A51" s="348" t="s">
        <v>42</v>
      </c>
      <c r="B51" s="348" t="s">
        <v>43</v>
      </c>
      <c r="C51" s="334">
        <v>19</v>
      </c>
      <c r="D51" s="334">
        <v>583795.53399000003</v>
      </c>
      <c r="E51" s="334">
        <v>220</v>
      </c>
      <c r="F51" s="334">
        <v>4448202</v>
      </c>
    </row>
    <row r="52" spans="1:6">
      <c r="A52" s="348" t="s">
        <v>42</v>
      </c>
      <c r="B52" s="348" t="s">
        <v>29</v>
      </c>
      <c r="C52" s="334">
        <v>7</v>
      </c>
      <c r="D52" s="334">
        <v>102626.83792000001</v>
      </c>
      <c r="E52" s="334">
        <v>1</v>
      </c>
      <c r="F52" s="334">
        <v>2638.8454418000001</v>
      </c>
    </row>
    <row r="53" spans="1:6">
      <c r="A53" s="348" t="s">
        <v>44</v>
      </c>
      <c r="B53" s="348" t="s">
        <v>45</v>
      </c>
      <c r="C53" s="334">
        <v>75</v>
      </c>
      <c r="D53" s="334">
        <v>1142748.1624</v>
      </c>
      <c r="E53" s="334">
        <v>0</v>
      </c>
      <c r="F53" s="334">
        <v>0</v>
      </c>
    </row>
    <row r="54" spans="1:6">
      <c r="A54" s="348" t="s">
        <v>46</v>
      </c>
      <c r="B54" s="348" t="s">
        <v>47</v>
      </c>
      <c r="C54" s="334">
        <v>0</v>
      </c>
      <c r="D54" s="334">
        <v>0</v>
      </c>
      <c r="E54" s="334">
        <v>34</v>
      </c>
      <c r="F54" s="334">
        <v>706952</v>
      </c>
    </row>
    <row r="55" spans="1:6">
      <c r="A55" s="348" t="s">
        <v>46</v>
      </c>
      <c r="B55" s="348" t="s">
        <v>29</v>
      </c>
      <c r="C55" s="334">
        <v>0</v>
      </c>
      <c r="D55" s="334">
        <v>0</v>
      </c>
      <c r="E55" s="334">
        <v>0</v>
      </c>
      <c r="F55" s="334">
        <v>0</v>
      </c>
    </row>
    <row r="56" spans="1:6">
      <c r="A56" s="348" t="s">
        <v>48</v>
      </c>
      <c r="B56" s="348" t="s">
        <v>29</v>
      </c>
      <c r="C56" s="334">
        <v>0</v>
      </c>
      <c r="D56" s="334">
        <v>0</v>
      </c>
      <c r="E56" s="334">
        <v>94</v>
      </c>
      <c r="F56" s="334">
        <v>389711</v>
      </c>
    </row>
    <row r="57" spans="1:6">
      <c r="A57" s="348" t="s">
        <v>49</v>
      </c>
      <c r="B57" s="348" t="s">
        <v>50</v>
      </c>
      <c r="C57" s="334">
        <v>20</v>
      </c>
      <c r="D57" s="334">
        <v>622747.11455000006</v>
      </c>
      <c r="E57" s="334">
        <v>113</v>
      </c>
      <c r="F57" s="334">
        <v>2639095</v>
      </c>
    </row>
    <row r="58" spans="1:6">
      <c r="A58" s="348" t="s">
        <v>49</v>
      </c>
      <c r="B58" s="348" t="s">
        <v>51</v>
      </c>
      <c r="C58" s="334">
        <v>19</v>
      </c>
      <c r="D58" s="334">
        <v>383611.84112</v>
      </c>
      <c r="E58" s="334">
        <v>19</v>
      </c>
      <c r="F58" s="334">
        <v>462155</v>
      </c>
    </row>
    <row r="59" spans="1:6">
      <c r="A59" s="348" t="s">
        <v>49</v>
      </c>
      <c r="B59" s="348" t="s">
        <v>52</v>
      </c>
      <c r="C59" s="334">
        <v>46</v>
      </c>
      <c r="D59" s="334">
        <v>1514912.8321</v>
      </c>
      <c r="E59" s="334">
        <v>179</v>
      </c>
      <c r="F59" s="334">
        <v>11982164</v>
      </c>
    </row>
    <row r="60" spans="1:6">
      <c r="A60" s="348" t="s">
        <v>49</v>
      </c>
      <c r="B60" s="348" t="s">
        <v>53</v>
      </c>
      <c r="C60" s="334">
        <v>37</v>
      </c>
      <c r="D60" s="334">
        <v>5516643.4818000002</v>
      </c>
      <c r="E60" s="334">
        <v>47</v>
      </c>
      <c r="F60" s="334">
        <v>843369</v>
      </c>
    </row>
    <row r="61" spans="1:6">
      <c r="A61" s="348" t="s">
        <v>49</v>
      </c>
      <c r="B61" s="348" t="s">
        <v>54</v>
      </c>
      <c r="C61" s="334">
        <v>87</v>
      </c>
      <c r="D61" s="334">
        <v>4632519.7927999999</v>
      </c>
      <c r="E61" s="334">
        <v>203</v>
      </c>
      <c r="F61" s="334">
        <v>1568868</v>
      </c>
    </row>
    <row r="62" spans="1:6">
      <c r="A62" s="348" t="s">
        <v>49</v>
      </c>
      <c r="B62" s="348" t="s">
        <v>55</v>
      </c>
      <c r="C62" s="334">
        <v>3</v>
      </c>
      <c r="D62" s="334">
        <v>235687.82983999999</v>
      </c>
      <c r="E62" s="334">
        <v>11</v>
      </c>
      <c r="F62" s="334">
        <v>419591</v>
      </c>
    </row>
    <row r="63" spans="1:6">
      <c r="A63" s="348" t="s">
        <v>49</v>
      </c>
      <c r="B63" s="348" t="s">
        <v>29</v>
      </c>
      <c r="C63" s="334">
        <v>81</v>
      </c>
      <c r="D63" s="334">
        <v>2834651.2267999998</v>
      </c>
      <c r="E63" s="334">
        <v>1</v>
      </c>
      <c r="F63" s="334">
        <v>7101.4894018000005</v>
      </c>
    </row>
    <row r="64" spans="1:6">
      <c r="A64" s="348" t="s">
        <v>56</v>
      </c>
      <c r="B64" s="348" t="s">
        <v>57</v>
      </c>
      <c r="C64" s="334">
        <v>0</v>
      </c>
      <c r="D64" s="334">
        <v>0</v>
      </c>
      <c r="E64" s="334">
        <v>0</v>
      </c>
      <c r="F64" s="334">
        <v>0</v>
      </c>
    </row>
    <row r="65" spans="1:6">
      <c r="A65" s="348" t="s">
        <v>56</v>
      </c>
      <c r="B65" s="348" t="s">
        <v>29</v>
      </c>
      <c r="C65" s="334">
        <v>4</v>
      </c>
      <c r="D65" s="334">
        <v>173746.10522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121104.56338000001</v>
      </c>
      <c r="E68" s="334">
        <v>25</v>
      </c>
      <c r="F68" s="334">
        <v>246061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32069111</v>
      </c>
      <c r="E73" s="475">
        <v>34285029.638217665</v>
      </c>
    </row>
    <row r="74" spans="1:6">
      <c r="A74" s="348" t="s">
        <v>64</v>
      </c>
      <c r="B74" s="348" t="s">
        <v>667</v>
      </c>
      <c r="C74" s="1294" t="s">
        <v>669</v>
      </c>
      <c r="D74" s="475">
        <v>3551339.2086680573</v>
      </c>
      <c r="E74" s="475">
        <v>3681867.8422957384</v>
      </c>
    </row>
    <row r="75" spans="1:6">
      <c r="A75" s="348" t="s">
        <v>65</v>
      </c>
      <c r="B75" s="348" t="s">
        <v>666</v>
      </c>
      <c r="C75" s="1294" t="s">
        <v>670</v>
      </c>
      <c r="D75" s="475">
        <v>36517449</v>
      </c>
      <c r="E75" s="475">
        <v>37280350.526985146</v>
      </c>
    </row>
    <row r="76" spans="1:6">
      <c r="A76" s="348" t="s">
        <v>65</v>
      </c>
      <c r="B76" s="348" t="s">
        <v>667</v>
      </c>
      <c r="C76" s="1294" t="s">
        <v>671</v>
      </c>
      <c r="D76" s="475">
        <v>2744297.2086680573</v>
      </c>
      <c r="E76" s="475">
        <v>2752007.4920520177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151377.58266388567</v>
      </c>
      <c r="C83" s="475">
        <v>151377.58266388567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3082.9340645736379</v>
      </c>
    </row>
    <row r="92" spans="1:6">
      <c r="A92" s="341" t="s">
        <v>69</v>
      </c>
      <c r="B92" s="342">
        <v>2500.5015399392519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12</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5</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76942.67108821329</v>
      </c>
      <c r="C3" s="43" t="s">
        <v>170</v>
      </c>
      <c r="D3" s="43"/>
      <c r="E3" s="154"/>
      <c r="F3" s="43"/>
      <c r="G3" s="43"/>
      <c r="H3" s="43"/>
      <c r="I3" s="43"/>
      <c r="J3" s="43"/>
      <c r="K3" s="96"/>
    </row>
    <row r="4" spans="1:11">
      <c r="A4" s="383" t="s">
        <v>171</v>
      </c>
      <c r="B4" s="49">
        <f>IF(ISERROR('SEAP template'!B78+'SEAP template'!C78),0,'SEAP template'!B78+'SEAP template'!C78)</f>
        <v>5583.4356045128898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0.20496287455133105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706.952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706.952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0.20496287455133105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144.89891408981259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18856.209440611998</v>
      </c>
      <c r="C5" s="17">
        <f>IF(ISERROR('Eigen informatie GS &amp; warmtenet'!B57),0,'Eigen informatie GS &amp; warmtenet'!B57)</f>
        <v>0</v>
      </c>
      <c r="D5" s="30">
        <f>(SUM(HH_hh_gas_kWh,HH_rest_gas_kWh)/1000)*0.902</f>
        <v>40449.212220273999</v>
      </c>
      <c r="E5" s="17">
        <f>B46*B57</f>
        <v>7207.5669097767222</v>
      </c>
      <c r="F5" s="17">
        <f>B51*B62</f>
        <v>20661.620432538886</v>
      </c>
      <c r="G5" s="18"/>
      <c r="H5" s="17"/>
      <c r="I5" s="17"/>
      <c r="J5" s="17">
        <f>B50*B61+C50*C61</f>
        <v>1801.55656303767</v>
      </c>
      <c r="K5" s="17"/>
      <c r="L5" s="17"/>
      <c r="M5" s="17"/>
      <c r="N5" s="17">
        <f>B48*B59+C48*C59</f>
        <v>16327.234337002435</v>
      </c>
      <c r="O5" s="17">
        <f>B69*B70*B71</f>
        <v>317.35666666666668</v>
      </c>
      <c r="P5" s="17">
        <f>B77*B78*B79/1000-B77*B78*B79/1000/B80</f>
        <v>419.4666666666667</v>
      </c>
    </row>
    <row r="6" spans="1:16">
      <c r="A6" s="16" t="s">
        <v>624</v>
      </c>
      <c r="B6" s="788">
        <f>kWh_PV_kleiner_dan_10kW</f>
        <v>3082.9340645736379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21939.143505185635</v>
      </c>
      <c r="C8" s="21">
        <f>C5</f>
        <v>0</v>
      </c>
      <c r="D8" s="21">
        <f>D5</f>
        <v>40449.212220273999</v>
      </c>
      <c r="E8" s="21">
        <f>E5</f>
        <v>7207.5669097767222</v>
      </c>
      <c r="F8" s="21">
        <f>F5</f>
        <v>20661.620432538886</v>
      </c>
      <c r="G8" s="21"/>
      <c r="H8" s="21"/>
      <c r="I8" s="21"/>
      <c r="J8" s="21">
        <f>J5</f>
        <v>1801.55656303767</v>
      </c>
      <c r="K8" s="21"/>
      <c r="L8" s="21">
        <f>L5</f>
        <v>0</v>
      </c>
      <c r="M8" s="21">
        <f>M5</f>
        <v>0</v>
      </c>
      <c r="N8" s="21">
        <f>N5</f>
        <v>16327.234337002435</v>
      </c>
      <c r="O8" s="21">
        <f>O5</f>
        <v>317.35666666666668</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0.20496287455133105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4496.7099180170126</v>
      </c>
      <c r="C12" s="23">
        <f ca="1">C10*C8</f>
        <v>0</v>
      </c>
      <c r="D12" s="23">
        <f>D8*D10</f>
        <v>8170.740868495348</v>
      </c>
      <c r="E12" s="23">
        <f>E10*E8</f>
        <v>1636.1176885193161</v>
      </c>
      <c r="F12" s="23">
        <f>F10*F8</f>
        <v>5516.6526554878828</v>
      </c>
      <c r="G12" s="23"/>
      <c r="H12" s="23"/>
      <c r="I12" s="23"/>
      <c r="J12" s="23">
        <f>J10*J8</f>
        <v>637.75102331533515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5050</v>
      </c>
      <c r="C28" s="36"/>
      <c r="D28" s="228"/>
    </row>
    <row r="29" spans="1:7" s="15" customFormat="1">
      <c r="A29" s="230" t="s">
        <v>699</v>
      </c>
      <c r="B29" s="37">
        <f>SUM(HH_hh_gas_aantal,HH_rest_gas_aantal)</f>
        <v>2926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2926</v>
      </c>
      <c r="C32" s="167">
        <f>IF(ISERROR(B32/SUM($B$32,$B$34,$B$35,$B$36,$B$38,$B$39)*100),0,B32/SUM($B$32,$B$34,$B$35,$B$36,$B$38,$B$39)*100)</f>
        <v>58.194112967382658</v>
      </c>
      <c r="D32" s="233"/>
      <c r="G32" s="15"/>
    </row>
    <row r="33" spans="1:7">
      <c r="A33" s="171" t="s">
        <v>72</v>
      </c>
      <c r="B33" s="34" t="s">
        <v>111</v>
      </c>
      <c r="C33" s="167"/>
      <c r="D33" s="233"/>
      <c r="G33" s="15"/>
    </row>
    <row r="34" spans="1:7">
      <c r="A34" s="171" t="s">
        <v>73</v>
      </c>
      <c r="B34" s="33">
        <f>IF((($B$28-$B$32-$B$39-$B$77-$B$38)*C20/100)&lt;0,0,($B$28-$B$32-$B$39-$B$77-$B$38)*C20/100)</f>
        <v>318.66666666666669</v>
      </c>
      <c r="C34" s="167">
        <f>IF(ISERROR(B34/SUM($B$32,$B$34,$B$35,$B$36,$B$38,$B$39)*100),0,B34/SUM($B$32,$B$34,$B$35,$B$36,$B$38,$B$39)*100)</f>
        <v>6.3378414213736409</v>
      </c>
      <c r="D34" s="233"/>
      <c r="G34" s="15"/>
    </row>
    <row r="35" spans="1:7">
      <c r="A35" s="171" t="s">
        <v>74</v>
      </c>
      <c r="B35" s="33">
        <f>IF((($B$28-$B$32-$B$39-$B$77-$B$38)*C21/100)&lt;0,0,($B$28-$B$32-$B$39-$B$77-$B$38)*C21/100)</f>
        <v>622.15873015873024</v>
      </c>
      <c r="C35" s="167">
        <f>IF(ISERROR(B35/SUM($B$32,$B$34,$B$35,$B$36,$B$38,$B$39)*100),0,B35/SUM($B$32,$B$34,$B$35,$B$36,$B$38,$B$39)*100)</f>
        <v>12.373880870300919</v>
      </c>
      <c r="D35" s="233"/>
      <c r="G35" s="15"/>
    </row>
    <row r="36" spans="1:7">
      <c r="A36" s="171" t="s">
        <v>75</v>
      </c>
      <c r="B36" s="33">
        <f>IF((($B$28-$B$32-$B$39-$B$77-$B$38)*C22/100)&lt;0,0,($B$28-$B$32-$B$39-$B$77-$B$38)*C22/100)</f>
        <v>254.17460317460319</v>
      </c>
      <c r="C36" s="167">
        <f>IF(ISERROR(B36/SUM($B$32,$B$34,$B$35,$B$36,$B$38,$B$39)*100),0,B36/SUM($B$32,$B$34,$B$35,$B$36,$B$38,$B$39)*100)</f>
        <v>5.0551830384765948</v>
      </c>
      <c r="D36" s="233"/>
      <c r="G36" s="15"/>
    </row>
    <row r="37" spans="1:7">
      <c r="A37" s="171" t="s">
        <v>76</v>
      </c>
      <c r="B37" s="34" t="s">
        <v>111</v>
      </c>
      <c r="C37" s="167"/>
      <c r="D37" s="173"/>
      <c r="G37" s="15"/>
    </row>
    <row r="38" spans="1:7">
      <c r="A38" s="171" t="s">
        <v>77</v>
      </c>
      <c r="B38" s="33">
        <f>IF((B24-(B29-B18)*0.1)&lt;0,0,B24-(B29-B18)*0.1)</f>
        <v>58.199999999999989</v>
      </c>
      <c r="C38" s="167">
        <f>IF(ISERROR(B38/SUM($B$32,$B$34,$B$35,$B$36,$B$38,$B$39)*100),0,B38/SUM($B$32,$B$34,$B$35,$B$36,$B$38,$B$39)*100)</f>
        <v>1.1575178997613365</v>
      </c>
      <c r="D38" s="234"/>
      <c r="G38" s="15"/>
    </row>
    <row r="39" spans="1:7">
      <c r="A39" s="171" t="s">
        <v>78</v>
      </c>
      <c r="B39" s="33">
        <f>IF((B25-(B29-B18))&lt;0,0,B25-(B29-B18)*0.9)</f>
        <v>848.8</v>
      </c>
      <c r="C39" s="167">
        <f>IF(ISERROR(B39/SUM($B$32,$B$34,$B$35,$B$36,$B$38,$B$39)*100),0,B39/SUM($B$32,$B$34,$B$35,$B$36,$B$38,$B$39)*100)</f>
        <v>16.88146380270485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2926</v>
      </c>
      <c r="C44" s="34" t="s">
        <v>111</v>
      </c>
      <c r="D44" s="174"/>
    </row>
    <row r="45" spans="1:7">
      <c r="A45" s="171" t="s">
        <v>72</v>
      </c>
      <c r="B45" s="33" t="str">
        <f t="shared" si="0"/>
        <v>-</v>
      </c>
      <c r="C45" s="34" t="s">
        <v>111</v>
      </c>
      <c r="D45" s="174"/>
    </row>
    <row r="46" spans="1:7">
      <c r="A46" s="171" t="s">
        <v>73</v>
      </c>
      <c r="B46" s="33">
        <f t="shared" si="0"/>
        <v>318.66666666666669</v>
      </c>
      <c r="C46" s="34" t="s">
        <v>111</v>
      </c>
      <c r="D46" s="174"/>
    </row>
    <row r="47" spans="1:7">
      <c r="A47" s="171" t="s">
        <v>74</v>
      </c>
      <c r="B47" s="33">
        <f t="shared" si="0"/>
        <v>622.15873015873024</v>
      </c>
      <c r="C47" s="34" t="s">
        <v>111</v>
      </c>
      <c r="D47" s="174"/>
    </row>
    <row r="48" spans="1:7">
      <c r="A48" s="171" t="s">
        <v>75</v>
      </c>
      <c r="B48" s="33">
        <f t="shared" si="0"/>
        <v>254.17460317460319</v>
      </c>
      <c r="C48" s="33">
        <f>B48*10</f>
        <v>2541.7460317460318</v>
      </c>
      <c r="D48" s="234"/>
    </row>
    <row r="49" spans="1:6">
      <c r="A49" s="171" t="s">
        <v>76</v>
      </c>
      <c r="B49" s="33" t="str">
        <f t="shared" si="0"/>
        <v>-</v>
      </c>
      <c r="C49" s="34" t="s">
        <v>111</v>
      </c>
      <c r="D49" s="234"/>
    </row>
    <row r="50" spans="1:6">
      <c r="A50" s="171" t="s">
        <v>77</v>
      </c>
      <c r="B50" s="33">
        <f t="shared" si="0"/>
        <v>58.199999999999989</v>
      </c>
      <c r="C50" s="33">
        <f>B50*2</f>
        <v>116.39999999999998</v>
      </c>
      <c r="D50" s="234"/>
    </row>
    <row r="51" spans="1:6">
      <c r="A51" s="171" t="s">
        <v>78</v>
      </c>
      <c r="B51" s="33">
        <f t="shared" si="0"/>
        <v>848.8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17922.343489401803</v>
      </c>
      <c r="C5" s="17">
        <f>IF(ISERROR('Eigen informatie GS &amp; warmtenet'!B58),0,'Eigen informatie GS &amp; warmtenet'!B58)</f>
        <v>0</v>
      </c>
      <c r="D5" s="30">
        <f>SUM(D6:D12)</f>
        <v>14198.178255347022</v>
      </c>
      <c r="E5" s="17">
        <f>SUM(E6:E12)</f>
        <v>431.51591756913854</v>
      </c>
      <c r="F5" s="17">
        <f>SUM(F6:F12)</f>
        <v>3987.0796052838564</v>
      </c>
      <c r="G5" s="18"/>
      <c r="H5" s="17"/>
      <c r="I5" s="17"/>
      <c r="J5" s="17">
        <f>SUM(J6:J12)</f>
        <v>0</v>
      </c>
      <c r="K5" s="17"/>
      <c r="L5" s="17"/>
      <c r="M5" s="17"/>
      <c r="N5" s="17">
        <f>SUM(N6:N12)</f>
        <v>2102.6187110796045</v>
      </c>
      <c r="O5" s="17">
        <f>B38*B39*B40</f>
        <v>7.8166666666666664</v>
      </c>
      <c r="P5" s="17">
        <f>B46*B47*B48/1000-B46*B47*B48/1000/B49</f>
        <v>57.2</v>
      </c>
      <c r="R5" s="32"/>
    </row>
    <row r="6" spans="1:18">
      <c r="A6" s="32" t="s">
        <v>54</v>
      </c>
      <c r="B6" s="37">
        <f>B26</f>
        <v>1568.8679999999999</v>
      </c>
      <c r="C6" s="33"/>
      <c r="D6" s="37">
        <f>IF(ISERROR(TER_kantoor_gas_kWh/1000),0,TER_kantoor_gas_kWh/1000)*0.902</f>
        <v>4178.5328531056002</v>
      </c>
      <c r="E6" s="33">
        <f>$C$26*'E Balans VL '!I12/100/3.6*1000000</f>
        <v>20.538414685146279</v>
      </c>
      <c r="F6" s="33">
        <f>$C$26*('E Balans VL '!L12+'E Balans VL '!N12)/100/3.6*1000000</f>
        <v>400.04512792368854</v>
      </c>
      <c r="G6" s="34"/>
      <c r="H6" s="33"/>
      <c r="I6" s="33"/>
      <c r="J6" s="33">
        <f>$C$26*('E Balans VL '!D12+'E Balans VL '!E12)/100/3.6*1000000</f>
        <v>0</v>
      </c>
      <c r="K6" s="33"/>
      <c r="L6" s="33"/>
      <c r="M6" s="33"/>
      <c r="N6" s="33">
        <f>$C$26*'E Balans VL '!Y12/100/3.6*1000000</f>
        <v>1.5741510789570226</v>
      </c>
      <c r="O6" s="33"/>
      <c r="P6" s="33"/>
      <c r="R6" s="32"/>
    </row>
    <row r="7" spans="1:18">
      <c r="A7" s="32" t="s">
        <v>53</v>
      </c>
      <c r="B7" s="37">
        <f t="shared" ref="B7:B12" si="0">B27</f>
        <v>843.36900000000003</v>
      </c>
      <c r="C7" s="33"/>
      <c r="D7" s="37">
        <f>IF(ISERROR(TER_horeca_gas_kWh/1000),0,TER_horeca_gas_kWh/1000)*0.902</f>
        <v>4976.0124205836</v>
      </c>
      <c r="E7" s="33">
        <f>$C$27*'E Balans VL '!I9/100/3.6*1000000</f>
        <v>27.910383858465075</v>
      </c>
      <c r="F7" s="33">
        <f>$C$27*('E Balans VL '!L9+'E Balans VL '!N9)/100/3.6*1000000</f>
        <v>362.64543781848357</v>
      </c>
      <c r="G7" s="34"/>
      <c r="H7" s="33"/>
      <c r="I7" s="33"/>
      <c r="J7" s="33">
        <f>$C$27*('E Balans VL '!D9+'E Balans VL '!E9)/100/3.6*1000000</f>
        <v>0</v>
      </c>
      <c r="K7" s="33"/>
      <c r="L7" s="33"/>
      <c r="M7" s="33"/>
      <c r="N7" s="33">
        <f>$C$27*'E Balans VL '!Y9/100/3.6*1000000</f>
        <v>0.20301116536188341</v>
      </c>
      <c r="O7" s="33"/>
      <c r="P7" s="33"/>
      <c r="R7" s="32"/>
    </row>
    <row r="8" spans="1:18">
      <c r="A8" s="6" t="s">
        <v>52</v>
      </c>
      <c r="B8" s="37">
        <f t="shared" si="0"/>
        <v>11982.164000000001</v>
      </c>
      <c r="C8" s="33"/>
      <c r="D8" s="37">
        <f>IF(ISERROR(TER_handel_gas_kWh/1000),0,TER_handel_gas_kWh/1000)*0.902</f>
        <v>1366.4513745542001</v>
      </c>
      <c r="E8" s="33">
        <f>$C$28*'E Balans VL '!I13/100/3.6*1000000</f>
        <v>378.17540404161929</v>
      </c>
      <c r="F8" s="33">
        <f>$C$28*('E Balans VL '!L13+'E Balans VL '!N13)/100/3.6*1000000</f>
        <v>2349.9133532084452</v>
      </c>
      <c r="G8" s="34"/>
      <c r="H8" s="33"/>
      <c r="I8" s="33"/>
      <c r="J8" s="33">
        <f>$C$28*('E Balans VL '!D13+'E Balans VL '!E13)/100/3.6*1000000</f>
        <v>0</v>
      </c>
      <c r="K8" s="33"/>
      <c r="L8" s="33"/>
      <c r="M8" s="33"/>
      <c r="N8" s="33">
        <f>$C$28*'E Balans VL '!Y13/100/3.6*1000000</f>
        <v>14.22050235941825</v>
      </c>
      <c r="O8" s="33"/>
      <c r="P8" s="33"/>
      <c r="R8" s="32"/>
    </row>
    <row r="9" spans="1:18">
      <c r="A9" s="32" t="s">
        <v>51</v>
      </c>
      <c r="B9" s="37">
        <f t="shared" si="0"/>
        <v>462.15499999999997</v>
      </c>
      <c r="C9" s="33"/>
      <c r="D9" s="37">
        <f>IF(ISERROR(TER_gezond_gas_kWh/1000),0,TER_gezond_gas_kWh/1000)*0.902</f>
        <v>346.01788069024002</v>
      </c>
      <c r="E9" s="33">
        <f>$C$29*'E Balans VL '!I10/100/3.6*1000000</f>
        <v>5.9169360044540563E-2</v>
      </c>
      <c r="F9" s="33">
        <f>$C$29*('E Balans VL '!L10+'E Balans VL '!N10)/100/3.6*1000000</f>
        <v>96.286257191245653</v>
      </c>
      <c r="G9" s="34"/>
      <c r="H9" s="33"/>
      <c r="I9" s="33"/>
      <c r="J9" s="33">
        <f>$C$29*('E Balans VL '!D10+'E Balans VL '!E10)/100/3.6*1000000</f>
        <v>0</v>
      </c>
      <c r="K9" s="33"/>
      <c r="L9" s="33"/>
      <c r="M9" s="33"/>
      <c r="N9" s="33">
        <f>$C$29*'E Balans VL '!Y10/100/3.6*1000000</f>
        <v>5.4282289181708112</v>
      </c>
      <c r="O9" s="33"/>
      <c r="P9" s="33"/>
      <c r="R9" s="32"/>
    </row>
    <row r="10" spans="1:18">
      <c r="A10" s="32" t="s">
        <v>50</v>
      </c>
      <c r="B10" s="37">
        <f t="shared" si="0"/>
        <v>2639.0949999999998</v>
      </c>
      <c r="C10" s="33"/>
      <c r="D10" s="37">
        <f>IF(ISERROR(TER_ander_gas_kWh/1000),0,TER_ander_gas_kWh/1000)*0.902</f>
        <v>561.71789732410014</v>
      </c>
      <c r="E10" s="33">
        <f>$C$30*'E Balans VL '!I14/100/3.6*1000000</f>
        <v>3.9685782556727456</v>
      </c>
      <c r="F10" s="33">
        <f>$C$30*('E Balans VL '!L14+'E Balans VL '!N14)/100/3.6*1000000</f>
        <v>582.62710583626313</v>
      </c>
      <c r="G10" s="34"/>
      <c r="H10" s="33"/>
      <c r="I10" s="33"/>
      <c r="J10" s="33">
        <f>$C$30*('E Balans VL '!D14+'E Balans VL '!E14)/100/3.6*1000000</f>
        <v>0</v>
      </c>
      <c r="K10" s="33"/>
      <c r="L10" s="33"/>
      <c r="M10" s="33"/>
      <c r="N10" s="33">
        <f>$C$30*'E Balans VL '!Y14/100/3.6*1000000</f>
        <v>2079.7844643971475</v>
      </c>
      <c r="O10" s="33"/>
      <c r="P10" s="33"/>
      <c r="R10" s="32"/>
    </row>
    <row r="11" spans="1:18">
      <c r="A11" s="32" t="s">
        <v>55</v>
      </c>
      <c r="B11" s="37">
        <f t="shared" si="0"/>
        <v>419.59100000000001</v>
      </c>
      <c r="C11" s="33"/>
      <c r="D11" s="37">
        <f>IF(ISERROR(TER_onderwijs_gas_kWh/1000),0,TER_onderwijs_gas_kWh/1000)*0.902</f>
        <v>212.59042251567999</v>
      </c>
      <c r="E11" s="33">
        <f>$C$31*'E Balans VL '!I11/100/3.6*1000000</f>
        <v>0.73893491260425914</v>
      </c>
      <c r="F11" s="33">
        <f>$C$31*('E Balans VL '!L11+'E Balans VL '!N11)/100/3.6*1000000</f>
        <v>193.73275718658761</v>
      </c>
      <c r="G11" s="34"/>
      <c r="H11" s="33"/>
      <c r="I11" s="33"/>
      <c r="J11" s="33">
        <f>$C$31*('E Balans VL '!D11+'E Balans VL '!E11)/100/3.6*1000000</f>
        <v>0</v>
      </c>
      <c r="K11" s="33"/>
      <c r="L11" s="33"/>
      <c r="M11" s="33"/>
      <c r="N11" s="33">
        <f>$C$31*'E Balans VL '!Y11/100/3.6*1000000</f>
        <v>0.78170383543108823</v>
      </c>
      <c r="O11" s="33"/>
      <c r="P11" s="33"/>
      <c r="R11" s="32"/>
    </row>
    <row r="12" spans="1:18">
      <c r="A12" s="32" t="s">
        <v>260</v>
      </c>
      <c r="B12" s="37">
        <f t="shared" si="0"/>
        <v>7.1014894018000003</v>
      </c>
      <c r="C12" s="33"/>
      <c r="D12" s="37">
        <f>IF(ISERROR(TER_rest_gas_kWh/1000),0,TER_rest_gas_kWh/1000)*0.902</f>
        <v>2556.8554065735998</v>
      </c>
      <c r="E12" s="33">
        <f>$C$32*'E Balans VL '!I8/100/3.6*1000000</f>
        <v>0.12503245558634626</v>
      </c>
      <c r="F12" s="33">
        <f>$C$32*('E Balans VL '!L8+'E Balans VL '!N8)/100/3.6*1000000</f>
        <v>1.8295661191427564</v>
      </c>
      <c r="G12" s="34"/>
      <c r="H12" s="33"/>
      <c r="I12" s="33"/>
      <c r="J12" s="33">
        <f>$C$32*('E Balans VL '!D8+'E Balans VL '!E8)/100/3.6*1000000</f>
        <v>0</v>
      </c>
      <c r="K12" s="33"/>
      <c r="L12" s="33"/>
      <c r="M12" s="33"/>
      <c r="N12" s="33">
        <f>$C$32*'E Balans VL '!Y8/100/3.6*1000000</f>
        <v>0.62664932511769522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17922.343489401803</v>
      </c>
      <c r="C16" s="21">
        <f t="shared" ca="1" si="1"/>
        <v>0</v>
      </c>
      <c r="D16" s="21">
        <f t="shared" ca="1" si="1"/>
        <v>14198.178255347022</v>
      </c>
      <c r="E16" s="21">
        <f t="shared" si="1"/>
        <v>431.51591756913854</v>
      </c>
      <c r="F16" s="21">
        <f t="shared" ca="1" si="1"/>
        <v>3987.0796052838564</v>
      </c>
      <c r="G16" s="21">
        <f t="shared" si="1"/>
        <v>0</v>
      </c>
      <c r="H16" s="21">
        <f t="shared" si="1"/>
        <v>0</v>
      </c>
      <c r="I16" s="21">
        <f t="shared" si="1"/>
        <v>0</v>
      </c>
      <c r="J16" s="21">
        <f t="shared" si="1"/>
        <v>0</v>
      </c>
      <c r="K16" s="21">
        <f t="shared" si="1"/>
        <v>0</v>
      </c>
      <c r="L16" s="21">
        <f t="shared" ca="1" si="1"/>
        <v>0</v>
      </c>
      <c r="M16" s="21">
        <f t="shared" si="1"/>
        <v>0</v>
      </c>
      <c r="N16" s="21">
        <f t="shared" ca="1" si="1"/>
        <v>2102.6187110796045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0.20496287455133105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3673.4150402841265</v>
      </c>
      <c r="C20" s="23">
        <f t="shared" ref="C20:P20" ca="1" si="2">C16*C18</f>
        <v>0</v>
      </c>
      <c r="D20" s="23">
        <f t="shared" ca="1" si="2"/>
        <v>2868.0320075800987</v>
      </c>
      <c r="E20" s="23">
        <f t="shared" si="2"/>
        <v>97.954113288194449</v>
      </c>
      <c r="F20" s="23">
        <f t="shared" ca="1" si="2"/>
        <v>1064.5502546107898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1568.8679999999999</v>
      </c>
      <c r="C26" s="39">
        <f>IF(ISERROR(B26*3.6/1000000/'E Balans VL '!Z12*100),0,B26*3.6/1000000/'E Balans VL '!Z12*100)</f>
        <v>3.3606371366089467E-2</v>
      </c>
      <c r="D26" s="237" t="s">
        <v>660</v>
      </c>
      <c r="F26" s="6"/>
    </row>
    <row r="27" spans="1:18">
      <c r="A27" s="231" t="s">
        <v>53</v>
      </c>
      <c r="B27" s="33">
        <f>IF(ISERROR(TER_horeca_ele_kWh/1000),0,TER_horeca_ele_kWh/1000)</f>
        <v>843.36900000000003</v>
      </c>
      <c r="C27" s="39">
        <f>IF(ISERROR(B27*3.6/1000000/'E Balans VL '!Z9*100),0,B27*3.6/1000000/'E Balans VL '!Z9*100)</f>
        <v>6.7677430729278523E-2</v>
      </c>
      <c r="D27" s="237" t="s">
        <v>660</v>
      </c>
      <c r="F27" s="6"/>
    </row>
    <row r="28" spans="1:18">
      <c r="A28" s="171" t="s">
        <v>52</v>
      </c>
      <c r="B28" s="33">
        <f>IF(ISERROR(TER_handel_ele_kWh/1000),0,TER_handel_ele_kWh/1000)</f>
        <v>11982.164000000001</v>
      </c>
      <c r="C28" s="39">
        <f>IF(ISERROR(B28*3.6/1000000/'E Balans VL '!Z13*100),0,B28*3.6/1000000/'E Balans VL '!Z13*100)</f>
        <v>0.3534051110485914</v>
      </c>
      <c r="D28" s="237" t="s">
        <v>660</v>
      </c>
      <c r="F28" s="6"/>
    </row>
    <row r="29" spans="1:18">
      <c r="A29" s="231" t="s">
        <v>51</v>
      </c>
      <c r="B29" s="33">
        <f>IF(ISERROR(TER_gezond_ele_kWh/1000),0,TER_gezond_ele_kWh/1000)</f>
        <v>462.15499999999997</v>
      </c>
      <c r="C29" s="39">
        <f>IF(ISERROR(B29*3.6/1000000/'E Balans VL '!Z10*100),0,B29*3.6/1000000/'E Balans VL '!Z10*100)</f>
        <v>4.9345763159797315E-2</v>
      </c>
      <c r="D29" s="237" t="s">
        <v>660</v>
      </c>
      <c r="F29" s="6"/>
    </row>
    <row r="30" spans="1:18">
      <c r="A30" s="231" t="s">
        <v>50</v>
      </c>
      <c r="B30" s="33">
        <f>IF(ISERROR(TER_ander_ele_kWh/1000),0,TER_ander_ele_kWh/1000)</f>
        <v>2639.0949999999998</v>
      </c>
      <c r="C30" s="39">
        <f>IF(ISERROR(B30*3.6/1000000/'E Balans VL '!Z14*100),0,B30*3.6/1000000/'E Balans VL '!Z14*100)</f>
        <v>0.19934120865804358</v>
      </c>
      <c r="D30" s="237" t="s">
        <v>660</v>
      </c>
      <c r="F30" s="6"/>
    </row>
    <row r="31" spans="1:18">
      <c r="A31" s="231" t="s">
        <v>55</v>
      </c>
      <c r="B31" s="33">
        <f>IF(ISERROR(TER_onderwijs_ele_kWh/1000),0,TER_onderwijs_ele_kWh/1000)</f>
        <v>419.59100000000001</v>
      </c>
      <c r="C31" s="39">
        <f>IF(ISERROR(B31*3.6/1000000/'E Balans VL '!Z11*100),0,B31*3.6/1000000/'E Balans VL '!Z11*100)</f>
        <v>8.4729429929682049E-2</v>
      </c>
      <c r="D31" s="237" t="s">
        <v>660</v>
      </c>
    </row>
    <row r="32" spans="1:18">
      <c r="A32" s="231" t="s">
        <v>260</v>
      </c>
      <c r="B32" s="33">
        <f>IF(ISERROR(TER_rest_ele_kWh/1000),0,TER_rest_ele_kWh/1000)</f>
        <v>7.1014894018000003</v>
      </c>
      <c r="C32" s="39">
        <f>IF(ISERROR(B32*3.6/1000000/'E Balans VL '!Z8*100),0,B32*3.6/1000000/'E Balans VL '!Z8*100)</f>
        <v>5.8881235893575365E-5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31517.608</v>
      </c>
      <c r="C5" s="17">
        <f>IF(ISERROR('Eigen informatie GS &amp; warmtenet'!B59),0,'Eigen informatie GS &amp; warmtenet'!B59)</f>
        <v>0</v>
      </c>
      <c r="D5" s="30">
        <f>SUM(D6:D15)</f>
        <v>84741.293305942439</v>
      </c>
      <c r="E5" s="17">
        <f>SUM(E6:E15)</f>
        <v>1475.2999265351091</v>
      </c>
      <c r="F5" s="17">
        <f>SUM(F6:F15)</f>
        <v>8707.649730156485</v>
      </c>
      <c r="G5" s="18"/>
      <c r="H5" s="17"/>
      <c r="I5" s="17"/>
      <c r="J5" s="17">
        <f>SUM(J6:J15)</f>
        <v>55.941540750769782</v>
      </c>
      <c r="K5" s="17"/>
      <c r="L5" s="17"/>
      <c r="M5" s="17"/>
      <c r="N5" s="17">
        <f>SUM(N6:N15)</f>
        <v>8034.1653940914402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1937.703</v>
      </c>
      <c r="C8" s="33"/>
      <c r="D8" s="37">
        <f>IF( ISERROR(IND_metaal_Gas_kWH/1000),0,IND_metaal_Gas_kWH/1000)*0.902</f>
        <v>159.71695605514003</v>
      </c>
      <c r="E8" s="33">
        <f>C30*'E Balans VL '!I18/100/3.6*1000000</f>
        <v>69.724415888944833</v>
      </c>
      <c r="F8" s="33">
        <f>C30*'E Balans VL '!L18/100/3.6*1000000+C30*'E Balans VL '!N18/100/3.6*1000000</f>
        <v>846.13208652684432</v>
      </c>
      <c r="G8" s="34"/>
      <c r="H8" s="33"/>
      <c r="I8" s="33"/>
      <c r="J8" s="40">
        <f>C30*'E Balans VL '!D18/100/3.6*1000000+C30*'E Balans VL '!E18/100/3.6*1000000</f>
        <v>0</v>
      </c>
      <c r="K8" s="33"/>
      <c r="L8" s="33"/>
      <c r="M8" s="33"/>
      <c r="N8" s="33">
        <f>C30*'E Balans VL '!Y18/100/3.6*1000000</f>
        <v>97.116357551283002</v>
      </c>
      <c r="O8" s="33"/>
      <c r="P8" s="33"/>
      <c r="R8" s="32"/>
    </row>
    <row r="9" spans="1:18">
      <c r="A9" s="6" t="s">
        <v>33</v>
      </c>
      <c r="B9" s="37">
        <f t="shared" si="0"/>
        <v>3062.288</v>
      </c>
      <c r="C9" s="33"/>
      <c r="D9" s="37">
        <f>IF( ISERROR(IND_andere_gas_kWh/1000),0,IND_andere_gas_kWh/1000)*0.902</f>
        <v>772.79386118131993</v>
      </c>
      <c r="E9" s="33">
        <f>C31*'E Balans VL '!I19/100/3.6*1000000</f>
        <v>781.42661139336542</v>
      </c>
      <c r="F9" s="33">
        <f>C31*'E Balans VL '!L19/100/3.6*1000000+C31*'E Balans VL '!N19/100/3.6*1000000</f>
        <v>2636.3997974856597</v>
      </c>
      <c r="G9" s="34"/>
      <c r="H9" s="33"/>
      <c r="I9" s="33"/>
      <c r="J9" s="40">
        <f>C31*'E Balans VL '!D19/100/3.6*1000000+C31*'E Balans VL '!E19/100/3.6*1000000</f>
        <v>0</v>
      </c>
      <c r="K9" s="33"/>
      <c r="L9" s="33"/>
      <c r="M9" s="33"/>
      <c r="N9" s="33">
        <f>C31*'E Balans VL '!Y19/100/3.6*1000000</f>
        <v>957.68233001125338</v>
      </c>
      <c r="O9" s="33"/>
      <c r="P9" s="33"/>
      <c r="R9" s="32"/>
    </row>
    <row r="10" spans="1:18">
      <c r="A10" s="6" t="s">
        <v>41</v>
      </c>
      <c r="B10" s="37">
        <f t="shared" si="0"/>
        <v>15430.466</v>
      </c>
      <c r="C10" s="33"/>
      <c r="D10" s="37">
        <f>IF( ISERROR(IND_voed_gas_kWh/1000),0,IND_voed_gas_kWh/1000)*0.902</f>
        <v>73236.008521807991</v>
      </c>
      <c r="E10" s="33">
        <f>C32*'E Balans VL '!I20/100/3.6*1000000</f>
        <v>392.2636334861196</v>
      </c>
      <c r="F10" s="33">
        <f>C32*'E Balans VL '!L20/100/3.6*1000000+C32*'E Balans VL '!N20/100/3.6*1000000</f>
        <v>3491.6828245294469</v>
      </c>
      <c r="G10" s="34"/>
      <c r="H10" s="33"/>
      <c r="I10" s="33"/>
      <c r="J10" s="40">
        <f>C32*'E Balans VL '!D20/100/3.6*1000000+C32*'E Balans VL '!E20/100/3.6*1000000</f>
        <v>0</v>
      </c>
      <c r="K10" s="33"/>
      <c r="L10" s="33"/>
      <c r="M10" s="33"/>
      <c r="N10" s="33">
        <f>C32*'E Balans VL '!Y20/100/3.6*1000000</f>
        <v>5786.8430092325953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10242.884</v>
      </c>
      <c r="C12" s="33"/>
      <c r="D12" s="37">
        <f>IF( ISERROR(IND_min_gas_kWh/1000),0,IND_min_gas_kWh/1000)*0.902</f>
        <v>0</v>
      </c>
      <c r="E12" s="33">
        <f>C34*'E Balans VL '!I22/100/3.6*1000000</f>
        <v>217.63561405657381</v>
      </c>
      <c r="F12" s="33">
        <f>C34*'E Balans VL '!L22/100/3.6*1000000+C34*'E Balans VL '!N22/100/3.6*1000000</f>
        <v>1671.2138154675558</v>
      </c>
      <c r="G12" s="34"/>
      <c r="H12" s="33"/>
      <c r="I12" s="33"/>
      <c r="J12" s="40">
        <f>C34*'E Balans VL '!D22/100/3.6*1000000+C34*'E Balans VL '!E22/100/3.6*1000000</f>
        <v>11.933915731178731</v>
      </c>
      <c r="K12" s="33"/>
      <c r="L12" s="33"/>
      <c r="M12" s="33"/>
      <c r="N12" s="33">
        <f>C34*'E Balans VL '!Y22/100/3.6*1000000</f>
        <v>0</v>
      </c>
      <c r="O12" s="33"/>
      <c r="P12" s="33"/>
      <c r="R12" s="32"/>
    </row>
    <row r="13" spans="1:18">
      <c r="A13" s="6" t="s">
        <v>39</v>
      </c>
      <c r="B13" s="37">
        <f t="shared" si="0"/>
        <v>631.62300000000005</v>
      </c>
      <c r="C13" s="33"/>
      <c r="D13" s="37">
        <f>IF( ISERROR(IND_papier_gas_kWh/1000),0,IND_papier_gas_kWh/1000)*0.902</f>
        <v>0</v>
      </c>
      <c r="E13" s="33">
        <f>C35*'E Balans VL '!I23/100/3.6*1000000</f>
        <v>2.7088472966367876</v>
      </c>
      <c r="F13" s="33">
        <f>C35*'E Balans VL '!L23/100/3.6*1000000+C35*'E Balans VL '!N23/100/3.6*1000000</f>
        <v>15.874646422990752</v>
      </c>
      <c r="G13" s="34"/>
      <c r="H13" s="33"/>
      <c r="I13" s="33"/>
      <c r="J13" s="40">
        <f>C35*'E Balans VL '!D23/100/3.6*1000000+C35*'E Balans VL '!E23/100/3.6*1000000</f>
        <v>42.283695540352703</v>
      </c>
      <c r="K13" s="33"/>
      <c r="L13" s="33"/>
      <c r="M13" s="33"/>
      <c r="N13" s="33">
        <f>C35*'E Balans VL '!Y23/100/3.6*1000000</f>
        <v>1149.7040656801025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212.64400000000001</v>
      </c>
      <c r="C15" s="33"/>
      <c r="D15" s="37">
        <f>IF( ISERROR(IND_rest_gas_kWh/1000),0,IND_rest_gas_kWh/1000)*0.902</f>
        <v>10572.773966897999</v>
      </c>
      <c r="E15" s="33">
        <f>C37*'E Balans VL '!I15/100/3.6*1000000</f>
        <v>11.54080441346871</v>
      </c>
      <c r="F15" s="33">
        <f>C37*'E Balans VL '!L15/100/3.6*1000000+C37*'E Balans VL '!N15/100/3.6*1000000</f>
        <v>46.346559723986388</v>
      </c>
      <c r="G15" s="34"/>
      <c r="H15" s="33"/>
      <c r="I15" s="33"/>
      <c r="J15" s="40">
        <f>C37*'E Balans VL '!D15/100/3.6*1000000+C37*'E Balans VL '!E15/100/3.6*1000000</f>
        <v>1.7239294792383504</v>
      </c>
      <c r="K15" s="33"/>
      <c r="L15" s="33"/>
      <c r="M15" s="33"/>
      <c r="N15" s="33">
        <f>C37*'E Balans VL '!Y15/100/3.6*1000000</f>
        <v>42.819631616205868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31517.608</v>
      </c>
      <c r="C18" s="21">
        <f>C5+C16</f>
        <v>0</v>
      </c>
      <c r="D18" s="21">
        <f>MAX((D5+D16),0)</f>
        <v>84741.293305942439</v>
      </c>
      <c r="E18" s="21">
        <f>MAX((E5+E16),0)</f>
        <v>1475.2999265351091</v>
      </c>
      <c r="F18" s="21">
        <f>MAX((F5+F16),0)</f>
        <v>8707.649730156485</v>
      </c>
      <c r="G18" s="21"/>
      <c r="H18" s="21"/>
      <c r="I18" s="21"/>
      <c r="J18" s="21">
        <f>MAX((J5+J16),0)</f>
        <v>55.941540750769782</v>
      </c>
      <c r="K18" s="21"/>
      <c r="L18" s="21">
        <f>MAX((L5+L16),0)</f>
        <v>0</v>
      </c>
      <c r="M18" s="21"/>
      <c r="N18" s="21">
        <f>MAX((N5+N16),0)</f>
        <v>8034.1653940914402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0.20496287455133105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6459.9395346620277</v>
      </c>
      <c r="C22" s="23">
        <f ca="1">C18*C20</f>
        <v>0</v>
      </c>
      <c r="D22" s="23">
        <f>D18*D20</f>
        <v>17117.741247800375</v>
      </c>
      <c r="E22" s="23">
        <f>E18*E20</f>
        <v>334.8930833234698</v>
      </c>
      <c r="F22" s="23">
        <f>F18*F20</f>
        <v>2324.9424779517817</v>
      </c>
      <c r="G22" s="23"/>
      <c r="H22" s="23"/>
      <c r="I22" s="23"/>
      <c r="J22" s="23">
        <f>J18*J20</f>
        <v>19.803305425772503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1937.703</v>
      </c>
      <c r="C30" s="39">
        <f>IF(ISERROR(B30*3.6/1000000/'E Balans VL '!Z18*100),0,B30*3.6/1000000/'E Balans VL '!Z18*100)</f>
        <v>0.41055772244257516</v>
      </c>
      <c r="D30" s="237" t="s">
        <v>660</v>
      </c>
    </row>
    <row r="31" spans="1:18">
      <c r="A31" s="6" t="s">
        <v>33</v>
      </c>
      <c r="B31" s="37">
        <f>IF( ISERROR(IND_ander_ele_kWh/1000),0,IND_ander_ele_kWh/1000)</f>
        <v>3062.288</v>
      </c>
      <c r="C31" s="39">
        <f>IF(ISERROR(B31*3.6/1000000/'E Balans VL '!Z19*100),0,B31*3.6/1000000/'E Balans VL '!Z19*100)</f>
        <v>0.12889865535059861</v>
      </c>
      <c r="D31" s="237" t="s">
        <v>660</v>
      </c>
    </row>
    <row r="32" spans="1:18">
      <c r="A32" s="171" t="s">
        <v>41</v>
      </c>
      <c r="B32" s="37">
        <f>IF( ISERROR(IND_voed_ele_kWh/1000),0,IND_voed_ele_kWh/1000)</f>
        <v>15430.466</v>
      </c>
      <c r="C32" s="39">
        <f>IF(ISERROR(B32*3.6/1000000/'E Balans VL '!Z20*100),0,B32*3.6/1000000/'E Balans VL '!Z20*100)</f>
        <v>2.5778339290155028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10242.884</v>
      </c>
      <c r="C34" s="39">
        <f>IF(ISERROR(B34*3.6/1000000/'E Balans VL '!Z22*100),0,B34*3.6/1000000/'E Balans VL '!Z22*100)</f>
        <v>1.2983407867102637</v>
      </c>
      <c r="D34" s="237" t="s">
        <v>660</v>
      </c>
    </row>
    <row r="35" spans="1:5">
      <c r="A35" s="171" t="s">
        <v>39</v>
      </c>
      <c r="B35" s="37">
        <f>IF( ISERROR(IND_papier_ele_kWh/1000),0,IND_papier_ele_kWh/1000)</f>
        <v>631.62300000000005</v>
      </c>
      <c r="C35" s="39">
        <f>IF(ISERROR(B35*3.6/1000000/'E Balans VL '!Z22*100),0,B35*3.6/1000000/'E Balans VL '!Z22*100)</f>
        <v>8.0061621582778533E-2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212.64400000000001</v>
      </c>
      <c r="C37" s="39">
        <f>IF(ISERROR(B37*3.6/1000000/'E Balans VL '!Z15*100),0,B37*3.6/1000000/'E Balans VL '!Z15*100)</f>
        <v>1.716757351530729E-3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4450.8408454417995</v>
      </c>
      <c r="C5" s="17">
        <f>'Eigen informatie GS &amp; warmtenet'!B60</f>
        <v>0</v>
      </c>
      <c r="D5" s="30">
        <f>IF(ISERROR(SUM(LB_lb_gas_kWh,LB_rest_gas_kWh)/1000),0,SUM(LB_lb_gas_kWh,LB_rest_gas_kWh)/1000)*0.902</f>
        <v>619.1529794628201</v>
      </c>
      <c r="E5" s="17">
        <f>B17*'E Balans VL '!I25/3.6*1000000/100</f>
        <v>114.77009615086735</v>
      </c>
      <c r="F5" s="17">
        <f>B17*('E Balans VL '!L25/3.6*1000000+'E Balans VL '!N25/3.6*1000000)/100</f>
        <v>16268.670911553763</v>
      </c>
      <c r="G5" s="18"/>
      <c r="H5" s="17"/>
      <c r="I5" s="17"/>
      <c r="J5" s="17">
        <f>('E Balans VL '!D25+'E Balans VL '!E25)/3.6*1000000*landbouw!B17/100</f>
        <v>640.7573501877464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4450.8408454417995</v>
      </c>
      <c r="C8" s="21">
        <f>C5+C6</f>
        <v>0</v>
      </c>
      <c r="D8" s="21">
        <f>MAX((D5+D6),0)</f>
        <v>619.1529794628201</v>
      </c>
      <c r="E8" s="21">
        <f>MAX((E5+E6),0)</f>
        <v>114.77009615086735</v>
      </c>
      <c r="F8" s="21">
        <f>MAX((F5+F6),0)</f>
        <v>16268.670911553763</v>
      </c>
      <c r="G8" s="21"/>
      <c r="H8" s="21"/>
      <c r="I8" s="21"/>
      <c r="J8" s="21">
        <f>MAX((J5+J6),0)</f>
        <v>640.7573501877464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0.20496287455133105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912.25713385222775</v>
      </c>
      <c r="C12" s="23">
        <f ca="1">C8*C10</f>
        <v>0</v>
      </c>
      <c r="D12" s="23">
        <f>D8*D10</f>
        <v>125.06890185148967</v>
      </c>
      <c r="E12" s="23">
        <f>E8*E10</f>
        <v>26.052811826246888</v>
      </c>
      <c r="F12" s="23">
        <f>F8*F10</f>
        <v>4343.7351333848546</v>
      </c>
      <c r="G12" s="23"/>
      <c r="H12" s="23"/>
      <c r="I12" s="23"/>
      <c r="J12" s="23">
        <f>J8*J10</f>
        <v>226.82810196646221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0.62759804091598925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663.4469396165714</v>
      </c>
      <c r="C26" s="247">
        <f>B26*'GWP N2O_CH4'!B5</f>
        <v>13932.385731947999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564.02533136899399</v>
      </c>
      <c r="C27" s="247">
        <f>B27*'GWP N2O_CH4'!B5</f>
        <v>11844.531958748874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10.424976692935449</v>
      </c>
      <c r="C28" s="247">
        <f>B28*'GWP N2O_CH4'!B4</f>
        <v>3231.742774809989</v>
      </c>
      <c r="D28" s="50"/>
    </row>
    <row r="29" spans="1:4">
      <c r="A29" s="41" t="s">
        <v>277</v>
      </c>
      <c r="B29" s="247">
        <f>B34*'ha_N2O bodem landbouw'!B4</f>
        <v>26.643035746053663</v>
      </c>
      <c r="C29" s="247">
        <f>B29*'GWP N2O_CH4'!B4</f>
        <v>8259.341081276636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5.9961308675408592E-3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5.7860093462579369E-5</v>
      </c>
      <c r="C5" s="463" t="s">
        <v>211</v>
      </c>
      <c r="D5" s="448">
        <f>SUM(D6:D11)</f>
        <v>1.6214175723777555E-4</v>
      </c>
      <c r="E5" s="448">
        <f>SUM(E6:E11)</f>
        <v>6.0602038877240899E-4</v>
      </c>
      <c r="F5" s="461" t="s">
        <v>211</v>
      </c>
      <c r="G5" s="448">
        <f>SUM(G6:G11)</f>
        <v>0.20547727416451259</v>
      </c>
      <c r="H5" s="448">
        <f>SUM(H6:H11)</f>
        <v>4.3027463982365802E-2</v>
      </c>
      <c r="I5" s="463" t="s">
        <v>211</v>
      </c>
      <c r="J5" s="463" t="s">
        <v>211</v>
      </c>
      <c r="K5" s="463" t="s">
        <v>211</v>
      </c>
      <c r="L5" s="463" t="s">
        <v>211</v>
      </c>
      <c r="M5" s="448">
        <f>SUM(M6:M11)</f>
        <v>7.7628160643361975E-3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2.7053722474517342E-5</v>
      </c>
      <c r="C6" s="449"/>
      <c r="D6" s="892">
        <f>vkm_2011_GW_PW*SUMIFS(TableVerdeelsleutelVkm[CNG],TableVerdeelsleutelVkm[Voertuigtype],"Lichte voertuigen")*SUMIFS(TableECFTransport[EnergieConsumptieFactor (PJ per km)],TableECFTransport[Index],CONCATENATE($A6,"_CNG_CNG"))</f>
        <v>5.3756220444327992E-5</v>
      </c>
      <c r="E6" s="892">
        <f>vkm_2011_GW_PW*SUMIFS(TableVerdeelsleutelVkm[LPG],TableVerdeelsleutelVkm[Voertuigtype],"Lichte voertuigen")*SUMIFS(TableECFTransport[EnergieConsumptieFactor (PJ per km)],TableECFTransport[Index],CONCATENATE($A6,"_LPG_LPG"))</f>
        <v>2.1154999760888263E-4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5.0299330727707009E-2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1.4553426094418325E-2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2.0208717884886741E-3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3.4029634342579738E-2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1.0993025417704584E-5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1.0722217102056505E-3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3.080637098806203E-5</v>
      </c>
      <c r="C8" s="449"/>
      <c r="D8" s="451">
        <f>vkm_2011_NGW_PW*SUMIFS(TableVerdeelsleutelVkm[CNG],TableVerdeelsleutelVkm[Voertuigtype],"Lichte voertuigen")*SUMIFS(TableECFTransport[EnergieConsumptieFactor (PJ per km)],TableECFTransport[Index],CONCATENATE($A8,"_CNG_CNG"))</f>
        <v>1.0838553679344757E-4</v>
      </c>
      <c r="E8" s="451">
        <f>vkm_2011_NGW_PW*SUMIFS(TableVerdeelsleutelVkm[LPG],TableVerdeelsleutelVkm[Voertuigtype],"Lichte voertuigen")*SUMIFS(TableECFTransport[EnergieConsumptieFactor (PJ per km)],TableECFTransport[Index],CONCATENATE($A8,"_LPG_LPG"))</f>
        <v>3.9447039116352633E-4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8.7583515804722747E-2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2.8452790533580408E-2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3.6121649377782112E-3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3.3564793289503105E-2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1.025432894936162E-5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1.0575576278636619E-3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16.072248184049823</v>
      </c>
      <c r="C14" s="21"/>
      <c r="D14" s="21">
        <f t="shared" ref="D14:M14" si="0">((D5)*10^9/3600)+D12</f>
        <v>45.039377010493205</v>
      </c>
      <c r="E14" s="21">
        <f t="shared" si="0"/>
        <v>168.33899688122472</v>
      </c>
      <c r="F14" s="21"/>
      <c r="G14" s="21">
        <f t="shared" si="0"/>
        <v>57077.020601253491</v>
      </c>
      <c r="H14" s="21">
        <f t="shared" si="0"/>
        <v>11952.073328434944</v>
      </c>
      <c r="I14" s="21"/>
      <c r="J14" s="21"/>
      <c r="K14" s="21"/>
      <c r="L14" s="21"/>
      <c r="M14" s="21">
        <f t="shared" si="0"/>
        <v>2156.3377956489439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0.20496287455133105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3.2942141883052622</v>
      </c>
      <c r="C18" s="23"/>
      <c r="D18" s="23">
        <f t="shared" ref="D18:M18" si="1">D14*D16</f>
        <v>9.0979541561196271</v>
      </c>
      <c r="E18" s="23">
        <f t="shared" si="1"/>
        <v>38.212952292038011</v>
      </c>
      <c r="F18" s="23"/>
      <c r="G18" s="23">
        <f t="shared" si="1"/>
        <v>15239.564500534683</v>
      </c>
      <c r="H18" s="23">
        <f t="shared" si="1"/>
        <v>2976.0662587803013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1.967949520672706E-3</v>
      </c>
      <c r="H50" s="321">
        <f t="shared" si="2"/>
        <v>0</v>
      </c>
      <c r="I50" s="321">
        <f t="shared" si="2"/>
        <v>0</v>
      </c>
      <c r="J50" s="321">
        <f t="shared" si="2"/>
        <v>0</v>
      </c>
      <c r="K50" s="321">
        <f t="shared" si="2"/>
        <v>0</v>
      </c>
      <c r="L50" s="321">
        <f t="shared" si="2"/>
        <v>0</v>
      </c>
      <c r="M50" s="321">
        <f t="shared" si="2"/>
        <v>6.1041391469849362E-5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1.967949520672706E-3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6.1041391469849362E-5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546.65264463130723</v>
      </c>
      <c r="H54" s="21">
        <f t="shared" si="3"/>
        <v>0</v>
      </c>
      <c r="I54" s="21">
        <f t="shared" si="3"/>
        <v>0</v>
      </c>
      <c r="J54" s="21">
        <f t="shared" si="3"/>
        <v>0</v>
      </c>
      <c r="K54" s="21">
        <f t="shared" si="3"/>
        <v>0</v>
      </c>
      <c r="L54" s="21">
        <f t="shared" si="3"/>
        <v>0</v>
      </c>
      <c r="M54" s="21">
        <f t="shared" si="3"/>
        <v>16.955942074958156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0.20496287455133105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145.95625611655905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18629.295489401804</v>
      </c>
      <c r="D10" s="1012">
        <f ca="1">tertiair!C16</f>
        <v>0</v>
      </c>
      <c r="E10" s="1012">
        <f ca="1">tertiair!D16</f>
        <v>14198.178255347022</v>
      </c>
      <c r="F10" s="1012">
        <f>tertiair!E16</f>
        <v>431.51591756913854</v>
      </c>
      <c r="G10" s="1012">
        <f ca="1">tertiair!F16</f>
        <v>3987.0796052838564</v>
      </c>
      <c r="H10" s="1012">
        <f>tertiair!G16</f>
        <v>0</v>
      </c>
      <c r="I10" s="1012">
        <f>tertiair!H16</f>
        <v>0</v>
      </c>
      <c r="J10" s="1012">
        <f>tertiair!I16</f>
        <v>0</v>
      </c>
      <c r="K10" s="1012">
        <f>tertiair!J16</f>
        <v>0</v>
      </c>
      <c r="L10" s="1012">
        <f>tertiair!K16</f>
        <v>0</v>
      </c>
      <c r="M10" s="1012">
        <f ca="1">tertiair!L16</f>
        <v>0</v>
      </c>
      <c r="N10" s="1012">
        <f>tertiair!M16</f>
        <v>0</v>
      </c>
      <c r="O10" s="1012">
        <f ca="1">tertiair!N16</f>
        <v>2102.6187110796045</v>
      </c>
      <c r="P10" s="1012">
        <f>tertiair!O16</f>
        <v>7.8166666666666664</v>
      </c>
      <c r="Q10" s="1013">
        <f>tertiair!P16</f>
        <v>57.2</v>
      </c>
      <c r="R10" s="700">
        <f ca="1">SUM(C10:Q10)</f>
        <v>39413.704645348087</v>
      </c>
      <c r="S10" s="67"/>
    </row>
    <row r="11" spans="1:19" s="473" customFormat="1">
      <c r="A11" s="809" t="s">
        <v>225</v>
      </c>
      <c r="B11" s="814"/>
      <c r="C11" s="1012">
        <f>huishoudens!B8</f>
        <v>21939.143505185635</v>
      </c>
      <c r="D11" s="1012">
        <f>huishoudens!C8</f>
        <v>0</v>
      </c>
      <c r="E11" s="1012">
        <f>huishoudens!D8</f>
        <v>40449.212220273999</v>
      </c>
      <c r="F11" s="1012">
        <f>huishoudens!E8</f>
        <v>7207.5669097767222</v>
      </c>
      <c r="G11" s="1012">
        <f>huishoudens!F8</f>
        <v>20661.620432538886</v>
      </c>
      <c r="H11" s="1012">
        <f>huishoudens!G8</f>
        <v>0</v>
      </c>
      <c r="I11" s="1012">
        <f>huishoudens!H8</f>
        <v>0</v>
      </c>
      <c r="J11" s="1012">
        <f>huishoudens!I8</f>
        <v>0</v>
      </c>
      <c r="K11" s="1012">
        <f>huishoudens!J8</f>
        <v>1801.55656303767</v>
      </c>
      <c r="L11" s="1012">
        <f>huishoudens!K8</f>
        <v>0</v>
      </c>
      <c r="M11" s="1012">
        <f>huishoudens!L8</f>
        <v>0</v>
      </c>
      <c r="N11" s="1012">
        <f>huishoudens!M8</f>
        <v>0</v>
      </c>
      <c r="O11" s="1012">
        <f>huishoudens!N8</f>
        <v>16327.234337002435</v>
      </c>
      <c r="P11" s="1012">
        <f>huishoudens!O8</f>
        <v>317.35666666666668</v>
      </c>
      <c r="Q11" s="1013">
        <f>huishoudens!P8</f>
        <v>419.4666666666667</v>
      </c>
      <c r="R11" s="700">
        <f>SUM(C11:Q11)</f>
        <v>109123.15730114868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31517.608</v>
      </c>
      <c r="D13" s="1012">
        <f>industrie!C18</f>
        <v>0</v>
      </c>
      <c r="E13" s="1012">
        <f>industrie!D18</f>
        <v>84741.293305942439</v>
      </c>
      <c r="F13" s="1012">
        <f>industrie!E18</f>
        <v>1475.2999265351091</v>
      </c>
      <c r="G13" s="1012">
        <f>industrie!F18</f>
        <v>8707.649730156485</v>
      </c>
      <c r="H13" s="1012">
        <f>industrie!G18</f>
        <v>0</v>
      </c>
      <c r="I13" s="1012">
        <f>industrie!H18</f>
        <v>0</v>
      </c>
      <c r="J13" s="1012">
        <f>industrie!I18</f>
        <v>0</v>
      </c>
      <c r="K13" s="1012">
        <f>industrie!J18</f>
        <v>55.941540750769782</v>
      </c>
      <c r="L13" s="1012">
        <f>industrie!K18</f>
        <v>0</v>
      </c>
      <c r="M13" s="1012">
        <f>industrie!L18</f>
        <v>0</v>
      </c>
      <c r="N13" s="1012">
        <f>industrie!M18</f>
        <v>0</v>
      </c>
      <c r="O13" s="1012">
        <f>industrie!N18</f>
        <v>8034.1653940914402</v>
      </c>
      <c r="P13" s="1012">
        <f>industrie!O18</f>
        <v>0</v>
      </c>
      <c r="Q13" s="1013">
        <f>industrie!P18</f>
        <v>0</v>
      </c>
      <c r="R13" s="700">
        <f>SUM(C13:Q13)</f>
        <v>134531.95789747627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72086.046994587436</v>
      </c>
      <c r="D16" s="732">
        <f t="shared" ref="D16:R16" ca="1" si="0">SUM(D9:D15)</f>
        <v>0</v>
      </c>
      <c r="E16" s="732">
        <f t="shared" ca="1" si="0"/>
        <v>139388.68378156348</v>
      </c>
      <c r="F16" s="732">
        <f t="shared" si="0"/>
        <v>9114.382753880971</v>
      </c>
      <c r="G16" s="732">
        <f t="shared" ca="1" si="0"/>
        <v>33356.349767979227</v>
      </c>
      <c r="H16" s="732">
        <f t="shared" si="0"/>
        <v>0</v>
      </c>
      <c r="I16" s="732">
        <f t="shared" si="0"/>
        <v>0</v>
      </c>
      <c r="J16" s="732">
        <f t="shared" si="0"/>
        <v>0</v>
      </c>
      <c r="K16" s="732">
        <f t="shared" si="0"/>
        <v>1857.4981037884397</v>
      </c>
      <c r="L16" s="732">
        <f t="shared" si="0"/>
        <v>0</v>
      </c>
      <c r="M16" s="732">
        <f t="shared" ca="1" si="0"/>
        <v>0</v>
      </c>
      <c r="N16" s="732">
        <f t="shared" si="0"/>
        <v>0</v>
      </c>
      <c r="O16" s="732">
        <f t="shared" ca="1" si="0"/>
        <v>26464.018442173481</v>
      </c>
      <c r="P16" s="732">
        <f t="shared" si="0"/>
        <v>325.17333333333335</v>
      </c>
      <c r="Q16" s="732">
        <f t="shared" si="0"/>
        <v>476.66666666666669</v>
      </c>
      <c r="R16" s="732">
        <f t="shared" ca="1" si="0"/>
        <v>283068.81984397303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546.65264463130723</v>
      </c>
      <c r="I19" s="1012">
        <f>transport!H54</f>
        <v>0</v>
      </c>
      <c r="J19" s="1012">
        <f>transport!I54</f>
        <v>0</v>
      </c>
      <c r="K19" s="1012">
        <f>transport!J54</f>
        <v>0</v>
      </c>
      <c r="L19" s="1012">
        <f>transport!K54</f>
        <v>0</v>
      </c>
      <c r="M19" s="1012">
        <f>transport!L54</f>
        <v>0</v>
      </c>
      <c r="N19" s="1012">
        <f>transport!M54</f>
        <v>16.955942074958156</v>
      </c>
      <c r="O19" s="1012">
        <f>transport!N54</f>
        <v>0</v>
      </c>
      <c r="P19" s="1012">
        <f>transport!O54</f>
        <v>0</v>
      </c>
      <c r="Q19" s="1013">
        <f>transport!P54</f>
        <v>0</v>
      </c>
      <c r="R19" s="700">
        <f>SUM(C19:Q19)</f>
        <v>563.60858670626533</v>
      </c>
      <c r="S19" s="67"/>
    </row>
    <row r="20" spans="1:19" s="473" customFormat="1">
      <c r="A20" s="809" t="s">
        <v>307</v>
      </c>
      <c r="B20" s="814"/>
      <c r="C20" s="1012">
        <f>transport!B14</f>
        <v>16.072248184049823</v>
      </c>
      <c r="D20" s="1012">
        <f>transport!C14</f>
        <v>0</v>
      </c>
      <c r="E20" s="1012">
        <f>transport!D14</f>
        <v>45.039377010493205</v>
      </c>
      <c r="F20" s="1012">
        <f>transport!E14</f>
        <v>168.33899688122472</v>
      </c>
      <c r="G20" s="1012">
        <f>transport!F14</f>
        <v>0</v>
      </c>
      <c r="H20" s="1012">
        <f>transport!G14</f>
        <v>57077.020601253491</v>
      </c>
      <c r="I20" s="1012">
        <f>transport!H14</f>
        <v>11952.073328434944</v>
      </c>
      <c r="J20" s="1012">
        <f>transport!I14</f>
        <v>0</v>
      </c>
      <c r="K20" s="1012">
        <f>transport!J14</f>
        <v>0</v>
      </c>
      <c r="L20" s="1012">
        <f>transport!K14</f>
        <v>0</v>
      </c>
      <c r="M20" s="1012">
        <f>transport!L14</f>
        <v>0</v>
      </c>
      <c r="N20" s="1012">
        <f>transport!M14</f>
        <v>2156.3377956489439</v>
      </c>
      <c r="O20" s="1012">
        <f>transport!N14</f>
        <v>0</v>
      </c>
      <c r="P20" s="1012">
        <f>transport!O14</f>
        <v>0</v>
      </c>
      <c r="Q20" s="1013">
        <f>transport!P14</f>
        <v>0</v>
      </c>
      <c r="R20" s="700">
        <f>SUM(C20:Q20)</f>
        <v>71414.88234741315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16.072248184049823</v>
      </c>
      <c r="D22" s="812">
        <f t="shared" ref="D22:R22" si="1">SUM(D18:D21)</f>
        <v>0</v>
      </c>
      <c r="E22" s="812">
        <f t="shared" si="1"/>
        <v>45.039377010493205</v>
      </c>
      <c r="F22" s="812">
        <f t="shared" si="1"/>
        <v>168.33899688122472</v>
      </c>
      <c r="G22" s="812">
        <f t="shared" si="1"/>
        <v>0</v>
      </c>
      <c r="H22" s="812">
        <f t="shared" si="1"/>
        <v>57623.673245884798</v>
      </c>
      <c r="I22" s="812">
        <f t="shared" si="1"/>
        <v>11952.073328434944</v>
      </c>
      <c r="J22" s="812">
        <f t="shared" si="1"/>
        <v>0</v>
      </c>
      <c r="K22" s="812">
        <f t="shared" si="1"/>
        <v>0</v>
      </c>
      <c r="L22" s="812">
        <f t="shared" si="1"/>
        <v>0</v>
      </c>
      <c r="M22" s="812">
        <f t="shared" si="1"/>
        <v>0</v>
      </c>
      <c r="N22" s="812">
        <f t="shared" si="1"/>
        <v>2173.2937377239023</v>
      </c>
      <c r="O22" s="812">
        <f t="shared" si="1"/>
        <v>0</v>
      </c>
      <c r="P22" s="812">
        <f t="shared" si="1"/>
        <v>0</v>
      </c>
      <c r="Q22" s="812">
        <f t="shared" si="1"/>
        <v>0</v>
      </c>
      <c r="R22" s="812">
        <f t="shared" si="1"/>
        <v>71978.490934119414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4450.8408454417995</v>
      </c>
      <c r="D24" s="1012">
        <f>+landbouw!C8</f>
        <v>0</v>
      </c>
      <c r="E24" s="1012">
        <f>+landbouw!D8</f>
        <v>619.1529794628201</v>
      </c>
      <c r="F24" s="1012">
        <f>+landbouw!E8</f>
        <v>114.77009615086735</v>
      </c>
      <c r="G24" s="1012">
        <f>+landbouw!F8</f>
        <v>16268.670911553763</v>
      </c>
      <c r="H24" s="1012">
        <f>+landbouw!G8</f>
        <v>0</v>
      </c>
      <c r="I24" s="1012">
        <f>+landbouw!H8</f>
        <v>0</v>
      </c>
      <c r="J24" s="1012">
        <f>+landbouw!I8</f>
        <v>0</v>
      </c>
      <c r="K24" s="1012">
        <f>+landbouw!J8</f>
        <v>640.7573501877464</v>
      </c>
      <c r="L24" s="1012">
        <f>+landbouw!K8</f>
        <v>0</v>
      </c>
      <c r="M24" s="1012">
        <f>+landbouw!L8</f>
        <v>0</v>
      </c>
      <c r="N24" s="1012">
        <f>+landbouw!M8</f>
        <v>0</v>
      </c>
      <c r="O24" s="1012">
        <f>+landbouw!N8</f>
        <v>0</v>
      </c>
      <c r="P24" s="1012">
        <f>+landbouw!O8</f>
        <v>0</v>
      </c>
      <c r="Q24" s="1013">
        <f>+landbouw!P8</f>
        <v>0</v>
      </c>
      <c r="R24" s="700">
        <f>SUM(C24:Q24)</f>
        <v>22094.192182796996</v>
      </c>
      <c r="S24" s="67"/>
    </row>
    <row r="25" spans="1:19" s="473" customFormat="1" ht="15" thickBot="1">
      <c r="A25" s="831" t="s">
        <v>848</v>
      </c>
      <c r="B25" s="1015"/>
      <c r="C25" s="1016">
        <f>IF(Onbekend_ele_kWh="---",0,Onbekend_ele_kWh)/1000+IF(REST_rest_ele_kWh="---",0,REST_rest_ele_kWh)/1000</f>
        <v>389.71100000000001</v>
      </c>
      <c r="D25" s="1016"/>
      <c r="E25" s="1016">
        <f>IF(onbekend_gas_kWh="---",0,onbekend_gas_kWh)/1000+IF(REST_rest_gas_kWh="---",0,REST_rest_gas_kWh)/1000</f>
        <v>1142.7481624</v>
      </c>
      <c r="F25" s="1016"/>
      <c r="G25" s="1016"/>
      <c r="H25" s="1016"/>
      <c r="I25" s="1016"/>
      <c r="J25" s="1016"/>
      <c r="K25" s="1016"/>
      <c r="L25" s="1016"/>
      <c r="M25" s="1016"/>
      <c r="N25" s="1016"/>
      <c r="O25" s="1016"/>
      <c r="P25" s="1016"/>
      <c r="Q25" s="1017"/>
      <c r="R25" s="700">
        <f>SUM(C25:Q25)</f>
        <v>1532.4591624</v>
      </c>
      <c r="S25" s="67"/>
    </row>
    <row r="26" spans="1:19" s="473" customFormat="1" ht="15.75" thickBot="1">
      <c r="A26" s="705" t="s">
        <v>849</v>
      </c>
      <c r="B26" s="817"/>
      <c r="C26" s="812">
        <f>SUM(C24:C25)</f>
        <v>4840.5518454417997</v>
      </c>
      <c r="D26" s="812">
        <f t="shared" ref="D26:R26" si="2">SUM(D24:D25)</f>
        <v>0</v>
      </c>
      <c r="E26" s="812">
        <f t="shared" si="2"/>
        <v>1761.9011418628202</v>
      </c>
      <c r="F26" s="812">
        <f t="shared" si="2"/>
        <v>114.77009615086735</v>
      </c>
      <c r="G26" s="812">
        <f t="shared" si="2"/>
        <v>16268.670911553763</v>
      </c>
      <c r="H26" s="812">
        <f t="shared" si="2"/>
        <v>0</v>
      </c>
      <c r="I26" s="812">
        <f t="shared" si="2"/>
        <v>0</v>
      </c>
      <c r="J26" s="812">
        <f t="shared" si="2"/>
        <v>0</v>
      </c>
      <c r="K26" s="812">
        <f t="shared" si="2"/>
        <v>640.7573501877464</v>
      </c>
      <c r="L26" s="812">
        <f t="shared" si="2"/>
        <v>0</v>
      </c>
      <c r="M26" s="812">
        <f t="shared" si="2"/>
        <v>0</v>
      </c>
      <c r="N26" s="812">
        <f t="shared" si="2"/>
        <v>0</v>
      </c>
      <c r="O26" s="812">
        <f t="shared" si="2"/>
        <v>0</v>
      </c>
      <c r="P26" s="812">
        <f t="shared" si="2"/>
        <v>0</v>
      </c>
      <c r="Q26" s="812">
        <f t="shared" si="2"/>
        <v>0</v>
      </c>
      <c r="R26" s="812">
        <f t="shared" si="2"/>
        <v>23626.651345196995</v>
      </c>
      <c r="S26" s="67"/>
    </row>
    <row r="27" spans="1:19" s="473" customFormat="1" ht="17.25" thickTop="1" thickBot="1">
      <c r="A27" s="706" t="s">
        <v>116</v>
      </c>
      <c r="B27" s="805"/>
      <c r="C27" s="707">
        <f ca="1">C22+C16+C26</f>
        <v>76942.67108821329</v>
      </c>
      <c r="D27" s="707">
        <f t="shared" ref="D27:R27" ca="1" si="3">D22+D16+D26</f>
        <v>0</v>
      </c>
      <c r="E27" s="707">
        <f t="shared" ca="1" si="3"/>
        <v>141195.62430043679</v>
      </c>
      <c r="F27" s="707">
        <f t="shared" si="3"/>
        <v>9397.4918469130625</v>
      </c>
      <c r="G27" s="707">
        <f t="shared" ca="1" si="3"/>
        <v>49625.020679532987</v>
      </c>
      <c r="H27" s="707">
        <f t="shared" si="3"/>
        <v>57623.673245884798</v>
      </c>
      <c r="I27" s="707">
        <f t="shared" si="3"/>
        <v>11952.073328434944</v>
      </c>
      <c r="J27" s="707">
        <f t="shared" si="3"/>
        <v>0</v>
      </c>
      <c r="K27" s="707">
        <f t="shared" si="3"/>
        <v>2498.2554539761859</v>
      </c>
      <c r="L27" s="707">
        <f t="shared" si="3"/>
        <v>0</v>
      </c>
      <c r="M27" s="707">
        <f t="shared" ca="1" si="3"/>
        <v>0</v>
      </c>
      <c r="N27" s="707">
        <f t="shared" si="3"/>
        <v>2173.2937377239023</v>
      </c>
      <c r="O27" s="707">
        <f t="shared" ca="1" si="3"/>
        <v>26464.018442173481</v>
      </c>
      <c r="P27" s="707">
        <f t="shared" si="3"/>
        <v>325.17333333333335</v>
      </c>
      <c r="Q27" s="707">
        <f t="shared" si="3"/>
        <v>476.66666666666669</v>
      </c>
      <c r="R27" s="707">
        <f t="shared" ca="1" si="3"/>
        <v>378673.96212328947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3818.3139543739389</v>
      </c>
      <c r="D40" s="1012">
        <f ca="1">tertiair!C20</f>
        <v>0</v>
      </c>
      <c r="E40" s="1012">
        <f ca="1">tertiair!D20</f>
        <v>2868.0320075800987</v>
      </c>
      <c r="F40" s="1012">
        <f>tertiair!E20</f>
        <v>97.954113288194449</v>
      </c>
      <c r="G40" s="1012">
        <f ca="1">tertiair!F20</f>
        <v>1064.5502546107898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7848.8503298530213</v>
      </c>
    </row>
    <row r="41" spans="1:18">
      <c r="A41" s="822" t="s">
        <v>225</v>
      </c>
      <c r="B41" s="829"/>
      <c r="C41" s="1012">
        <f ca="1">huishoudens!B12</f>
        <v>4496.7099180170126</v>
      </c>
      <c r="D41" s="1012">
        <f ca="1">huishoudens!C12</f>
        <v>0</v>
      </c>
      <c r="E41" s="1012">
        <f>huishoudens!D12</f>
        <v>8170.740868495348</v>
      </c>
      <c r="F41" s="1012">
        <f>huishoudens!E12</f>
        <v>1636.1176885193161</v>
      </c>
      <c r="G41" s="1012">
        <f>huishoudens!F12</f>
        <v>5516.6526554878828</v>
      </c>
      <c r="H41" s="1012">
        <f>huishoudens!G12</f>
        <v>0</v>
      </c>
      <c r="I41" s="1012">
        <f>huishoudens!H12</f>
        <v>0</v>
      </c>
      <c r="J41" s="1012">
        <f>huishoudens!I12</f>
        <v>0</v>
      </c>
      <c r="K41" s="1012">
        <f>huishoudens!J12</f>
        <v>637.75102331533515</v>
      </c>
      <c r="L41" s="1012">
        <f>huishoudens!K12</f>
        <v>0</v>
      </c>
      <c r="M41" s="1012">
        <f>huishoudens!L12</f>
        <v>0</v>
      </c>
      <c r="N41" s="1012">
        <f>huishoudens!M12</f>
        <v>0</v>
      </c>
      <c r="O41" s="1012">
        <f>huishoudens!N12</f>
        <v>0</v>
      </c>
      <c r="P41" s="1012">
        <f>huishoudens!O12</f>
        <v>0</v>
      </c>
      <c r="Q41" s="774">
        <f>huishoudens!P12</f>
        <v>0</v>
      </c>
      <c r="R41" s="850">
        <f t="shared" ca="1" si="4"/>
        <v>20457.972153834893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6459.9395346620277</v>
      </c>
      <c r="D43" s="1012">
        <f ca="1">industrie!C22</f>
        <v>0</v>
      </c>
      <c r="E43" s="1012">
        <f>industrie!D22</f>
        <v>17117.741247800375</v>
      </c>
      <c r="F43" s="1012">
        <f>industrie!E22</f>
        <v>334.8930833234698</v>
      </c>
      <c r="G43" s="1012">
        <f>industrie!F22</f>
        <v>2324.9424779517817</v>
      </c>
      <c r="H43" s="1012">
        <f>industrie!G22</f>
        <v>0</v>
      </c>
      <c r="I43" s="1012">
        <f>industrie!H22</f>
        <v>0</v>
      </c>
      <c r="J43" s="1012">
        <f>industrie!I22</f>
        <v>0</v>
      </c>
      <c r="K43" s="1012">
        <f>industrie!J22</f>
        <v>19.803305425772503</v>
      </c>
      <c r="L43" s="1012">
        <f>industrie!K22</f>
        <v>0</v>
      </c>
      <c r="M43" s="1012">
        <f>industrie!L22</f>
        <v>0</v>
      </c>
      <c r="N43" s="1012">
        <f>industrie!M22</f>
        <v>0</v>
      </c>
      <c r="O43" s="1012">
        <f>industrie!N22</f>
        <v>0</v>
      </c>
      <c r="P43" s="1012">
        <f>industrie!O22</f>
        <v>0</v>
      </c>
      <c r="Q43" s="774">
        <f>industrie!P22</f>
        <v>0</v>
      </c>
      <c r="R43" s="849">
        <f t="shared" ca="1" si="4"/>
        <v>26257.31964916343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14774.963407052979</v>
      </c>
      <c r="D46" s="732">
        <f t="shared" ref="D46:Q46" ca="1" si="5">SUM(D39:D45)</f>
        <v>0</v>
      </c>
      <c r="E46" s="732">
        <f t="shared" ca="1" si="5"/>
        <v>28156.514123875822</v>
      </c>
      <c r="F46" s="732">
        <f t="shared" si="5"/>
        <v>2068.9648851309803</v>
      </c>
      <c r="G46" s="732">
        <f t="shared" ca="1" si="5"/>
        <v>8906.1453880504541</v>
      </c>
      <c r="H46" s="732">
        <f t="shared" si="5"/>
        <v>0</v>
      </c>
      <c r="I46" s="732">
        <f t="shared" si="5"/>
        <v>0</v>
      </c>
      <c r="J46" s="732">
        <f t="shared" si="5"/>
        <v>0</v>
      </c>
      <c r="K46" s="732">
        <f t="shared" si="5"/>
        <v>657.55432874110761</v>
      </c>
      <c r="L46" s="732">
        <f t="shared" si="5"/>
        <v>0</v>
      </c>
      <c r="M46" s="732">
        <f t="shared" ca="1" si="5"/>
        <v>0</v>
      </c>
      <c r="N46" s="732">
        <f t="shared" si="5"/>
        <v>0</v>
      </c>
      <c r="O46" s="732">
        <f t="shared" ca="1" si="5"/>
        <v>0</v>
      </c>
      <c r="P46" s="732">
        <f t="shared" si="5"/>
        <v>0</v>
      </c>
      <c r="Q46" s="732">
        <f t="shared" si="5"/>
        <v>0</v>
      </c>
      <c r="R46" s="732">
        <f ca="1">SUM(R39:R45)</f>
        <v>54564.142132851346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145.95625611655905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145.95625611655905</v>
      </c>
    </row>
    <row r="50" spans="1:18">
      <c r="A50" s="825" t="s">
        <v>307</v>
      </c>
      <c r="B50" s="835"/>
      <c r="C50" s="703">
        <f ca="1">transport!B18</f>
        <v>3.2942141883052622</v>
      </c>
      <c r="D50" s="703">
        <f>transport!C18</f>
        <v>0</v>
      </c>
      <c r="E50" s="703">
        <f>transport!D18</f>
        <v>9.0979541561196271</v>
      </c>
      <c r="F50" s="703">
        <f>transport!E18</f>
        <v>38.212952292038011</v>
      </c>
      <c r="G50" s="703">
        <f>transport!F18</f>
        <v>0</v>
      </c>
      <c r="H50" s="703">
        <f>transport!G18</f>
        <v>15239.564500534683</v>
      </c>
      <c r="I50" s="703">
        <f>transport!H18</f>
        <v>2976.0662587803013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18266.235879951448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3.2942141883052622</v>
      </c>
      <c r="D52" s="732">
        <f t="shared" ref="D52:Q52" ca="1" si="6">SUM(D48:D51)</f>
        <v>0</v>
      </c>
      <c r="E52" s="732">
        <f t="shared" si="6"/>
        <v>9.0979541561196271</v>
      </c>
      <c r="F52" s="732">
        <f t="shared" si="6"/>
        <v>38.212952292038011</v>
      </c>
      <c r="G52" s="732">
        <f t="shared" si="6"/>
        <v>0</v>
      </c>
      <c r="H52" s="732">
        <f t="shared" si="6"/>
        <v>15385.520756651242</v>
      </c>
      <c r="I52" s="732">
        <f t="shared" si="6"/>
        <v>2976.0662587803013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18412.192136068006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912.25713385222775</v>
      </c>
      <c r="D54" s="703">
        <f ca="1">+landbouw!C12</f>
        <v>0</v>
      </c>
      <c r="E54" s="703">
        <f>+landbouw!D12</f>
        <v>125.06890185148967</v>
      </c>
      <c r="F54" s="703">
        <f>+landbouw!E12</f>
        <v>26.052811826246888</v>
      </c>
      <c r="G54" s="703">
        <f>+landbouw!F12</f>
        <v>4343.7351333848546</v>
      </c>
      <c r="H54" s="703">
        <f>+landbouw!G12</f>
        <v>0</v>
      </c>
      <c r="I54" s="703">
        <f>+landbouw!H12</f>
        <v>0</v>
      </c>
      <c r="J54" s="703">
        <f>+landbouw!I12</f>
        <v>0</v>
      </c>
      <c r="K54" s="703">
        <f>+landbouw!J12</f>
        <v>226.82810196646221</v>
      </c>
      <c r="L54" s="703">
        <f>+landbouw!K12</f>
        <v>0</v>
      </c>
      <c r="M54" s="703">
        <f>+landbouw!L12</f>
        <v>0</v>
      </c>
      <c r="N54" s="703">
        <f>+landbouw!M12</f>
        <v>0</v>
      </c>
      <c r="O54" s="703">
        <f>+landbouw!N12</f>
        <v>0</v>
      </c>
      <c r="P54" s="703">
        <f>+landbouw!O12</f>
        <v>0</v>
      </c>
      <c r="Q54" s="704">
        <f>+landbouw!P12</f>
        <v>0</v>
      </c>
      <c r="R54" s="731">
        <f ca="1">SUM(C54:Q54)</f>
        <v>5633.9420828812808</v>
      </c>
    </row>
    <row r="55" spans="1:18" ht="15" thickBot="1">
      <c r="A55" s="825" t="s">
        <v>848</v>
      </c>
      <c r="B55" s="835"/>
      <c r="C55" s="703">
        <f ca="1">C25*'EF ele_warmte'!B12</f>
        <v>79.876286804273775</v>
      </c>
      <c r="D55" s="703"/>
      <c r="E55" s="703">
        <f>E25*EF_CO2_aardgas</f>
        <v>230.83512880480001</v>
      </c>
      <c r="F55" s="703"/>
      <c r="G55" s="703"/>
      <c r="H55" s="703"/>
      <c r="I55" s="703"/>
      <c r="J55" s="703"/>
      <c r="K55" s="703"/>
      <c r="L55" s="703"/>
      <c r="M55" s="703"/>
      <c r="N55" s="703"/>
      <c r="O55" s="703"/>
      <c r="P55" s="703"/>
      <c r="Q55" s="704"/>
      <c r="R55" s="731">
        <f ca="1">SUM(C55:Q55)</f>
        <v>310.71141560907381</v>
      </c>
    </row>
    <row r="56" spans="1:18" ht="15.75" thickBot="1">
      <c r="A56" s="823" t="s">
        <v>849</v>
      </c>
      <c r="B56" s="836"/>
      <c r="C56" s="732">
        <f ca="1">SUM(C54:C55)</f>
        <v>992.13342065650158</v>
      </c>
      <c r="D56" s="732">
        <f t="shared" ref="D56:Q56" ca="1" si="7">SUM(D54:D55)</f>
        <v>0</v>
      </c>
      <c r="E56" s="732">
        <f t="shared" si="7"/>
        <v>355.90403065628971</v>
      </c>
      <c r="F56" s="732">
        <f t="shared" si="7"/>
        <v>26.052811826246888</v>
      </c>
      <c r="G56" s="732">
        <f t="shared" si="7"/>
        <v>4343.7351333848546</v>
      </c>
      <c r="H56" s="732">
        <f t="shared" si="7"/>
        <v>0</v>
      </c>
      <c r="I56" s="732">
        <f t="shared" si="7"/>
        <v>0</v>
      </c>
      <c r="J56" s="732">
        <f t="shared" si="7"/>
        <v>0</v>
      </c>
      <c r="K56" s="732">
        <f t="shared" si="7"/>
        <v>226.82810196646221</v>
      </c>
      <c r="L56" s="732">
        <f t="shared" si="7"/>
        <v>0</v>
      </c>
      <c r="M56" s="732">
        <f t="shared" si="7"/>
        <v>0</v>
      </c>
      <c r="N56" s="732">
        <f t="shared" si="7"/>
        <v>0</v>
      </c>
      <c r="O56" s="732">
        <f t="shared" si="7"/>
        <v>0</v>
      </c>
      <c r="P56" s="732">
        <f t="shared" si="7"/>
        <v>0</v>
      </c>
      <c r="Q56" s="733">
        <f t="shared" si="7"/>
        <v>0</v>
      </c>
      <c r="R56" s="734">
        <f ca="1">SUM(R54:R55)</f>
        <v>5944.6534984903547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15770.391041897787</v>
      </c>
      <c r="D61" s="740">
        <f t="shared" ref="D61:Q61" ca="1" si="8">D46+D52+D56</f>
        <v>0</v>
      </c>
      <c r="E61" s="740">
        <f t="shared" ca="1" si="8"/>
        <v>28521.516108688233</v>
      </c>
      <c r="F61" s="740">
        <f t="shared" si="8"/>
        <v>2133.2306492492653</v>
      </c>
      <c r="G61" s="740">
        <f t="shared" ca="1" si="8"/>
        <v>13249.880521435309</v>
      </c>
      <c r="H61" s="740">
        <f t="shared" si="8"/>
        <v>15385.520756651242</v>
      </c>
      <c r="I61" s="740">
        <f t="shared" si="8"/>
        <v>2976.0662587803013</v>
      </c>
      <c r="J61" s="740">
        <f t="shared" si="8"/>
        <v>0</v>
      </c>
      <c r="K61" s="740">
        <f t="shared" si="8"/>
        <v>884.38243070756982</v>
      </c>
      <c r="L61" s="740">
        <f t="shared" si="8"/>
        <v>0</v>
      </c>
      <c r="M61" s="740">
        <f t="shared" ca="1" si="8"/>
        <v>0</v>
      </c>
      <c r="N61" s="740">
        <f t="shared" si="8"/>
        <v>0</v>
      </c>
      <c r="O61" s="740">
        <f t="shared" ca="1" si="8"/>
        <v>0</v>
      </c>
      <c r="P61" s="740">
        <f t="shared" si="8"/>
        <v>0</v>
      </c>
      <c r="Q61" s="740">
        <f t="shared" si="8"/>
        <v>0</v>
      </c>
      <c r="R61" s="740">
        <f ca="1">R46+R52+R56</f>
        <v>78920.987767409708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0.20496287455133105</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5583.4356045128898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5583.4356045128898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5583.4356045128898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5583.4356045128898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21939.143505185635</v>
      </c>
      <c r="C4" s="477">
        <f>huishoudens!C8</f>
        <v>0</v>
      </c>
      <c r="D4" s="477">
        <f>huishoudens!D8</f>
        <v>40449.212220273999</v>
      </c>
      <c r="E4" s="477">
        <f>huishoudens!E8</f>
        <v>7207.5669097767222</v>
      </c>
      <c r="F4" s="477">
        <f>huishoudens!F8</f>
        <v>20661.620432538886</v>
      </c>
      <c r="G4" s="477">
        <f>huishoudens!G8</f>
        <v>0</v>
      </c>
      <c r="H4" s="477">
        <f>huishoudens!H8</f>
        <v>0</v>
      </c>
      <c r="I4" s="477">
        <f>huishoudens!I8</f>
        <v>0</v>
      </c>
      <c r="J4" s="477">
        <f>huishoudens!J8</f>
        <v>1801.55656303767</v>
      </c>
      <c r="K4" s="477">
        <f>huishoudens!K8</f>
        <v>0</v>
      </c>
      <c r="L4" s="477">
        <f>huishoudens!L8</f>
        <v>0</v>
      </c>
      <c r="M4" s="477">
        <f>huishoudens!M8</f>
        <v>0</v>
      </c>
      <c r="N4" s="477">
        <f>huishoudens!N8</f>
        <v>16327.234337002435</v>
      </c>
      <c r="O4" s="477">
        <f>huishoudens!O8</f>
        <v>317.35666666666668</v>
      </c>
      <c r="P4" s="478">
        <f>huishoudens!P8</f>
        <v>419.4666666666667</v>
      </c>
      <c r="Q4" s="479">
        <f>SUM(B4:P4)</f>
        <v>109123.15730114868</v>
      </c>
    </row>
    <row r="5" spans="1:17">
      <c r="A5" s="476" t="s">
        <v>156</v>
      </c>
      <c r="B5" s="477">
        <f ca="1">tertiair!B16</f>
        <v>17922.343489401803</v>
      </c>
      <c r="C5" s="477">
        <f ca="1">tertiair!C16</f>
        <v>0</v>
      </c>
      <c r="D5" s="477">
        <f ca="1">tertiair!D16</f>
        <v>14198.178255347022</v>
      </c>
      <c r="E5" s="477">
        <f>tertiair!E16</f>
        <v>431.51591756913854</v>
      </c>
      <c r="F5" s="477">
        <f ca="1">tertiair!F16</f>
        <v>3987.0796052838564</v>
      </c>
      <c r="G5" s="477">
        <f>tertiair!G16</f>
        <v>0</v>
      </c>
      <c r="H5" s="477">
        <f>tertiair!H16</f>
        <v>0</v>
      </c>
      <c r="I5" s="477">
        <f>tertiair!I16</f>
        <v>0</v>
      </c>
      <c r="J5" s="477">
        <f>tertiair!J16</f>
        <v>0</v>
      </c>
      <c r="K5" s="477">
        <f>tertiair!K16</f>
        <v>0</v>
      </c>
      <c r="L5" s="477">
        <f ca="1">tertiair!L16</f>
        <v>0</v>
      </c>
      <c r="M5" s="477">
        <f>tertiair!M16</f>
        <v>0</v>
      </c>
      <c r="N5" s="477">
        <f ca="1">tertiair!N16</f>
        <v>2102.6187110796045</v>
      </c>
      <c r="O5" s="477">
        <f>tertiair!O16</f>
        <v>7.8166666666666664</v>
      </c>
      <c r="P5" s="478">
        <f>tertiair!P16</f>
        <v>57.2</v>
      </c>
      <c r="Q5" s="476">
        <f t="shared" ref="Q5:Q14" ca="1" si="0">SUM(B5:P5)</f>
        <v>38706.752645348082</v>
      </c>
    </row>
    <row r="6" spans="1:17">
      <c r="A6" s="476" t="s">
        <v>194</v>
      </c>
      <c r="B6" s="477">
        <f>'openbare verlichting'!B8</f>
        <v>706.952</v>
      </c>
      <c r="C6" s="477"/>
      <c r="D6" s="477"/>
      <c r="E6" s="477"/>
      <c r="F6" s="477"/>
      <c r="G6" s="477"/>
      <c r="H6" s="477"/>
      <c r="I6" s="477"/>
      <c r="J6" s="477"/>
      <c r="K6" s="477"/>
      <c r="L6" s="477"/>
      <c r="M6" s="477"/>
      <c r="N6" s="477"/>
      <c r="O6" s="477"/>
      <c r="P6" s="478"/>
      <c r="Q6" s="476">
        <f t="shared" si="0"/>
        <v>706.952</v>
      </c>
    </row>
    <row r="7" spans="1:17">
      <c r="A7" s="476" t="s">
        <v>112</v>
      </c>
      <c r="B7" s="477">
        <f>landbouw!B8</f>
        <v>4450.8408454417995</v>
      </c>
      <c r="C7" s="477">
        <f>landbouw!C8</f>
        <v>0</v>
      </c>
      <c r="D7" s="477">
        <f>landbouw!D8</f>
        <v>619.1529794628201</v>
      </c>
      <c r="E7" s="477">
        <f>landbouw!E8</f>
        <v>114.77009615086735</v>
      </c>
      <c r="F7" s="477">
        <f>landbouw!F8</f>
        <v>16268.670911553763</v>
      </c>
      <c r="G7" s="477">
        <f>landbouw!G8</f>
        <v>0</v>
      </c>
      <c r="H7" s="477">
        <f>landbouw!H8</f>
        <v>0</v>
      </c>
      <c r="I7" s="477">
        <f>landbouw!I8</f>
        <v>0</v>
      </c>
      <c r="J7" s="477">
        <f>landbouw!J8</f>
        <v>640.7573501877464</v>
      </c>
      <c r="K7" s="477">
        <f>landbouw!K8</f>
        <v>0</v>
      </c>
      <c r="L7" s="477">
        <f>landbouw!L8</f>
        <v>0</v>
      </c>
      <c r="M7" s="477">
        <f>landbouw!M8</f>
        <v>0</v>
      </c>
      <c r="N7" s="477">
        <f>landbouw!N8</f>
        <v>0</v>
      </c>
      <c r="O7" s="477">
        <f>landbouw!O8</f>
        <v>0</v>
      </c>
      <c r="P7" s="478">
        <f>landbouw!P8</f>
        <v>0</v>
      </c>
      <c r="Q7" s="476">
        <f t="shared" si="0"/>
        <v>22094.192182796996</v>
      </c>
    </row>
    <row r="8" spans="1:17">
      <c r="A8" s="476" t="s">
        <v>638</v>
      </c>
      <c r="B8" s="477">
        <f>industrie!B18</f>
        <v>31517.608</v>
      </c>
      <c r="C8" s="477">
        <f>industrie!C18</f>
        <v>0</v>
      </c>
      <c r="D8" s="477">
        <f>industrie!D18</f>
        <v>84741.293305942439</v>
      </c>
      <c r="E8" s="477">
        <f>industrie!E18</f>
        <v>1475.2999265351091</v>
      </c>
      <c r="F8" s="477">
        <f>industrie!F18</f>
        <v>8707.649730156485</v>
      </c>
      <c r="G8" s="477">
        <f>industrie!G18</f>
        <v>0</v>
      </c>
      <c r="H8" s="477">
        <f>industrie!H18</f>
        <v>0</v>
      </c>
      <c r="I8" s="477">
        <f>industrie!I18</f>
        <v>0</v>
      </c>
      <c r="J8" s="477">
        <f>industrie!J18</f>
        <v>55.941540750769782</v>
      </c>
      <c r="K8" s="477">
        <f>industrie!K18</f>
        <v>0</v>
      </c>
      <c r="L8" s="477">
        <f>industrie!L18</f>
        <v>0</v>
      </c>
      <c r="M8" s="477">
        <f>industrie!M18</f>
        <v>0</v>
      </c>
      <c r="N8" s="477">
        <f>industrie!N18</f>
        <v>8034.1653940914402</v>
      </c>
      <c r="O8" s="477">
        <f>industrie!O18</f>
        <v>0</v>
      </c>
      <c r="P8" s="478">
        <f>industrie!P18</f>
        <v>0</v>
      </c>
      <c r="Q8" s="476">
        <f t="shared" si="0"/>
        <v>134531.95789747627</v>
      </c>
    </row>
    <row r="9" spans="1:17" s="482" customFormat="1">
      <c r="A9" s="480" t="s">
        <v>564</v>
      </c>
      <c r="B9" s="481">
        <f>transport!B14</f>
        <v>16.072248184049823</v>
      </c>
      <c r="C9" s="481">
        <f>transport!C14</f>
        <v>0</v>
      </c>
      <c r="D9" s="481">
        <f>transport!D14</f>
        <v>45.039377010493205</v>
      </c>
      <c r="E9" s="481">
        <f>transport!E14</f>
        <v>168.33899688122472</v>
      </c>
      <c r="F9" s="481">
        <f>transport!F14</f>
        <v>0</v>
      </c>
      <c r="G9" s="481">
        <f>transport!G14</f>
        <v>57077.020601253491</v>
      </c>
      <c r="H9" s="481">
        <f>transport!H14</f>
        <v>11952.073328434944</v>
      </c>
      <c r="I9" s="481">
        <f>transport!I14</f>
        <v>0</v>
      </c>
      <c r="J9" s="481">
        <f>transport!J14</f>
        <v>0</v>
      </c>
      <c r="K9" s="481">
        <f>transport!K14</f>
        <v>0</v>
      </c>
      <c r="L9" s="481">
        <f>transport!L14</f>
        <v>0</v>
      </c>
      <c r="M9" s="481">
        <f>transport!M14</f>
        <v>2156.3377956489439</v>
      </c>
      <c r="N9" s="481">
        <f>transport!N14</f>
        <v>0</v>
      </c>
      <c r="O9" s="481">
        <f>transport!O14</f>
        <v>0</v>
      </c>
      <c r="P9" s="481">
        <f>transport!P14</f>
        <v>0</v>
      </c>
      <c r="Q9" s="480">
        <f>SUM(B9:P9)</f>
        <v>71414.88234741315</v>
      </c>
    </row>
    <row r="10" spans="1:17">
      <c r="A10" s="476" t="s">
        <v>554</v>
      </c>
      <c r="B10" s="477">
        <f>transport!B54</f>
        <v>0</v>
      </c>
      <c r="C10" s="477">
        <f>transport!C54</f>
        <v>0</v>
      </c>
      <c r="D10" s="477">
        <f>transport!D54</f>
        <v>0</v>
      </c>
      <c r="E10" s="477">
        <f>transport!E54</f>
        <v>0</v>
      </c>
      <c r="F10" s="477">
        <f>transport!F54</f>
        <v>0</v>
      </c>
      <c r="G10" s="477">
        <f>transport!G54</f>
        <v>546.65264463130723</v>
      </c>
      <c r="H10" s="477">
        <f>transport!H54</f>
        <v>0</v>
      </c>
      <c r="I10" s="477">
        <f>transport!I54</f>
        <v>0</v>
      </c>
      <c r="J10" s="477">
        <f>transport!J54</f>
        <v>0</v>
      </c>
      <c r="K10" s="477">
        <f>transport!K54</f>
        <v>0</v>
      </c>
      <c r="L10" s="477">
        <f>transport!L54</f>
        <v>0</v>
      </c>
      <c r="M10" s="477">
        <f>transport!M54</f>
        <v>16.955942074958156</v>
      </c>
      <c r="N10" s="477">
        <f>transport!N54</f>
        <v>0</v>
      </c>
      <c r="O10" s="477">
        <f>transport!O54</f>
        <v>0</v>
      </c>
      <c r="P10" s="478">
        <f>transport!P54</f>
        <v>0</v>
      </c>
      <c r="Q10" s="476">
        <f t="shared" si="0"/>
        <v>563.60858670626533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389.71100000000001</v>
      </c>
      <c r="C14" s="484"/>
      <c r="D14" s="484">
        <f>'SEAP template'!E25</f>
        <v>1142.7481624</v>
      </c>
      <c r="E14" s="484"/>
      <c r="F14" s="484"/>
      <c r="G14" s="484"/>
      <c r="H14" s="484"/>
      <c r="I14" s="484"/>
      <c r="J14" s="484"/>
      <c r="K14" s="484"/>
      <c r="L14" s="484"/>
      <c r="M14" s="484"/>
      <c r="N14" s="484"/>
      <c r="O14" s="484"/>
      <c r="P14" s="485"/>
      <c r="Q14" s="476">
        <f t="shared" si="0"/>
        <v>1532.4591624</v>
      </c>
    </row>
    <row r="15" spans="1:17" s="486" customFormat="1">
      <c r="A15" s="1038" t="s">
        <v>558</v>
      </c>
      <c r="B15" s="978">
        <f ca="1">SUM(B4:B14)</f>
        <v>76942.671088213276</v>
      </c>
      <c r="C15" s="978">
        <f t="shared" ref="C15:Q15" ca="1" si="1">SUM(C4:C14)</f>
        <v>0</v>
      </c>
      <c r="D15" s="978">
        <f t="shared" ca="1" si="1"/>
        <v>141195.62430043679</v>
      </c>
      <c r="E15" s="978">
        <f t="shared" si="1"/>
        <v>9397.4918469130625</v>
      </c>
      <c r="F15" s="978">
        <f t="shared" ca="1" si="1"/>
        <v>49625.020679532987</v>
      </c>
      <c r="G15" s="978">
        <f t="shared" si="1"/>
        <v>57623.673245884798</v>
      </c>
      <c r="H15" s="978">
        <f t="shared" si="1"/>
        <v>11952.073328434944</v>
      </c>
      <c r="I15" s="978">
        <f t="shared" si="1"/>
        <v>0</v>
      </c>
      <c r="J15" s="978">
        <f t="shared" si="1"/>
        <v>2498.2554539761863</v>
      </c>
      <c r="K15" s="978">
        <f t="shared" si="1"/>
        <v>0</v>
      </c>
      <c r="L15" s="978">
        <f t="shared" ca="1" si="1"/>
        <v>0</v>
      </c>
      <c r="M15" s="978">
        <f t="shared" si="1"/>
        <v>2173.2937377239023</v>
      </c>
      <c r="N15" s="978">
        <f t="shared" ca="1" si="1"/>
        <v>26464.018442173481</v>
      </c>
      <c r="O15" s="978">
        <f t="shared" si="1"/>
        <v>325.17333333333335</v>
      </c>
      <c r="P15" s="978">
        <f t="shared" si="1"/>
        <v>476.66666666666669</v>
      </c>
      <c r="Q15" s="978">
        <f t="shared" ca="1" si="1"/>
        <v>378673.96212328947</v>
      </c>
    </row>
    <row r="17" spans="1:17">
      <c r="A17" s="487" t="s">
        <v>559</v>
      </c>
      <c r="B17" s="786">
        <f ca="1">huishoudens!B10</f>
        <v>0.20496287455133105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4496.7099180170126</v>
      </c>
      <c r="C22" s="477">
        <f t="shared" ref="C22:C32" ca="1" si="3">C4*$C$17</f>
        <v>0</v>
      </c>
      <c r="D22" s="477">
        <f t="shared" ref="D22:D32" si="4">D4*$D$17</f>
        <v>8170.740868495348</v>
      </c>
      <c r="E22" s="477">
        <f t="shared" ref="E22:E32" si="5">E4*$E$17</f>
        <v>1636.1176885193161</v>
      </c>
      <c r="F22" s="477">
        <f t="shared" ref="F22:F32" si="6">F4*$F$17</f>
        <v>5516.6526554878828</v>
      </c>
      <c r="G22" s="477">
        <f t="shared" ref="G22:G32" si="7">G4*$G$17</f>
        <v>0</v>
      </c>
      <c r="H22" s="477">
        <f t="shared" ref="H22:H32" si="8">H4*$H$17</f>
        <v>0</v>
      </c>
      <c r="I22" s="477">
        <f t="shared" ref="I22:I32" si="9">I4*$I$17</f>
        <v>0</v>
      </c>
      <c r="J22" s="477">
        <f t="shared" ref="J22:J32" si="10">J4*$J$17</f>
        <v>637.75102331533515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20457.972153834893</v>
      </c>
    </row>
    <row r="23" spans="1:17">
      <c r="A23" s="476" t="s">
        <v>156</v>
      </c>
      <c r="B23" s="477">
        <f t="shared" ca="1" si="2"/>
        <v>3673.4150402841265</v>
      </c>
      <c r="C23" s="477">
        <f t="shared" ca="1" si="3"/>
        <v>0</v>
      </c>
      <c r="D23" s="477">
        <f t="shared" ca="1" si="4"/>
        <v>2868.0320075800987</v>
      </c>
      <c r="E23" s="477">
        <f t="shared" si="5"/>
        <v>97.954113288194449</v>
      </c>
      <c r="F23" s="477">
        <f t="shared" ca="1" si="6"/>
        <v>1064.5502546107898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7703.9514157632093</v>
      </c>
    </row>
    <row r="24" spans="1:17">
      <c r="A24" s="476" t="s">
        <v>194</v>
      </c>
      <c r="B24" s="477">
        <f t="shared" ca="1" si="2"/>
        <v>144.89891408981259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144.89891408981259</v>
      </c>
    </row>
    <row r="25" spans="1:17">
      <c r="A25" s="476" t="s">
        <v>112</v>
      </c>
      <c r="B25" s="477">
        <f t="shared" ca="1" si="2"/>
        <v>912.25713385222775</v>
      </c>
      <c r="C25" s="477">
        <f t="shared" ca="1" si="3"/>
        <v>0</v>
      </c>
      <c r="D25" s="477">
        <f t="shared" si="4"/>
        <v>125.06890185148967</v>
      </c>
      <c r="E25" s="477">
        <f t="shared" si="5"/>
        <v>26.052811826246888</v>
      </c>
      <c r="F25" s="477">
        <f t="shared" si="6"/>
        <v>4343.7351333848546</v>
      </c>
      <c r="G25" s="477">
        <f t="shared" si="7"/>
        <v>0</v>
      </c>
      <c r="H25" s="477">
        <f t="shared" si="8"/>
        <v>0</v>
      </c>
      <c r="I25" s="477">
        <f t="shared" si="9"/>
        <v>0</v>
      </c>
      <c r="J25" s="477">
        <f t="shared" si="10"/>
        <v>226.82810196646221</v>
      </c>
      <c r="K25" s="477">
        <f t="shared" si="11"/>
        <v>0</v>
      </c>
      <c r="L25" s="477">
        <f t="shared" si="12"/>
        <v>0</v>
      </c>
      <c r="M25" s="477">
        <f t="shared" si="13"/>
        <v>0</v>
      </c>
      <c r="N25" s="477">
        <f t="shared" si="14"/>
        <v>0</v>
      </c>
      <c r="O25" s="477">
        <f t="shared" si="15"/>
        <v>0</v>
      </c>
      <c r="P25" s="478">
        <f t="shared" si="16"/>
        <v>0</v>
      </c>
      <c r="Q25" s="476">
        <f t="shared" ca="1" si="17"/>
        <v>5633.9420828812808</v>
      </c>
    </row>
    <row r="26" spans="1:17">
      <c r="A26" s="476" t="s">
        <v>638</v>
      </c>
      <c r="B26" s="477">
        <f t="shared" ca="1" si="2"/>
        <v>6459.9395346620277</v>
      </c>
      <c r="C26" s="477">
        <f t="shared" ca="1" si="3"/>
        <v>0</v>
      </c>
      <c r="D26" s="477">
        <f t="shared" si="4"/>
        <v>17117.741247800375</v>
      </c>
      <c r="E26" s="477">
        <f t="shared" si="5"/>
        <v>334.8930833234698</v>
      </c>
      <c r="F26" s="477">
        <f t="shared" si="6"/>
        <v>2324.9424779517817</v>
      </c>
      <c r="G26" s="477">
        <f t="shared" si="7"/>
        <v>0</v>
      </c>
      <c r="H26" s="477">
        <f t="shared" si="8"/>
        <v>0</v>
      </c>
      <c r="I26" s="477">
        <f t="shared" si="9"/>
        <v>0</v>
      </c>
      <c r="J26" s="477">
        <f t="shared" si="10"/>
        <v>19.803305425772503</v>
      </c>
      <c r="K26" s="477">
        <f t="shared" si="11"/>
        <v>0</v>
      </c>
      <c r="L26" s="477">
        <f t="shared" si="12"/>
        <v>0</v>
      </c>
      <c r="M26" s="477">
        <f t="shared" si="13"/>
        <v>0</v>
      </c>
      <c r="N26" s="477">
        <f t="shared" si="14"/>
        <v>0</v>
      </c>
      <c r="O26" s="477">
        <f t="shared" si="15"/>
        <v>0</v>
      </c>
      <c r="P26" s="478">
        <f t="shared" si="16"/>
        <v>0</v>
      </c>
      <c r="Q26" s="476">
        <f t="shared" ca="1" si="17"/>
        <v>26257.31964916343</v>
      </c>
    </row>
    <row r="27" spans="1:17" s="482" customFormat="1">
      <c r="A27" s="480" t="s">
        <v>564</v>
      </c>
      <c r="B27" s="780">
        <f t="shared" ca="1" si="2"/>
        <v>3.2942141883052622</v>
      </c>
      <c r="C27" s="481">
        <f t="shared" ca="1" si="3"/>
        <v>0</v>
      </c>
      <c r="D27" s="481">
        <f t="shared" si="4"/>
        <v>9.0979541561196271</v>
      </c>
      <c r="E27" s="481">
        <f t="shared" si="5"/>
        <v>38.212952292038011</v>
      </c>
      <c r="F27" s="481">
        <f t="shared" si="6"/>
        <v>0</v>
      </c>
      <c r="G27" s="481">
        <f t="shared" si="7"/>
        <v>15239.564500534683</v>
      </c>
      <c r="H27" s="481">
        <f t="shared" si="8"/>
        <v>2976.0662587803013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18266.235879951448</v>
      </c>
    </row>
    <row r="28" spans="1:17">
      <c r="A28" s="476" t="s">
        <v>554</v>
      </c>
      <c r="B28" s="477">
        <f t="shared" ca="1" si="2"/>
        <v>0</v>
      </c>
      <c r="C28" s="477">
        <f t="shared" ca="1" si="3"/>
        <v>0</v>
      </c>
      <c r="D28" s="477">
        <f t="shared" si="4"/>
        <v>0</v>
      </c>
      <c r="E28" s="477">
        <f t="shared" si="5"/>
        <v>0</v>
      </c>
      <c r="F28" s="477">
        <f t="shared" si="6"/>
        <v>0</v>
      </c>
      <c r="G28" s="477">
        <f t="shared" si="7"/>
        <v>145.95625611655905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145.95625611655905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79.876286804273775</v>
      </c>
      <c r="C32" s="477">
        <f t="shared" ca="1" si="3"/>
        <v>0</v>
      </c>
      <c r="D32" s="477">
        <f t="shared" si="4"/>
        <v>230.83512880480001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310.71141560907381</v>
      </c>
    </row>
    <row r="33" spans="1:17" s="486" customFormat="1">
      <c r="A33" s="1038" t="s">
        <v>558</v>
      </c>
      <c r="B33" s="978">
        <f ca="1">SUM(B22:B32)</f>
        <v>15770.391041897787</v>
      </c>
      <c r="C33" s="978">
        <f t="shared" ref="C33:Q33" ca="1" si="18">SUM(C22:C32)</f>
        <v>0</v>
      </c>
      <c r="D33" s="978">
        <f t="shared" ca="1" si="18"/>
        <v>28521.516108688233</v>
      </c>
      <c r="E33" s="978">
        <f t="shared" si="18"/>
        <v>2133.2306492492653</v>
      </c>
      <c r="F33" s="978">
        <f t="shared" ca="1" si="18"/>
        <v>13249.880521435309</v>
      </c>
      <c r="G33" s="978">
        <f t="shared" si="18"/>
        <v>15385.520756651242</v>
      </c>
      <c r="H33" s="978">
        <f t="shared" si="18"/>
        <v>2976.0662587803013</v>
      </c>
      <c r="I33" s="978">
        <f t="shared" si="18"/>
        <v>0</v>
      </c>
      <c r="J33" s="978">
        <f t="shared" si="18"/>
        <v>884.38243070756982</v>
      </c>
      <c r="K33" s="978">
        <f t="shared" si="18"/>
        <v>0</v>
      </c>
      <c r="L33" s="978">
        <f t="shared" ca="1" si="18"/>
        <v>0</v>
      </c>
      <c r="M33" s="978">
        <f t="shared" si="18"/>
        <v>0</v>
      </c>
      <c r="N33" s="978">
        <f t="shared" ca="1" si="18"/>
        <v>0</v>
      </c>
      <c r="O33" s="978">
        <f t="shared" si="18"/>
        <v>0</v>
      </c>
      <c r="P33" s="978">
        <f t="shared" si="18"/>
        <v>0</v>
      </c>
      <c r="Q33" s="978">
        <f t="shared" ca="1" si="18"/>
        <v>78920.987767409708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5583.4356045128898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5583.4356045128898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0.20496287455133105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0.20496287455133105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2019-08-12T08:24:17Z</dcterms:modified>
</cp:coreProperties>
</file>