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C101"/>
  <c r="H90" i="14"/>
  <c r="F101" i="18"/>
  <c r="I8" s="1"/>
  <c r="O8" s="1"/>
  <c r="O10" s="1"/>
  <c r="B101"/>
  <c r="C8" s="1"/>
  <c r="D76" i="14" s="1"/>
  <c r="D8" i="59" s="1"/>
  <c r="D10" s="1"/>
  <c r="Q88" i="14"/>
  <c r="P18" i="59" s="1"/>
  <c r="Q89" i="14"/>
  <c r="P19" i="59" s="1"/>
  <c r="C20" i="18"/>
  <c r="D87" i="14"/>
  <c r="D17" i="59" s="1"/>
  <c r="D20" s="1"/>
  <c r="C10" i="18"/>
  <c r="J17"/>
  <c r="J8"/>
  <c r="F87" i="14"/>
  <c r="E20" i="18"/>
  <c r="E10"/>
  <c r="F76" i="14"/>
  <c r="F8" i="59" s="1"/>
  <c r="F10" s="1"/>
  <c r="I17" i="18"/>
  <c r="H20"/>
  <c r="M87" i="14"/>
  <c r="M76"/>
  <c r="H10" i="18"/>
  <c r="H14" i="15"/>
  <c r="H16" s="1"/>
  <c r="G14"/>
  <c r="G16" s="1"/>
  <c r="I10" i="14" l="1"/>
  <c r="I16" s="1"/>
  <c r="H5" i="48"/>
  <c r="G5"/>
  <c r="H10" i="14"/>
  <c r="H16" s="1"/>
  <c r="M90"/>
  <c r="M17" i="59"/>
  <c r="M20" s="1"/>
  <c r="M78" i="14"/>
  <c r="M8" i="59"/>
  <c r="M10" s="1"/>
  <c r="F90" i="14"/>
  <c r="F17" i="59"/>
  <c r="F20" s="1"/>
  <c r="O17" i="18"/>
  <c r="O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8" i="48"/>
  <c r="I27"/>
  <c r="I32"/>
  <c r="I29"/>
  <c r="I25"/>
  <c r="I31"/>
  <c r="I24"/>
  <c r="I26"/>
  <c r="I22"/>
  <c r="I30"/>
  <c r="D4"/>
  <c r="D22" s="1"/>
  <c r="E11" i="14"/>
  <c r="H28" i="48"/>
  <c r="H32"/>
  <c r="H25"/>
  <c r="H29"/>
  <c r="H24"/>
  <c r="H22"/>
  <c r="H30"/>
  <c r="H26"/>
  <c r="H23"/>
  <c r="C4"/>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K23" i="48"/>
  <c r="K15"/>
  <c r="G13"/>
  <c r="H18" i="14"/>
  <c r="H13" i="48"/>
  <c r="H31" s="1"/>
  <c r="I18" i="14"/>
  <c r="P8" i="48"/>
  <c r="P26" s="1"/>
  <c r="Q13" i="14"/>
  <c r="Q16" s="1"/>
  <c r="Q27" s="1"/>
  <c r="Q63" s="1"/>
  <c r="E9" i="48"/>
  <c r="E27" s="1"/>
  <c r="F20" i="14"/>
  <c r="F22" s="1"/>
  <c r="E20"/>
  <c r="E22" s="1"/>
  <c r="D9" i="48"/>
  <c r="D27" s="1"/>
  <c r="O5"/>
  <c r="O23" s="1"/>
  <c r="P10" i="14"/>
  <c r="K24"/>
  <c r="K26" s="1"/>
  <c r="J7" i="48"/>
  <c r="J25" s="1"/>
  <c r="P15"/>
  <c r="P22"/>
  <c r="P33" s="1"/>
  <c r="C20" i="14"/>
  <c r="B9" i="48"/>
  <c r="I20" i="15"/>
  <c r="J40" i="14" s="1"/>
  <c r="J46" s="1"/>
  <c r="J61" s="1"/>
  <c r="K33"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N12"/>
  <c r="J12"/>
  <c r="F12"/>
  <c r="E12"/>
  <c r="C50" i="13"/>
  <c r="J5" s="1"/>
  <c r="J8" s="1"/>
  <c r="N4" i="48" l="1"/>
  <c r="N22" s="1"/>
  <c r="O11" i="14"/>
  <c r="E12" i="13"/>
  <c r="F41" i="14" s="1"/>
  <c r="E4" i="48"/>
  <c r="F11" i="14"/>
  <c r="G10" i="48"/>
  <c r="H19" i="14"/>
  <c r="R19" s="1"/>
  <c r="I23" i="48"/>
  <c r="I33" s="1"/>
  <c r="I15"/>
  <c r="G31"/>
  <c r="Q13"/>
  <c r="K11" i="14"/>
  <c r="J4" i="48"/>
  <c r="E7"/>
  <c r="E25" s="1"/>
  <c r="F24" i="14"/>
  <c r="F26" s="1"/>
  <c r="R18"/>
  <c r="J63"/>
  <c r="M10" i="48"/>
  <c r="M28" s="1"/>
  <c r="N19" i="14"/>
  <c r="M9" i="48"/>
  <c r="N20" i="14"/>
  <c r="O22" i="16"/>
  <c r="P43" i="14" s="1"/>
  <c r="O8" i="48"/>
  <c r="O26" s="1"/>
  <c r="O33" s="1"/>
  <c r="P13" i="14"/>
  <c r="P16" s="1"/>
  <c r="P27" s="1"/>
  <c r="H20"/>
  <c r="R20" s="1"/>
  <c r="G9" i="48"/>
  <c r="I20" i="14"/>
  <c r="H9" i="48"/>
  <c r="C22" i="14"/>
  <c r="N22"/>
  <c r="N27" s="1"/>
  <c r="P46"/>
  <c r="P61" s="1"/>
  <c r="I22"/>
  <c r="I27" s="1"/>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G27" i="48" l="1"/>
  <c r="G15"/>
  <c r="E5"/>
  <c r="E23" s="1"/>
  <c r="F10" i="14"/>
  <c r="J5" i="48"/>
  <c r="J23" s="1"/>
  <c r="K10" i="14"/>
  <c r="H27" i="48"/>
  <c r="H33" s="1"/>
  <c r="H15"/>
  <c r="M27"/>
  <c r="M33" s="1"/>
  <c r="M15"/>
  <c r="E22"/>
  <c r="Q4"/>
  <c r="J22"/>
  <c r="P63" i="14"/>
  <c r="O15" i="48"/>
  <c r="H22" i="14"/>
  <c r="H27" s="1"/>
  <c r="I63"/>
  <c r="R22"/>
  <c r="Q9" i="48"/>
  <c r="R11" i="14"/>
  <c r="G28" i="48"/>
  <c r="Q10"/>
  <c r="Q7"/>
  <c r="E20" i="15"/>
  <c r="F40" i="14" s="1"/>
  <c r="J18" i="16"/>
  <c r="E18"/>
  <c r="F18"/>
  <c r="F22" s="1"/>
  <c r="G43" i="14" s="1"/>
  <c r="N18" i="16"/>
  <c r="G18" i="22"/>
  <c r="H50" i="14" s="1"/>
  <c r="H52" s="1"/>
  <c r="H61" s="1"/>
  <c r="H63" s="1"/>
  <c r="H18" i="22"/>
  <c r="I50" i="14" s="1"/>
  <c r="I52" s="1"/>
  <c r="I61" s="1"/>
  <c r="J22" i="16" l="1"/>
  <c r="K43" i="14" s="1"/>
  <c r="K46" s="1"/>
  <c r="K61" s="1"/>
  <c r="K63" s="1"/>
  <c r="J8" i="48"/>
  <c r="J26" s="1"/>
  <c r="K13" i="14"/>
  <c r="E8" i="48"/>
  <c r="E26" s="1"/>
  <c r="E33" s="1"/>
  <c r="F13" i="14"/>
  <c r="F16" s="1"/>
  <c r="F27" s="1"/>
  <c r="J15" i="48"/>
  <c r="K16" i="14"/>
  <c r="K27" s="1"/>
  <c r="J33" i="48"/>
  <c r="E22" i="16"/>
  <c r="F43" i="14" s="1"/>
  <c r="F46" s="1"/>
  <c r="F61" s="1"/>
  <c r="G33" i="48"/>
  <c r="N8"/>
  <c r="N26" s="1"/>
  <c r="O13" i="14"/>
  <c r="N22" i="16"/>
  <c r="O43" i="14" s="1"/>
  <c r="G13"/>
  <c r="F8" i="48"/>
  <c r="F63" i="14" l="1"/>
  <c r="E15" i="48"/>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<sst xmlns="http://schemas.openxmlformats.org/spreadsheetml/2006/main" count="2401" uniqueCount="896">
  <si>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</si>
  <si>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</si>
  <si>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</si>
  <si>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</si>
  <si>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</si>
  <si>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</si>
  <si>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</si>
  <si>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</si>
  <si>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</si>
  <si>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</si>
  <si>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</si>
  <si>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</si>
  <si>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</si>
  <si>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</si>
  <si>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</si>
  <si>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</si>
  <si>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</si>
  <si>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</si>
  <si>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</si>
  <si>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</si>
  <si>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</si>
  <si>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</si>
  <si>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</si>
  <si>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</si>
  <si>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</si>
  <si>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</si>
  <si>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</si>
  <si>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</si>
  <si>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</si>
  <si>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</si>
  <si>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</si>
  <si>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</si>
  <si>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</si>
  <si>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</si>
  <si>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</si>
  <si>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</si>
  <si>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</si>
  <si>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</si>
  <si>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</si>
  <si>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</si>
  <si>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</si>
  <si>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</si>
  <si>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</si>
  <si>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</si>
  <si>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</si>
  <si>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</si>
  <si>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</si>
  <si>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</si>
  <si>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</si>
  <si>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</si>
  <si>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</si>
  <si>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</si>
  <si>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</si>
  <si>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</si>
  <si>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</si>
  <si>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</si>
  <si>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</si>
  <si>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</si>
  <si>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</si>
  <si>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</si>
  <si>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</si>
  <si>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</si>
  <si>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</si>
  <si>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</si>
  <si>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</si>
  <si>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</si>
  <si>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</si>
  <si>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</si>
  <si>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</si>
  <si>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</si>
  <si>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</si>
  <si>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</si>
  <si>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</si>
  <si>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</si>
  <si>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</si>
  <si>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</si>
  <si>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</si>
  <si>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</si>
  <si>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</si>
  <si>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</si>
  <si>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</si>
  <si>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</si>
  <si>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</si>
  <si>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</si>
  <si>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</si>
  <si>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</si>
  <si>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</si>
  <si>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</si>
  <si>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</si>
  <si>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</si>
  <si>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</si>
  <si>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</si>
  <si>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</si>
  <si>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</si>
  <si>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</si>
  <si>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</si>
  <si>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</si>
  <si>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</si>
  <si>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</si>
  <si>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</si>
  <si>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</si>
  <si>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</si>
  <si>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</si>
  <si>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</si>
  <si>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</si>
  <si>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</si>
  <si>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</si>
  <si>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</si>
  <si>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</si>
  <si>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</si>
  <si>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</si>
  <si>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</si>
  <si>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</si>
  <si>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</si>
  <si>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</si>
  <si>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</si>
  <si>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</si>
  <si>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</si>
  <si>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</si>
  <si>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</si>
  <si>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</si>
  <si>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</si>
  <si>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</si>
  <si>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</si>
  <si>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</si>
  <si>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</si>
  <si>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</si>
  <si>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</si>
  <si>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</si>
  <si>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</si>
  <si>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</si>
  <si>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</si>
  <si>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</si>
  <si>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</si>
  <si>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</si>
  <si>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</si>
  <si>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</si>
  <si>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</si>
  <si>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</si>
  <si>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</si>
  <si>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</si>
  <si>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</si>
  <si>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</si>
  <si>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</si>
  <si>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</si>
  <si>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</si>
  <si>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</si>
  <si>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</si>
  <si>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</si>
  <si>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</si>
  <si>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</si>
  <si>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</si>
  <si>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</si>
  <si>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</si>
  <si>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</si>
  <si>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</si>
  <si>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</si>
  <si>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</si>
  <si>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</si>
  <si>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</si>
  <si>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</si>
  <si>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</si>
  <si>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</si>
  <si>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</si>
  <si>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</si>
  <si>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</si>
  <si>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</si>
  <si>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</si>
  <si>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</si>
  <si>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</si>
  <si>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</si>
  <si>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</si>
  <si>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</si>
  <si>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</si>
  <si>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</si>
  <si>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</si>
  <si>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</si>
  <si>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</si>
  <si>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</si>
  <si>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</si>
  <si>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</si>
  <si>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</si>
  <si>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</si>
  <si>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</si>
  <si>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</si>
  <si>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</si>
  <si>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</si>
  <si>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</si>
  <si>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</si>
  <si>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</si>
  <si>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</si>
  <si>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</si>
  <si>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</si>
  <si>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</si>
  <si>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</si>
  <si>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</si>
  <si>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</si>
  <si>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</si>
  <si>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</si>
  <si>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</si>
  <si>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</si>
  <si>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</si>
  <si>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</si>
  <si>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</si>
  <si>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</si>
  <si>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</si>
  <si>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</si>
  <si>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</si>
  <si>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</si>
  <si>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</si>
  <si>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</si>
  <si>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</si>
  <si>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</si>
  <si>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</si>
  <si>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</si>
  <si>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</si>
  <si>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</si>
  <si>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</si>
  <si>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</si>
  <si>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</si>
  <si>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</si>
  <si>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</si>
  <si>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</si>
  <si>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</si>
  <si>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</si>
  <si>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</si>
  <si>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</si>
  <si>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</si>
  <si>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</si>
  <si>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</si>
  <si>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</si>
  <si>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</si>
  <si>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</si>
  <si>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</si>
  <si>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</si>
  <si>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</si>
  <si>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</si>
  <si>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</si>
  <si>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</si>
  <si>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</si>
  <si>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</si>
  <si>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</si>
  <si>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</si>
  <si>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</si>
  <si>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</si>
  <si>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</si>
  <si>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</si>
  <si>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</si>
  <si>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</si>
  <si>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</si>
  <si>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</si>
  <si>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</si>
  <si>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</si>
  <si>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</si>
  <si>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</si>
  <si>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</si>
  <si>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</si>
  <si>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</si>
  <si>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</si>
  <si>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</si>
  <si>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</si>
  <si>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</si>
  <si>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</si>
  <si>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</si>
  <si>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</si>
  <si>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</si>
  <si>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</si>
  <si>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</si>
  <si>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</si>
  <si>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</si>
  <si>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</si>
  <si>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</si>
  <si>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</si>
  <si>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</si>
  <si>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</si>
  <si>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</si>
  <si>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</si>
  <si>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</si>
  <si>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</si>
  <si>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</si>
  <si>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</si>
  <si>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</si>
  <si>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</si>
  <si>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</si>
  <si>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</si>
  <si>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</si>
  <si>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</si>
  <si>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</si>
  <si>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</si>
  <si>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</si>
  <si>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</si>
  <si>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</si>
  <si>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</si>
  <si>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</si>
  <si>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</si>
  <si>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</si>
  <si>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</si>
  <si>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</si>
  <si>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</si>
  <si>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</si>
  <si>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</si>
  <si>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</si>
  <si>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</si>
  <si>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</si>
  <si>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</si>
  <si>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</si>
  <si>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</si>
  <si>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</si>
  <si>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</si>
  <si>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</si>
  <si>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</si>
  <si>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</si>
  <si>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</si>
  <si>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</si>
  <si>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</si>
  <si>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</si>
  <si>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</si>
  <si>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</si>
  <si>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</si>
  <si>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</si>
  <si>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</si>
  <si>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</si>
  <si>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</si>
  <si>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</si>
  <si>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</si>
  <si>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</si>
  <si>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</si>
  <si>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</si>
  <si>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</si>
  <si>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</si>
  <si>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</si>
  <si>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</si>
  <si>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</si>
  <si>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</si>
  <si>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</si>
  <si>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</si>
  <si>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</si>
  <si>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</si>
  <si>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</si>
  <si>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</si>
  <si>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</si>
  <si>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</si>
  <si>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</si>
  <si>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</si>
  <si>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</si>
  <si>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</si>
  <si>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</si>
  <si>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</si>
  <si>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</si>
  <si>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</si>
  <si>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</si>
  <si>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</si>
  <si>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</si>
  <si>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</si>
  <si>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</si>
  <si>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</si>
  <si>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</si>
  <si>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</si>
  <si>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</si>
  <si>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</si>
  <si>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</si>
  <si>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</si>
  <si>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</si>
  <si>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</si>
  <si>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</si>
  <si>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</si>
  <si>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</si>
  <si>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</si>
  <si>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</si>
  <si>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</si>
  <si>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</si>
  <si>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</si>
  <si>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</si>
  <si>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</si>
  <si>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</si>
  <si>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</si>
  <si>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</si>
  <si>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</si>
  <si>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</si>
  <si>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</si>
  <si>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</si>
  <si>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</si>
  <si>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</si>
  <si>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</si>
  <si>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</si>
  <si>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</si>
  <si>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</si>
  <si>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</si>
  <si>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</si>
  <si>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</si>
  <si>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</si>
  <si>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</si>
  <si>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</si>
  <si>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</si>
  <si>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</si>
  <si>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</si>
  <si>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</si>
  <si>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</si>
  <si>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</si>
  <si>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</si>
  <si>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</si>
  <si>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</si>
  <si>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</si>
  <si>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</si>
  <si>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</si>
  <si>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</si>
  <si>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</si>
  <si>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</si>
  <si>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</si>
  <si>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</si>
  <si>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</si>
  <si>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</si>
  <si>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</si>
  <si>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</si>
  <si>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</si>
  <si>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</si>
  <si>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</si>
  <si>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</si>
  <si>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</si>
  <si>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</si>
  <si>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</si>
  <si>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</si>
  <si>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</si>
  <si>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</si>
  <si>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</si>
  <si>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</si>
  <si>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</si>
  <si>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</si>
  <si>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</si>
  <si>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</si>
  <si>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</si>
  <si>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</si>
  <si>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</si>
  <si>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</si>
  <si>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</si>
  <si>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</si>
  <si>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</si>
  <si>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</si>
  <si>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</si>
  <si>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</si>
  <si>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</si>
  <si>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</si>
  <si>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</si>
  <si>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</si>
  <si>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</si>
  <si>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</si>
  <si>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</si>
  <si>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</si>
  <si>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</si>
  <si>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</si>
  <si>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</si>
  <si>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</si>
  <si>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</si>
  <si>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</si>
  <si>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</si>
  <si>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</si>
  <si>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</si>
  <si>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</si>
  <si>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</si>
  <si>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</si>
  <si>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</si>
  <si>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</si>
  <si>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</si>
  <si>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</si>
  <si>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</si>
  <si>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</si>
  <si>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</si>
  <si>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</si>
  <si>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</si>
  <si>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</si>
  <si>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</si>
  <si>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</si>
  <si>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</si>
  <si>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</si>
  <si>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</si>
  <si>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</si>
  <si>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</si>
  <si>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</si>
  <si>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</si>
  <si>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</si>
  <si>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</si>
  <si>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</si>
  <si>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</si>
  <si>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</si>
  <si>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</si>
  <si>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</si>
  <si>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</si>
  <si>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</si>
  <si>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</si>
  <si>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</si>
  <si>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</si>
  <si>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</si>
  <si>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</si>
  <si>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</si>
  <si>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</si>
  <si>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</si>
  <si>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</si>
  <si>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</si>
  <si>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</si>
  <si>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</si>
  <si>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</si>
  <si>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</si>
  <si>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</si>
  <si>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</si>
  <si>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</si>
  <si>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</si>
  <si>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</si>
  <si>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</si>
  <si>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</si>
  <si>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</si>
  <si>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</si>
  <si>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</si>
  <si>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</si>
  <si>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</si>
  <si>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</si>
  <si>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</si>
  <si>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</si>
  <si>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</si>
  <si>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</si>
  <si>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</si>
  <si>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</si>
  <si>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</si>
  <si>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</si>
  <si>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</si>
  <si>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</si>
  <si>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</si>
  <si>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</si>
  <si>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</si>
  <si>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</si>
  <si>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</si>
  <si>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</si>
  <si>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</si>
  <si>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</si>
  <si>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</si>
  <si>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</si>
  <si>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</si>
  <si>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</si>
  <si>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</si>
  <si>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</si>
  <si>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</si>
  <si>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</si>
  <si>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</si>
  <si>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</si>
  <si>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</si>
  <si>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</si>
  <si>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</si>
  <si>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</si>
  <si>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</si>
  <si>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</si>
  <si>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</si>
  <si>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</si>
  <si>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</si>
  <si>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</si>
  <si>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</si>
  <si>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</si>
  <si>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</si>
  <si>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</si>
  <si>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</si>
  <si>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</si>
  <si>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</si>
  <si>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</si>
  <si>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</si>
  <si>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</si>
  <si>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</si>
  <si>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</si>
  <si>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</si>
  <si>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</si>
  <si>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</si>
  <si>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</si>
  <si>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</si>
  <si>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</si>
  <si>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</si>
  <si>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</si>
  <si>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</si>
  <si>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</si>
  <si>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</si>
  <si>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</si>
  <si>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</si>
  <si>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</si>
  <si>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</si>
  <si>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</si>
  <si>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</si>
  <si>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</si>
  <si>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</si>
  <si>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</si>
  <si>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</si>
  <si>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</si>
  <si>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</si>
  <si>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</si>
  <si>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</si>
  <si>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</si>
  <si>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</si>
  <si>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</si>
  <si>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</si>
  <si>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</si>
  <si>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</si>
  <si>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</si>
  <si>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</si>
  <si>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</si>
  <si>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</si>
  <si>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</si>
  <si>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</si>
  <si>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</si>
  <si>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</si>
  <si>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</si>
  <si>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</si>
  <si>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</si>
  <si>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</si>
  <si>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</si>
  <si>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</si>
  <si>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</si>
  <si>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</si>
  <si>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</si>
  <si>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</si>
  <si>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</si>
  <si>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</si>
  <si>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</si>
  <si>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</si>
  <si>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</si>
  <si>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</si>
  <si>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</si>
  <si>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</si>
  <si>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</si>
  <si>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</si>
  <si>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</si>
  <si>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</si>
  <si>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</si>
  <si>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</si>
  <si>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</si>
  <si>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</si>
  <si>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</si>
  <si>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</si>
  <si>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</si>
  <si>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</si>
  <si>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</si>
  <si>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</si>
  <si>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</si>
  <si>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</si>
  <si>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</si>
  <si>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</si>
  <si>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</si>
  <si>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</si>
  <si>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</si>
  <si>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</si>
  <si>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</si>
  <si>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</si>
  <si>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</si>
  <si>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</si>
  <si>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</si>
  <si>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</si>
  <si>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</si>
  <si>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</si>
  <si>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</si>
  <si>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</si>
  <si>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</si>
  <si>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</si>
  <si>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</si>
  <si>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</si>
  <si>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</si>
  <si>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</si>
  <si>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</si>
  <si>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</si>
  <si>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</si>
  <si>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</si>
  <si>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</si>
  <si>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</si>
  <si>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</si>
  <si>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</si>
  <si>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</si>
  <si>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</si>
  <si>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</si>
  <si>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</si>
  <si>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</si>
  <si>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</si>
  <si>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</si>
  <si>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</si>
  <si>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</si>
  <si>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</si>
  <si>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</si>
  <si>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</si>
  <si>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</si>
  <si>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</si>
  <si>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</si>
  <si>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</si>
  <si>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</si>
  <si>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</si>
  <si>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</si>
  <si>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</si>
  <si>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</si>
  <si>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</si>
  <si>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</si>
  <si>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</si>
  <si>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</si>
  <si>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</si>
  <si>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</si>
  <si>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</si>
  <si>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</si>
  <si>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</si>
  <si>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</si>
  <si>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</si>
  <si>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</si>
  <si>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</si>
  <si>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</si>
  <si>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</si>
  <si>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</si>
  <si>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</si>
  <si>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</si>
  <si>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</si>
  <si>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</si>
  <si>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</si>
  <si>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</si>
  <si>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</si>
  <si>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</si>
  <si>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</si>
  <si>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</si>
  <si>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</si>
  <si>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</si>
  <si>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</si>
  <si>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</si>
  <si>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</si>
  <si>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</si>
  <si>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</si>
  <si>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</si>
  <si>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</si>
  <si>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</si>
  <si>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</si>
  <si>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</si>
  <si>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</si>
  <si>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</si>
  <si>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</si>
  <si>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</si>
  <si>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</si>
  <si>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</si>
  <si>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</si>
  <si>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</si>
  <si>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</si>
  <si>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</si>
  <si>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</si>
  <si>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</si>
  <si>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</si>
  <si>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</si>
  <si>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</si>
  <si>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</si>
  <si>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</si>
  <si>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</si>
  <si>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</si>
  <si>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</si>
  <si>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</si>
  <si>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</si>
  <si>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</si>
  <si>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</si>
  <si>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</si>
  <si>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</si>
  <si>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</si>
  <si>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</si>
  <si>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</si>
  <si>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</si>
  <si>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</si>
  <si>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</si>
  <si>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</si>
  <si>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</si>
  <si>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</si>
  <si>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</si>
  <si>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</si>
  <si>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</si>
  <si>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</si>
  <si>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</si>
  <si>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</si>
  <si>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</si>
  <si>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</si>
  <si>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</si>
  <si>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</si>
  <si>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</si>
  <si>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</si>
  <si>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</si>
  <si>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</si>
  <si>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</si>
  <si>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</si>
  <si>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</si>
  <si>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</si>
  <si>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</si>
  <si>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</si>
  <si>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</si>
  <si>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</si>
  <si>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</si>
  <si>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</si>
  <si>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</si>
  <si>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</si>
  <si>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</si>
  <si>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</si>
  <si>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</si>
  <si>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</si>
  <si>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</si>
  <si>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</si>
  <si>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</si>
  <si>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</si>
  <si>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</si>
  <si>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</si>
  <si>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</si>
  <si>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</si>
  <si>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</si>
  <si>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</si>
  <si>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</si>
  <si>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</si>
  <si>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</si>
  <si>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</si>
  <si>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</si>
  <si>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</si>
  <si>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</si>
  <si>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</si>
  <si>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</si>
  <si>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</si>
  <si>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</si>
  <si>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</si>
  <si>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</si>
  <si>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</si>
  <si>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</si>
  <si>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</si>
  <si>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</si>
  <si>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</si>
  <si>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</si>
  <si>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</si>
  <si>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</si>
  <si>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</si>
  <si>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</si>
  <si>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</si>
  <si>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</si>
  <si>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</si>
  <si>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</si>
  <si>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</si>
  <si>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</si>
  <si>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</si>
  <si>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</si>
  <si>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</si>
  <si>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</si>
  <si>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</si>
  <si>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</si>
  <si>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</si>
  <si>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</si>
  <si>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</si>
  <si>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</si>
  <si>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</si>
  <si>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</si>
  <si>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</si>
  <si>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</si>
  <si>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</si>
  <si>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</si>
  <si>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</si>
  <si>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</si>
  <si>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</si>
  <si>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</si>
  <si>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</si>
  <si>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</si>
  <si>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</si>
  <si>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</si>
  <si>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</si>
  <si>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</si>
  <si>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</si>
  <si>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</si>
  <si>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</si>
  <si>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</si>
  <si>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</si>
  <si>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</si>
  <si>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</si>
  <si>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</si>
  <si>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</si>
  <si>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</si>
  <si>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</si>
  <si>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</si>
  <si>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</si>
  <si>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</si>
  <si>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</si>
  <si>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</si>
  <si>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</si>
  <si>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</si>
  <si>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</si>
  <si>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</si>
  <si>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</si>
  <si>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</si>
  <si>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</si>
  <si>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</si>
  <si>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</si>
  <si>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32006</t>
  </si>
  <si>
    <t>HOUTHULST</t>
  </si>
  <si>
    <t>Paarden&amp;pony's 200 - 600 kg</t>
  </si>
  <si>
    <t>Paarden&amp;pony's &lt; 200 kg</t>
  </si>
  <si>
    <t>referentietaak LNE (2017); Jaarverslag De Lijn (2015)</t>
  </si>
  <si>
    <t>op basis van VEA (maart 2018) en Inventaris Hernieuwbare Energiebronnen (juni 2018)</t>
  </si>
  <si>
    <t>VEA (januari 2017)</t>
  </si>
  <si>
    <t>VEA (juni 2018)</t>
  </si>
  <si>
    <t>SAP-VSE bvba</t>
  </si>
  <si>
    <t>Heulegoedstraat 9 , 8650 Houthulst</t>
  </si>
  <si>
    <t>WKK-0390 SAP Eneco Energie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</si>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</sst>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91474.196357490378</c:v>
                </c:pt>
                <c:pt idx="1">
                  <c:v>29651.464409981476</c:v>
                </c:pt>
                <c:pt idx="2">
                  <c:v>794.26</c:v>
                </c:pt>
                <c:pt idx="3">
                  <c:v>40957.39541329669</c:v>
                </c:pt>
                <c:pt idx="4">
                  <c:v>9956.942724980714</c:v>
                </c:pt>
                <c:pt idx="5">
                  <c:v>49015.129336296668</c:v>
                </c:pt>
                <c:pt idx="6">
                  <c:v>644.50279781145309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91474.196357490378</c:v>
                </c:pt>
                <c:pt idx="1">
                  <c:v>29651.464409981476</c:v>
                </c:pt>
                <c:pt idx="2">
                  <c:v>794.26</c:v>
                </c:pt>
                <c:pt idx="3">
                  <c:v>40957.39541329669</c:v>
                </c:pt>
                <c:pt idx="4">
                  <c:v>9956.942724980714</c:v>
                </c:pt>
                <c:pt idx="5">
                  <c:v>49015.129336296668</c:v>
                </c:pt>
                <c:pt idx="6">
                  <c:v>644.50279781145309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16387.461933015504</c:v>
                </c:pt>
                <c:pt idx="2">
                  <c:v>4659.3102519398399</c:v>
                </c:pt>
                <c:pt idx="3">
                  <c:v>98.852902209075012</c:v>
                </c:pt>
                <c:pt idx="4">
                  <c:v>5426.5140758954549</c:v>
                </c:pt>
                <c:pt idx="5">
                  <c:v>1644.1176502037963</c:v>
                </c:pt>
                <c:pt idx="6">
                  <c:v>12524.493867500387</c:v>
                </c:pt>
                <c:pt idx="7">
                  <c:v>166.90522047392642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16387.461933015504</c:v>
                </c:pt>
                <c:pt idx="2">
                  <c:v>4659.3102519398399</c:v>
                </c:pt>
                <c:pt idx="3">
                  <c:v>98.852902209075012</c:v>
                </c:pt>
                <c:pt idx="4">
                  <c:v>5426.5140758954549</c:v>
                </c:pt>
                <c:pt idx="5">
                  <c:v>1644.1176502037963</c:v>
                </c:pt>
                <c:pt idx="6">
                  <c:v>12524.493867500387</c:v>
                </c:pt>
                <c:pt idx="7">
                  <c:v>166.90522047392642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32006</v>
      </c>
      <c r="B6" s="415"/>
      <c r="C6" s="416"/>
    </row>
    <row r="7" spans="1:7" s="413" customFormat="1" ht="15.75" customHeight="1">
      <c r="A7" s="417" t="str">
        <f>txtMunicipality</f>
        <v>HOUTHULST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0.12445912196141692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0.12445912196141692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4021</v>
      </c>
      <c r="C9" s="342">
        <v>4154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4073.39</v>
      </c>
    </row>
    <row r="15" spans="1:6">
      <c r="A15" s="348" t="s">
        <v>184</v>
      </c>
      <c r="B15" s="334">
        <v>55</v>
      </c>
    </row>
    <row r="16" spans="1:6">
      <c r="A16" s="348" t="s">
        <v>6</v>
      </c>
      <c r="B16" s="334">
        <v>1572</v>
      </c>
    </row>
    <row r="17" spans="1:6">
      <c r="A17" s="348" t="s">
        <v>7</v>
      </c>
      <c r="B17" s="334">
        <v>1256</v>
      </c>
    </row>
    <row r="18" spans="1:6">
      <c r="A18" s="348" t="s">
        <v>8</v>
      </c>
      <c r="B18" s="334">
        <v>1760</v>
      </c>
    </row>
    <row r="19" spans="1:6">
      <c r="A19" s="348" t="s">
        <v>9</v>
      </c>
      <c r="B19" s="334">
        <v>1624</v>
      </c>
    </row>
    <row r="20" spans="1:6">
      <c r="A20" s="348" t="s">
        <v>10</v>
      </c>
      <c r="B20" s="334">
        <v>1189</v>
      </c>
    </row>
    <row r="21" spans="1:6">
      <c r="A21" s="348" t="s">
        <v>11</v>
      </c>
      <c r="B21" s="334">
        <v>24002</v>
      </c>
    </row>
    <row r="22" spans="1:6">
      <c r="A22" s="348" t="s">
        <v>12</v>
      </c>
      <c r="B22" s="334">
        <v>43844</v>
      </c>
    </row>
    <row r="23" spans="1:6">
      <c r="A23" s="348" t="s">
        <v>13</v>
      </c>
      <c r="B23" s="334">
        <v>1388</v>
      </c>
    </row>
    <row r="24" spans="1:6">
      <c r="A24" s="348" t="s">
        <v>14</v>
      </c>
      <c r="B24" s="334">
        <v>50</v>
      </c>
    </row>
    <row r="25" spans="1:6">
      <c r="A25" s="348" t="s">
        <v>15</v>
      </c>
      <c r="B25" s="334">
        <v>6461</v>
      </c>
    </row>
    <row r="26" spans="1:6">
      <c r="A26" s="348" t="s">
        <v>16</v>
      </c>
      <c r="B26" s="334">
        <v>288</v>
      </c>
    </row>
    <row r="27" spans="1:6">
      <c r="A27" s="348" t="s">
        <v>17</v>
      </c>
      <c r="B27" s="334">
        <v>11</v>
      </c>
    </row>
    <row r="28" spans="1:6" s="356" customFormat="1">
      <c r="A28" s="355" t="s">
        <v>18</v>
      </c>
      <c r="B28" s="355">
        <v>108968</v>
      </c>
    </row>
    <row r="29" spans="1:6">
      <c r="A29" s="355" t="s">
        <v>884</v>
      </c>
      <c r="B29" s="355">
        <v>37</v>
      </c>
      <c r="C29" s="356"/>
      <c r="D29" s="356"/>
      <c r="E29" s="356"/>
      <c r="F29" s="356"/>
    </row>
    <row r="30" spans="1:6">
      <c r="A30" s="355" t="s">
        <v>885</v>
      </c>
      <c r="B30" s="341">
        <v>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139548.87333999999</v>
      </c>
      <c r="E38" s="334">
        <v>4</v>
      </c>
      <c r="F38" s="334">
        <v>52008.613397000001</v>
      </c>
    </row>
    <row r="39" spans="1:6">
      <c r="A39" s="348" t="s">
        <v>30</v>
      </c>
      <c r="B39" s="348" t="s">
        <v>31</v>
      </c>
      <c r="C39" s="334">
        <v>1614</v>
      </c>
      <c r="D39" s="334">
        <v>22256730.647999998</v>
      </c>
      <c r="E39" s="334">
        <v>3782</v>
      </c>
      <c r="F39" s="334">
        <v>14569758.687999999</v>
      </c>
    </row>
    <row r="40" spans="1:6">
      <c r="A40" s="348" t="s">
        <v>30</v>
      </c>
      <c r="B40" s="348" t="s">
        <v>29</v>
      </c>
      <c r="C40" s="334">
        <v>0</v>
      </c>
      <c r="D40" s="334">
        <v>0</v>
      </c>
      <c r="E40" s="334">
        <v>0</v>
      </c>
      <c r="F40" s="334">
        <v>1683</v>
      </c>
    </row>
    <row r="41" spans="1:6">
      <c r="A41" s="348" t="s">
        <v>32</v>
      </c>
      <c r="B41" s="348" t="s">
        <v>33</v>
      </c>
      <c r="C41" s="334">
        <v>37</v>
      </c>
      <c r="D41" s="334">
        <v>552400.80467999994</v>
      </c>
      <c r="E41" s="334">
        <v>98</v>
      </c>
      <c r="F41" s="334">
        <v>2909608.2809000001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50211.136875999997</v>
      </c>
      <c r="E44" s="334">
        <v>8</v>
      </c>
      <c r="F44" s="334">
        <v>85074.346806000001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190601.89872</v>
      </c>
      <c r="E48" s="334">
        <v>28</v>
      </c>
      <c r="F48" s="334">
        <v>1009646.5186</v>
      </c>
    </row>
    <row r="49" spans="1:6">
      <c r="A49" s="348" t="s">
        <v>32</v>
      </c>
      <c r="B49" s="348" t="s">
        <v>40</v>
      </c>
      <c r="C49" s="334">
        <v>0</v>
      </c>
      <c r="D49" s="334">
        <v>0</v>
      </c>
      <c r="E49" s="334">
        <v>0</v>
      </c>
      <c r="F49" s="334">
        <v>0</v>
      </c>
    </row>
    <row r="50" spans="1:6">
      <c r="A50" s="348" t="s">
        <v>32</v>
      </c>
      <c r="B50" s="348" t="s">
        <v>41</v>
      </c>
      <c r="C50" s="334">
        <v>3</v>
      </c>
      <c r="D50" s="334">
        <v>193637.86543000001</v>
      </c>
      <c r="E50" s="334">
        <v>6</v>
      </c>
      <c r="F50" s="334">
        <v>230090.82031000001</v>
      </c>
    </row>
    <row r="51" spans="1:6">
      <c r="A51" s="348" t="s">
        <v>42</v>
      </c>
      <c r="B51" s="348" t="s">
        <v>43</v>
      </c>
      <c r="C51" s="334">
        <v>7</v>
      </c>
      <c r="D51" s="334">
        <v>897747.24239999999</v>
      </c>
      <c r="E51" s="334">
        <v>184</v>
      </c>
      <c r="F51" s="334">
        <v>4520951.2562999995</v>
      </c>
    </row>
    <row r="52" spans="1:6">
      <c r="A52" s="348" t="s">
        <v>42</v>
      </c>
      <c r="B52" s="348" t="s">
        <v>29</v>
      </c>
      <c r="C52" s="334">
        <v>2</v>
      </c>
      <c r="D52" s="334">
        <v>78559.465893000001</v>
      </c>
      <c r="E52" s="334">
        <v>3</v>
      </c>
      <c r="F52" s="334">
        <v>14630.628811</v>
      </c>
    </row>
    <row r="53" spans="1:6">
      <c r="A53" s="348" t="s">
        <v>44</v>
      </c>
      <c r="B53" s="348" t="s">
        <v>45</v>
      </c>
      <c r="C53" s="334">
        <v>39</v>
      </c>
      <c r="D53" s="334">
        <v>716238.67555000004</v>
      </c>
      <c r="E53" s="334">
        <v>118</v>
      </c>
      <c r="F53" s="334">
        <v>477697.71263000002</v>
      </c>
    </row>
    <row r="54" spans="1:6">
      <c r="A54" s="348" t="s">
        <v>46</v>
      </c>
      <c r="B54" s="348" t="s">
        <v>47</v>
      </c>
      <c r="C54" s="334">
        <v>0</v>
      </c>
      <c r="D54" s="334">
        <v>0</v>
      </c>
      <c r="E54" s="334">
        <v>1</v>
      </c>
      <c r="F54" s="334">
        <v>794260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1291698.8122</v>
      </c>
      <c r="E57" s="334">
        <v>78</v>
      </c>
      <c r="F57" s="334">
        <v>1227828.2933</v>
      </c>
    </row>
    <row r="58" spans="1:6">
      <c r="A58" s="348" t="s">
        <v>49</v>
      </c>
      <c r="B58" s="348" t="s">
        <v>51</v>
      </c>
      <c r="C58" s="334">
        <v>18</v>
      </c>
      <c r="D58" s="334">
        <v>4759995.9977000002</v>
      </c>
      <c r="E58" s="334">
        <v>30</v>
      </c>
      <c r="F58" s="334">
        <v>1732534.8492999999</v>
      </c>
    </row>
    <row r="59" spans="1:6">
      <c r="A59" s="348" t="s">
        <v>49</v>
      </c>
      <c r="B59" s="348" t="s">
        <v>52</v>
      </c>
      <c r="C59" s="334">
        <v>11</v>
      </c>
      <c r="D59" s="334">
        <v>279054.13530999998</v>
      </c>
      <c r="E59" s="334">
        <v>73</v>
      </c>
      <c r="F59" s="334">
        <v>2074170.7479000001</v>
      </c>
    </row>
    <row r="60" spans="1:6">
      <c r="A60" s="348" t="s">
        <v>49</v>
      </c>
      <c r="B60" s="348" t="s">
        <v>53</v>
      </c>
      <c r="C60" s="334">
        <v>13</v>
      </c>
      <c r="D60" s="334">
        <v>458577.22547</v>
      </c>
      <c r="E60" s="334">
        <v>33</v>
      </c>
      <c r="F60" s="334">
        <v>626010.59741000005</v>
      </c>
    </row>
    <row r="61" spans="1:6">
      <c r="A61" s="348" t="s">
        <v>49</v>
      </c>
      <c r="B61" s="348" t="s">
        <v>54</v>
      </c>
      <c r="C61" s="334">
        <v>9</v>
      </c>
      <c r="D61" s="334">
        <v>100862.74153</v>
      </c>
      <c r="E61" s="334">
        <v>66</v>
      </c>
      <c r="F61" s="334">
        <v>646490.96834999998</v>
      </c>
    </row>
    <row r="62" spans="1:6">
      <c r="A62" s="348" t="s">
        <v>49</v>
      </c>
      <c r="B62" s="348" t="s">
        <v>55</v>
      </c>
      <c r="C62" s="334">
        <v>4</v>
      </c>
      <c r="D62" s="334">
        <v>299513.58199999999</v>
      </c>
      <c r="E62" s="334">
        <v>5</v>
      </c>
      <c r="F62" s="334">
        <v>72576.827749000004</v>
      </c>
    </row>
    <row r="63" spans="1:6">
      <c r="A63" s="348" t="s">
        <v>49</v>
      </c>
      <c r="B63" s="348" t="s">
        <v>29</v>
      </c>
      <c r="C63" s="334">
        <v>71</v>
      </c>
      <c r="D63" s="334">
        <v>1567233.4227</v>
      </c>
      <c r="E63" s="334">
        <v>83</v>
      </c>
      <c r="F63" s="334">
        <v>9356883.6658999994</v>
      </c>
    </row>
    <row r="64" spans="1:6">
      <c r="A64" s="348" t="s">
        <v>56</v>
      </c>
      <c r="B64" s="348" t="s">
        <v>57</v>
      </c>
      <c r="C64" s="334">
        <v>0</v>
      </c>
      <c r="D64" s="334">
        <v>0</v>
      </c>
      <c r="E64" s="334">
        <v>0</v>
      </c>
      <c r="F64" s="334">
        <v>0</v>
      </c>
    </row>
    <row r="65" spans="1:6">
      <c r="A65" s="348" t="s">
        <v>56</v>
      </c>
      <c r="B65" s="348" t="s">
        <v>29</v>
      </c>
      <c r="C65" s="334">
        <v>2</v>
      </c>
      <c r="D65" s="334">
        <v>53613.546123</v>
      </c>
      <c r="E65" s="334">
        <v>2</v>
      </c>
      <c r="F65" s="334">
        <v>1675.2590963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80144.447027000002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29785007</v>
      </c>
      <c r="E73" s="475">
        <v>31067264.900359239</v>
      </c>
    </row>
    <row r="74" spans="1:6">
      <c r="A74" s="348" t="s">
        <v>64</v>
      </c>
      <c r="B74" s="348" t="s">
        <v>667</v>
      </c>
      <c r="C74" s="1294" t="s">
        <v>669</v>
      </c>
      <c r="D74" s="475">
        <v>2306475.667535577</v>
      </c>
      <c r="E74" s="475">
        <v>2378630.2038104748</v>
      </c>
    </row>
    <row r="75" spans="1:6">
      <c r="A75" s="348" t="s">
        <v>65</v>
      </c>
      <c r="B75" s="348" t="s">
        <v>666</v>
      </c>
      <c r="C75" s="1294" t="s">
        <v>670</v>
      </c>
      <c r="D75" s="475">
        <v>23402387</v>
      </c>
      <c r="E75" s="475">
        <v>24289293.564950995</v>
      </c>
    </row>
    <row r="76" spans="1:6">
      <c r="A76" s="348" t="s">
        <v>65</v>
      </c>
      <c r="B76" s="348" t="s">
        <v>667</v>
      </c>
      <c r="C76" s="1294" t="s">
        <v>671</v>
      </c>
      <c r="D76" s="475">
        <v>1129047.6675355767</v>
      </c>
      <c r="E76" s="475">
        <v>1165837.7030820581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173104.66492884653</v>
      </c>
      <c r="C83" s="475">
        <v>173104.66492884653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2573.5150941734346</v>
      </c>
    </row>
    <row r="92" spans="1:6">
      <c r="A92" s="341" t="s">
        <v>69</v>
      </c>
      <c r="B92" s="342">
        <v>3447.4449339094294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340</v>
      </c>
    </row>
    <row r="98" spans="1:6">
      <c r="A98" s="348" t="s">
        <v>72</v>
      </c>
      <c r="B98" s="334">
        <v>1</v>
      </c>
    </row>
    <row r="99" spans="1:6">
      <c r="A99" s="348" t="s">
        <v>73</v>
      </c>
      <c r="B99" s="334">
        <v>307</v>
      </c>
    </row>
    <row r="100" spans="1:6">
      <c r="A100" s="348" t="s">
        <v>74</v>
      </c>
      <c r="B100" s="334">
        <v>296</v>
      </c>
    </row>
    <row r="101" spans="1:6">
      <c r="A101" s="348" t="s">
        <v>75</v>
      </c>
      <c r="B101" s="334">
        <v>121</v>
      </c>
    </row>
    <row r="102" spans="1:6">
      <c r="A102" s="348" t="s">
        <v>76</v>
      </c>
      <c r="B102" s="334">
        <v>54</v>
      </c>
    </row>
    <row r="103" spans="1:6">
      <c r="A103" s="348" t="s">
        <v>77</v>
      </c>
      <c r="B103" s="334">
        <v>320</v>
      </c>
    </row>
    <row r="104" spans="1:6">
      <c r="A104" s="348" t="s">
        <v>78</v>
      </c>
      <c r="B104" s="334">
        <v>1912</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139</v>
      </c>
    </row>
    <row r="130" spans="1:6">
      <c r="A130" s="348" t="s">
        <v>295</v>
      </c>
      <c r="B130" s="334">
        <v>1</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42935.875977321382</v>
      </c>
      <c r="C3" s="43" t="s">
        <v>170</v>
      </c>
      <c r="D3" s="43"/>
      <c r="E3" s="154"/>
      <c r="F3" s="43"/>
      <c r="G3" s="43"/>
      <c r="H3" s="43"/>
      <c r="I3" s="43"/>
      <c r="J3" s="43"/>
      <c r="K3" s="96"/>
    </row>
    <row r="4" spans="1:11">
      <c r="A4" s="383" t="s">
        <v>171</v>
      </c>
      <c r="B4" s="49">
        <f>IF(ISERROR('SEAP template'!B78+'SEAP template'!C78),0,'SEAP template'!B78+'SEAP template'!C78)</f>
        <v>18755.960028082864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0.12445912196141692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18192.857142857145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794.26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794.26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0.12445912196141692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98.852902209075012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14571.441687999999</v>
      </c>
      <c r="C5" s="17">
        <f>IF(ISERROR('Eigen informatie GS &amp; warmtenet'!B57),0,'Eigen informatie GS &amp; warmtenet'!B57)</f>
        <v>0</v>
      </c>
      <c r="D5" s="30">
        <f>(SUM(HH_hh_gas_kWh,HH_rest_gas_kWh)/1000)*0.902</f>
        <v>20075.571044495999</v>
      </c>
      <c r="E5" s="17">
        <f>B46*B57</f>
        <v>13714.749889016211</v>
      </c>
      <c r="F5" s="17">
        <f>B51*B62</f>
        <v>18631.484777409594</v>
      </c>
      <c r="G5" s="18"/>
      <c r="H5" s="17"/>
      <c r="I5" s="17"/>
      <c r="J5" s="17">
        <f>B50*B61+C50*C61</f>
        <v>5961.85213128961</v>
      </c>
      <c r="K5" s="17"/>
      <c r="L5" s="17"/>
      <c r="M5" s="17"/>
      <c r="N5" s="17">
        <f>B48*B59+C48*C59</f>
        <v>15351.941733105534</v>
      </c>
      <c r="O5" s="17">
        <f>B69*B70*B71</f>
        <v>231.37333333333333</v>
      </c>
      <c r="P5" s="17">
        <f>B77*B78*B79/1000-B77*B78*B79/1000/B80</f>
        <v>362.26666666666665</v>
      </c>
    </row>
    <row r="6" spans="1:16">
      <c r="A6" s="16" t="s">
        <v>624</v>
      </c>
      <c r="B6" s="788">
        <f>kWh_PV_kleiner_dan_10kW</f>
        <v>2573.5150941734346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17144.956782173434</v>
      </c>
      <c r="C8" s="21">
        <f>C5</f>
        <v>0</v>
      </c>
      <c r="D8" s="21">
        <f>D5</f>
        <v>20075.571044495999</v>
      </c>
      <c r="E8" s="21">
        <f>E5</f>
        <v>13714.749889016211</v>
      </c>
      <c r="F8" s="21">
        <f>F5</f>
        <v>18631.484777409594</v>
      </c>
      <c r="G8" s="21"/>
      <c r="H8" s="21"/>
      <c r="I8" s="21"/>
      <c r="J8" s="21">
        <f>J5</f>
        <v>5961.85213128961</v>
      </c>
      <c r="K8" s="21"/>
      <c r="L8" s="21">
        <f>L5</f>
        <v>0</v>
      </c>
      <c r="M8" s="21">
        <f>M5</f>
        <v>0</v>
      </c>
      <c r="N8" s="21">
        <f>N5</f>
        <v>15351.941733105534</v>
      </c>
      <c r="O8" s="21">
        <f>O5</f>
        <v>231.37333333333333</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0.12445912196141692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2133.8462671757457</v>
      </c>
      <c r="C12" s="23">
        <f ca="1">C10*C8</f>
        <v>0</v>
      </c>
      <c r="D12" s="23">
        <f>D8*D10</f>
        <v>4055.265350988192</v>
      </c>
      <c r="E12" s="23">
        <f>E10*E8</f>
        <v>3113.2482248066799</v>
      </c>
      <c r="F12" s="23">
        <f>F10*F8</f>
        <v>4974.606435568362</v>
      </c>
      <c r="G12" s="23"/>
      <c r="H12" s="23"/>
      <c r="I12" s="23"/>
      <c r="J12" s="23">
        <f>J10*J8</f>
        <v>2110.4956544765218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v>
      </c>
      <c r="C18" s="166" t="s">
        <v>111</v>
      </c>
      <c r="D18" s="228"/>
      <c r="E18" s="15"/>
    </row>
    <row r="19" spans="1:7">
      <c r="A19" s="171" t="s">
        <v>72</v>
      </c>
      <c r="B19" s="37">
        <f>aantalw2001_ander</f>
        <v>1</v>
      </c>
      <c r="C19" s="166" t="s">
        <v>111</v>
      </c>
      <c r="D19" s="229"/>
      <c r="E19" s="15"/>
    </row>
    <row r="20" spans="1:7">
      <c r="A20" s="171" t="s">
        <v>73</v>
      </c>
      <c r="B20" s="37">
        <f>aantalw2001_propaan</f>
        <v>307</v>
      </c>
      <c r="C20" s="167">
        <f>IF(ISERROR(B20/SUM($B$20,$B$21,$B$22)*100),0,B20/SUM($B$20,$B$21,$B$22)*100)</f>
        <v>42.403314917127069</v>
      </c>
      <c r="D20" s="229"/>
      <c r="E20" s="15"/>
    </row>
    <row r="21" spans="1:7">
      <c r="A21" s="171" t="s">
        <v>74</v>
      </c>
      <c r="B21" s="37">
        <f>aantalw2001_elektriciteit</f>
        <v>296</v>
      </c>
      <c r="C21" s="167">
        <f>IF(ISERROR(B21/SUM($B$20,$B$21,$B$22)*100),0,B21/SUM($B$20,$B$21,$B$22)*100)</f>
        <v>40.883977900552487</v>
      </c>
      <c r="D21" s="229"/>
      <c r="E21" s="15"/>
    </row>
    <row r="22" spans="1:7">
      <c r="A22" s="171" t="s">
        <v>75</v>
      </c>
      <c r="B22" s="37">
        <f>aantalw2001_hout</f>
        <v>121</v>
      </c>
      <c r="C22" s="167">
        <f>IF(ISERROR(B22/SUM($B$20,$B$21,$B$22)*100),0,B22/SUM($B$20,$B$21,$B$22)*100)</f>
        <v>16.71270718232044</v>
      </c>
      <c r="D22" s="229"/>
      <c r="E22" s="15"/>
    </row>
    <row r="23" spans="1:7">
      <c r="A23" s="171" t="s">
        <v>76</v>
      </c>
      <c r="B23" s="37">
        <f>aantalw2001_niet_gespec</f>
        <v>54</v>
      </c>
      <c r="C23" s="166" t="s">
        <v>111</v>
      </c>
      <c r="D23" s="228"/>
      <c r="E23" s="15"/>
    </row>
    <row r="24" spans="1:7">
      <c r="A24" s="171" t="s">
        <v>77</v>
      </c>
      <c r="B24" s="37">
        <f>aantalw2001_steenkool</f>
        <v>320</v>
      </c>
      <c r="C24" s="166" t="s">
        <v>111</v>
      </c>
      <c r="D24" s="229"/>
      <c r="E24" s="15"/>
    </row>
    <row r="25" spans="1:7">
      <c r="A25" s="171" t="s">
        <v>78</v>
      </c>
      <c r="B25" s="37">
        <f>aantalw2001_stookolie</f>
        <v>1912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4021</v>
      </c>
      <c r="C28" s="36"/>
      <c r="D28" s="228"/>
    </row>
    <row r="29" spans="1:7" s="15" customFormat="1">
      <c r="A29" s="230" t="s">
        <v>699</v>
      </c>
      <c r="B29" s="37">
        <f>SUM(HH_hh_gas_aantal,HH_rest_gas_aantal)</f>
        <v>1614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1614</v>
      </c>
      <c r="C32" s="167">
        <f>IF(ISERROR(B32/SUM($B$32,$B$34,$B$35,$B$36,$B$38,$B$39)*100),0,B32/SUM($B$32,$B$34,$B$35,$B$36,$B$38,$B$39)*100)</f>
        <v>40.329835082458771</v>
      </c>
      <c r="D32" s="233"/>
      <c r="G32" s="15"/>
    </row>
    <row r="33" spans="1:7">
      <c r="A33" s="171" t="s">
        <v>72</v>
      </c>
      <c r="B33" s="34" t="s">
        <v>111</v>
      </c>
      <c r="C33" s="167"/>
      <c r="D33" s="233"/>
      <c r="G33" s="15"/>
    </row>
    <row r="34" spans="1:7">
      <c r="A34" s="171" t="s">
        <v>73</v>
      </c>
      <c r="B34" s="33">
        <f>IF((($B$28-$B$32-$B$39-$B$77-$B$38)*C20/100)&lt;0,0,($B$28-$B$32-$B$39-$B$77-$B$38)*C20/100)</f>
        <v>606.36740331491717</v>
      </c>
      <c r="C34" s="167">
        <f>IF(ISERROR(B34/SUM($B$32,$B$34,$B$35,$B$36,$B$38,$B$39)*100),0,B34/SUM($B$32,$B$34,$B$35,$B$36,$B$38,$B$39)*100)</f>
        <v>15.151609278233813</v>
      </c>
      <c r="D34" s="233"/>
      <c r="G34" s="15"/>
    </row>
    <row r="35" spans="1:7">
      <c r="A35" s="171" t="s">
        <v>74</v>
      </c>
      <c r="B35" s="33">
        <f>IF((($B$28-$B$32-$B$39-$B$77-$B$38)*C21/100)&lt;0,0,($B$28-$B$32-$B$39-$B$77-$B$38)*C21/100)</f>
        <v>584.64088397790067</v>
      </c>
      <c r="C35" s="167">
        <f>IF(ISERROR(B35/SUM($B$32,$B$34,$B$35,$B$36,$B$38,$B$39)*100),0,B35/SUM($B$32,$B$34,$B$35,$B$36,$B$38,$B$39)*100)</f>
        <v>14.608717740577228</v>
      </c>
      <c r="D35" s="233"/>
      <c r="G35" s="15"/>
    </row>
    <row r="36" spans="1:7">
      <c r="A36" s="171" t="s">
        <v>75</v>
      </c>
      <c r="B36" s="33">
        <f>IF((($B$28-$B$32-$B$39-$B$77-$B$38)*C22/100)&lt;0,0,($B$28-$B$32-$B$39-$B$77-$B$38)*C22/100)</f>
        <v>238.99171270718233</v>
      </c>
      <c r="C36" s="167">
        <f>IF(ISERROR(B36/SUM($B$32,$B$34,$B$35,$B$36,$B$38,$B$39)*100),0,B36/SUM($B$32,$B$34,$B$35,$B$36,$B$38,$B$39)*100)</f>
        <v>5.971806914222447</v>
      </c>
      <c r="D36" s="233"/>
      <c r="G36" s="15"/>
    </row>
    <row r="37" spans="1:7">
      <c r="A37" s="171" t="s">
        <v>76</v>
      </c>
      <c r="B37" s="34" t="s">
        <v>111</v>
      </c>
      <c r="C37" s="167"/>
      <c r="D37" s="173"/>
      <c r="G37" s="15"/>
    </row>
    <row r="38" spans="1:7">
      <c r="A38" s="171" t="s">
        <v>77</v>
      </c>
      <c r="B38" s="33">
        <f>IF((B24-(B29-B18)*0.1)&lt;0,0,B24-(B29-B18)*0.1)</f>
        <v>192.6</v>
      </c>
      <c r="C38" s="167">
        <f>IF(ISERROR(B38/SUM($B$32,$B$34,$B$35,$B$36,$B$38,$B$39)*100),0,B38/SUM($B$32,$B$34,$B$35,$B$36,$B$38,$B$39)*100)</f>
        <v>4.8125937031484254</v>
      </c>
      <c r="D38" s="234"/>
      <c r="G38" s="15"/>
    </row>
    <row r="39" spans="1:7">
      <c r="A39" s="171" t="s">
        <v>78</v>
      </c>
      <c r="B39" s="33">
        <f>IF((B25-(B29-B18))&lt;0,0,B25-(B29-B18)*0.9)</f>
        <v>765.39999999999986</v>
      </c>
      <c r="C39" s="167">
        <f>IF(ISERROR(B39/SUM($B$32,$B$34,$B$35,$B$36,$B$38,$B$39)*100),0,B39/SUM($B$32,$B$34,$B$35,$B$36,$B$38,$B$39)*100)</f>
        <v>19.125437281359318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1614</v>
      </c>
      <c r="C44" s="34" t="s">
        <v>111</v>
      </c>
      <c r="D44" s="174"/>
    </row>
    <row r="45" spans="1:7">
      <c r="A45" s="171" t="s">
        <v>72</v>
      </c>
      <c r="B45" s="33" t="str">
        <f t="shared" si="0"/>
        <v>-</v>
      </c>
      <c r="C45" s="34" t="s">
        <v>111</v>
      </c>
      <c r="D45" s="174"/>
    </row>
    <row r="46" spans="1:7">
      <c r="A46" s="171" t="s">
        <v>73</v>
      </c>
      <c r="B46" s="33">
        <f t="shared" si="0"/>
        <v>606.36740331491717</v>
      </c>
      <c r="C46" s="34" t="s">
        <v>111</v>
      </c>
      <c r="D46" s="174"/>
    </row>
    <row r="47" spans="1:7">
      <c r="A47" s="171" t="s">
        <v>74</v>
      </c>
      <c r="B47" s="33">
        <f t="shared" si="0"/>
        <v>584.64088397790067</v>
      </c>
      <c r="C47" s="34" t="s">
        <v>111</v>
      </c>
      <c r="D47" s="174"/>
    </row>
    <row r="48" spans="1:7">
      <c r="A48" s="171" t="s">
        <v>75</v>
      </c>
      <c r="B48" s="33">
        <f t="shared" si="0"/>
        <v>238.99171270718233</v>
      </c>
      <c r="C48" s="33">
        <f>B48*10</f>
        <v>2389.9171270718234</v>
      </c>
      <c r="D48" s="234"/>
    </row>
    <row r="49" spans="1:6">
      <c r="A49" s="171" t="s">
        <v>76</v>
      </c>
      <c r="B49" s="33" t="str">
        <f t="shared" si="0"/>
        <v>-</v>
      </c>
      <c r="C49" s="34" t="s">
        <v>111</v>
      </c>
      <c r="D49" s="234"/>
    </row>
    <row r="50" spans="1:6">
      <c r="A50" s="171" t="s">
        <v>77</v>
      </c>
      <c r="B50" s="33">
        <f t="shared" si="0"/>
        <v>192.6</v>
      </c>
      <c r="C50" s="33">
        <f>B50*2</f>
        <v>385.2</v>
      </c>
      <c r="D50" s="234"/>
    </row>
    <row r="51" spans="1:6">
      <c r="A51" s="171" t="s">
        <v>78</v>
      </c>
      <c r="B51" s="33">
        <f t="shared" si="0"/>
        <v>765.39999999999986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15736.495949909</v>
      </c>
      <c r="C5" s="17">
        <f>IF(ISERROR('Eigen informatie GS &amp; warmtenet'!B58),0,'Eigen informatie GS &amp; warmtenet'!B58)</f>
        <v>0</v>
      </c>
      <c r="D5" s="30">
        <f>SUM(D6:D12)</f>
        <v>7898.7561970528204</v>
      </c>
      <c r="E5" s="17">
        <f>SUM(E6:E12)</f>
        <v>261.58257896724109</v>
      </c>
      <c r="F5" s="17">
        <f>SUM(F6:F12)</f>
        <v>3916.9729814027669</v>
      </c>
      <c r="G5" s="18"/>
      <c r="H5" s="17"/>
      <c r="I5" s="17"/>
      <c r="J5" s="17">
        <f>SUM(J6:J12)</f>
        <v>0</v>
      </c>
      <c r="K5" s="17"/>
      <c r="L5" s="17"/>
      <c r="M5" s="17"/>
      <c r="N5" s="17">
        <f>SUM(N6:N12)</f>
        <v>1817.0267026496467</v>
      </c>
      <c r="O5" s="17">
        <f>B38*B39*B40</f>
        <v>1.5633333333333335</v>
      </c>
      <c r="P5" s="17">
        <f>B46*B47*B48/1000-B46*B47*B48/1000/B49</f>
        <v>19.066666666666666</v>
      </c>
      <c r="R5" s="32"/>
    </row>
    <row r="6" spans="1:18">
      <c r="A6" s="32" t="s">
        <v>54</v>
      </c>
      <c r="B6" s="37">
        <f>B26</f>
        <v>646.49096835</v>
      </c>
      <c r="C6" s="33"/>
      <c r="D6" s="37">
        <f>IF(ISERROR(TER_kantoor_gas_kWh/1000),0,TER_kantoor_gas_kWh/1000)*0.902</f>
        <v>90.978192860059991</v>
      </c>
      <c r="E6" s="33">
        <f>$C$26*'E Balans VL '!I12/100/3.6*1000000</f>
        <v>8.4633631370988986</v>
      </c>
      <c r="F6" s="33">
        <f>$C$26*('E Balans VL '!L12+'E Balans VL '!N12)/100/3.6*1000000</f>
        <v>164.84851634113576</v>
      </c>
      <c r="G6" s="34"/>
      <c r="H6" s="33"/>
      <c r="I6" s="33"/>
      <c r="J6" s="33">
        <f>$C$26*('E Balans VL '!D12+'E Balans VL '!E12)/100/3.6*1000000</f>
        <v>0</v>
      </c>
      <c r="K6" s="33"/>
      <c r="L6" s="33"/>
      <c r="M6" s="33"/>
      <c r="N6" s="33">
        <f>$C$26*'E Balans VL '!Y12/100/3.6*1000000</f>
        <v>0.64866799205804604</v>
      </c>
      <c r="O6" s="33"/>
      <c r="P6" s="33"/>
      <c r="R6" s="32"/>
    </row>
    <row r="7" spans="1:18">
      <c r="A7" s="32" t="s">
        <v>53</v>
      </c>
      <c r="B7" s="37">
        <f t="shared" ref="B7:B12" si="0">B27</f>
        <v>626.01059741000006</v>
      </c>
      <c r="C7" s="33"/>
      <c r="D7" s="37">
        <f>IF(ISERROR(TER_horeca_gas_kWh/1000),0,TER_horeca_gas_kWh/1000)*0.902</f>
        <v>413.63665737394001</v>
      </c>
      <c r="E7" s="33">
        <f>$C$27*'E Balans VL '!I9/100/3.6*1000000</f>
        <v>20.717142879546376</v>
      </c>
      <c r="F7" s="33">
        <f>$C$27*('E Balans VL '!L9+'E Balans VL '!N9)/100/3.6*1000000</f>
        <v>269.1821577230844</v>
      </c>
      <c r="G7" s="34"/>
      <c r="H7" s="33"/>
      <c r="I7" s="33"/>
      <c r="J7" s="33">
        <f>$C$27*('E Balans VL '!D9+'E Balans VL '!E9)/100/3.6*1000000</f>
        <v>0</v>
      </c>
      <c r="K7" s="33"/>
      <c r="L7" s="33"/>
      <c r="M7" s="33"/>
      <c r="N7" s="33">
        <f>$C$27*'E Balans VL '!Y9/100/3.6*1000000</f>
        <v>0.15068984146807973</v>
      </c>
      <c r="O7" s="33"/>
      <c r="P7" s="33"/>
      <c r="R7" s="32"/>
    </row>
    <row r="8" spans="1:18">
      <c r="A8" s="6" t="s">
        <v>52</v>
      </c>
      <c r="B8" s="37">
        <f t="shared" si="0"/>
        <v>2074.1707479000002</v>
      </c>
      <c r="C8" s="33"/>
      <c r="D8" s="37">
        <f>IF(ISERROR(TER_handel_gas_kWh/1000),0,TER_handel_gas_kWh/1000)*0.902</f>
        <v>251.70683004962001</v>
      </c>
      <c r="E8" s="33">
        <f>$C$28*'E Balans VL '!I13/100/3.6*1000000</f>
        <v>65.463998042289376</v>
      </c>
      <c r="F8" s="33">
        <f>$C$28*('E Balans VL '!L13+'E Balans VL '!N13)/100/3.6*1000000</f>
        <v>406.78140754245709</v>
      </c>
      <c r="G8" s="34"/>
      <c r="H8" s="33"/>
      <c r="I8" s="33"/>
      <c r="J8" s="33">
        <f>$C$28*('E Balans VL '!D13+'E Balans VL '!E13)/100/3.6*1000000</f>
        <v>0</v>
      </c>
      <c r="K8" s="33"/>
      <c r="L8" s="33"/>
      <c r="M8" s="33"/>
      <c r="N8" s="33">
        <f>$C$28*'E Balans VL '!Y13/100/3.6*1000000</f>
        <v>2.4616379824502705</v>
      </c>
      <c r="O8" s="33"/>
      <c r="P8" s="33"/>
      <c r="R8" s="32"/>
    </row>
    <row r="9" spans="1:18">
      <c r="A9" s="32" t="s">
        <v>51</v>
      </c>
      <c r="B9" s="37">
        <f t="shared" si="0"/>
        <v>1732.5348492999999</v>
      </c>
      <c r="C9" s="33"/>
      <c r="D9" s="37">
        <f>IF(ISERROR(TER_gezond_gas_kWh/1000),0,TER_gezond_gas_kWh/1000)*0.902</f>
        <v>4293.5163899254003</v>
      </c>
      <c r="E9" s="33">
        <f>$C$29*'E Balans VL '!I10/100/3.6*1000000</f>
        <v>0.22181514489282925</v>
      </c>
      <c r="F9" s="33">
        <f>$C$29*('E Balans VL '!L10+'E Balans VL '!N10)/100/3.6*1000000</f>
        <v>360.95962629960906</v>
      </c>
      <c r="G9" s="34"/>
      <c r="H9" s="33"/>
      <c r="I9" s="33"/>
      <c r="J9" s="33">
        <f>$C$29*('E Balans VL '!D10+'E Balans VL '!E10)/100/3.6*1000000</f>
        <v>0</v>
      </c>
      <c r="K9" s="33"/>
      <c r="L9" s="33"/>
      <c r="M9" s="33"/>
      <c r="N9" s="33">
        <f>$C$29*'E Balans VL '!Y10/100/3.6*1000000</f>
        <v>20.349440708656118</v>
      </c>
      <c r="O9" s="33"/>
      <c r="P9" s="33"/>
      <c r="R9" s="32"/>
    </row>
    <row r="10" spans="1:18">
      <c r="A10" s="32" t="s">
        <v>50</v>
      </c>
      <c r="B10" s="37">
        <f t="shared" si="0"/>
        <v>1227.8282933</v>
      </c>
      <c r="C10" s="33"/>
      <c r="D10" s="37">
        <f>IF(ISERROR(TER_ander_gas_kWh/1000),0,TER_ander_gas_kWh/1000)*0.902</f>
        <v>1165.1123286044001</v>
      </c>
      <c r="E10" s="33">
        <f>$C$30*'E Balans VL '!I14/100/3.6*1000000</f>
        <v>1.8463650101607407</v>
      </c>
      <c r="F10" s="33">
        <f>$C$30*('E Balans VL '!L14+'E Balans VL '!N14)/100/3.6*1000000</f>
        <v>271.06490861043557</v>
      </c>
      <c r="G10" s="34"/>
      <c r="H10" s="33"/>
      <c r="I10" s="33"/>
      <c r="J10" s="33">
        <f>$C$30*('E Balans VL '!D14+'E Balans VL '!E14)/100/3.6*1000000</f>
        <v>0</v>
      </c>
      <c r="K10" s="33"/>
      <c r="L10" s="33"/>
      <c r="M10" s="33"/>
      <c r="N10" s="33">
        <f>$C$30*'E Balans VL '!Y14/100/3.6*1000000</f>
        <v>967.61132484908831</v>
      </c>
      <c r="O10" s="33"/>
      <c r="P10" s="33"/>
      <c r="R10" s="32"/>
    </row>
    <row r="11" spans="1:18">
      <c r="A11" s="32" t="s">
        <v>55</v>
      </c>
      <c r="B11" s="37">
        <f t="shared" si="0"/>
        <v>72.576827749000003</v>
      </c>
      <c r="C11" s="33"/>
      <c r="D11" s="37">
        <f>IF(ISERROR(TER_onderwijs_gas_kWh/1000),0,TER_onderwijs_gas_kWh/1000)*0.902</f>
        <v>270.16125096399998</v>
      </c>
      <c r="E11" s="33">
        <f>$C$31*'E Balans VL '!I11/100/3.6*1000000</f>
        <v>0.12781387558313137</v>
      </c>
      <c r="F11" s="33">
        <f>$C$31*('E Balans VL '!L11+'E Balans VL '!N11)/100/3.6*1000000</f>
        <v>33.510034647239358</v>
      </c>
      <c r="G11" s="34"/>
      <c r="H11" s="33"/>
      <c r="I11" s="33"/>
      <c r="J11" s="33">
        <f>$C$31*('E Balans VL '!D11+'E Balans VL '!E11)/100/3.6*1000000</f>
        <v>0</v>
      </c>
      <c r="K11" s="33"/>
      <c r="L11" s="33"/>
      <c r="M11" s="33"/>
      <c r="N11" s="33">
        <f>$C$31*'E Balans VL '!Y11/100/3.6*1000000</f>
        <v>0.13521163374527748</v>
      </c>
      <c r="O11" s="33"/>
      <c r="P11" s="33"/>
      <c r="R11" s="32"/>
    </row>
    <row r="12" spans="1:18">
      <c r="A12" s="32" t="s">
        <v>260</v>
      </c>
      <c r="B12" s="37">
        <f t="shared" si="0"/>
        <v>9356.883665899999</v>
      </c>
      <c r="C12" s="33"/>
      <c r="D12" s="37">
        <f>IF(ISERROR(TER_rest_gas_kWh/1000),0,TER_rest_gas_kWh/1000)*0.902</f>
        <v>1413.6445472753999</v>
      </c>
      <c r="E12" s="33">
        <f>$C$32*'E Balans VL '!I8/100/3.6*1000000</f>
        <v>164.74208087766974</v>
      </c>
      <c r="F12" s="33">
        <f>$C$32*('E Balans VL '!L8+'E Balans VL '!N8)/100/3.6*1000000</f>
        <v>2410.6263302388056</v>
      </c>
      <c r="G12" s="34"/>
      <c r="H12" s="33"/>
      <c r="I12" s="33"/>
      <c r="J12" s="33">
        <f>$C$32*('E Balans VL '!D8+'E Balans VL '!E8)/100/3.6*1000000</f>
        <v>0</v>
      </c>
      <c r="K12" s="33"/>
      <c r="L12" s="33"/>
      <c r="M12" s="33"/>
      <c r="N12" s="33">
        <f>$C$32*'E Balans VL '!Y8/100/3.6*1000000</f>
        <v>825.66972964218076</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15736.495949909</v>
      </c>
      <c r="C16" s="21">
        <f t="shared" ca="1" si="1"/>
        <v>0</v>
      </c>
      <c r="D16" s="21">
        <f t="shared" ca="1" si="1"/>
        <v>7898.7561970528204</v>
      </c>
      <c r="E16" s="21">
        <f t="shared" si="1"/>
        <v>261.58257896724109</v>
      </c>
      <c r="F16" s="21">
        <f t="shared" ca="1" si="1"/>
        <v>3916.9729814027669</v>
      </c>
      <c r="G16" s="21">
        <f t="shared" si="1"/>
        <v>0</v>
      </c>
      <c r="H16" s="21">
        <f t="shared" si="1"/>
        <v>0</v>
      </c>
      <c r="I16" s="21">
        <f t="shared" si="1"/>
        <v>0</v>
      </c>
      <c r="J16" s="21">
        <f t="shared" si="1"/>
        <v>0</v>
      </c>
      <c r="K16" s="21">
        <f t="shared" si="1"/>
        <v>0</v>
      </c>
      <c r="L16" s="21">
        <f t="shared" ca="1" si="1"/>
        <v>0</v>
      </c>
      <c r="M16" s="21">
        <f t="shared" si="1"/>
        <v>0</v>
      </c>
      <c r="N16" s="21">
        <f t="shared" ca="1" si="1"/>
        <v>1817.0267026496467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0.12445912196141692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1958.5504686750678</v>
      </c>
      <c r="C20" s="23">
        <f t="shared" ref="C20:P20" ca="1" si="2">C16*C18</f>
        <v>0</v>
      </c>
      <c r="D20" s="23">
        <f t="shared" ca="1" si="2"/>
        <v>1595.5487518046698</v>
      </c>
      <c r="E20" s="23">
        <f t="shared" si="2"/>
        <v>59.379245425563731</v>
      </c>
      <c r="F20" s="23">
        <f t="shared" ca="1" si="2"/>
        <v>1045.8317860345387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646.49096835</v>
      </c>
      <c r="C26" s="39">
        <f>IF(ISERROR(B26*3.6/1000000/'E Balans VL '!Z12*100),0,B26*3.6/1000000/'E Balans VL '!Z12*100)</f>
        <v>1.3848338781333349E-2</v>
      </c>
      <c r="D26" s="237" t="s">
        <v>660</v>
      </c>
      <c r="F26" s="6"/>
    </row>
    <row r="27" spans="1:18">
      <c r="A27" s="231" t="s">
        <v>53</v>
      </c>
      <c r="B27" s="33">
        <f>IF(ISERROR(TER_horeca_ele_kWh/1000),0,TER_horeca_ele_kWh/1000)</f>
        <v>626.01059741000006</v>
      </c>
      <c r="C27" s="39">
        <f>IF(ISERROR(B27*3.6/1000000/'E Balans VL '!Z9*100),0,B27*3.6/1000000/'E Balans VL '!Z9*100)</f>
        <v>5.0235174451526615E-2</v>
      </c>
      <c r="D27" s="237" t="s">
        <v>660</v>
      </c>
      <c r="F27" s="6"/>
    </row>
    <row r="28" spans="1:18">
      <c r="A28" s="171" t="s">
        <v>52</v>
      </c>
      <c r="B28" s="33">
        <f>IF(ISERROR(TER_handel_ele_kWh/1000),0,TER_handel_ele_kWh/1000)</f>
        <v>2074.1707479000002</v>
      </c>
      <c r="C28" s="39">
        <f>IF(ISERROR(B28*3.6/1000000/'E Balans VL '!Z13*100),0,B28*3.6/1000000/'E Balans VL '!Z13*100)</f>
        <v>6.1176140094171584E-2</v>
      </c>
      <c r="D28" s="237" t="s">
        <v>660</v>
      </c>
      <c r="F28" s="6"/>
    </row>
    <row r="29" spans="1:18">
      <c r="A29" s="231" t="s">
        <v>51</v>
      </c>
      <c r="B29" s="33">
        <f>IF(ISERROR(TER_gezond_ele_kWh/1000),0,TER_gezond_ele_kWh/1000)</f>
        <v>1732.5348492999999</v>
      </c>
      <c r="C29" s="39">
        <f>IF(ISERROR(B29*3.6/1000000/'E Balans VL '!Z10*100),0,B29*3.6/1000000/'E Balans VL '!Z10*100)</f>
        <v>0.18498827090403205</v>
      </c>
      <c r="D29" s="237" t="s">
        <v>660</v>
      </c>
      <c r="F29" s="6"/>
    </row>
    <row r="30" spans="1:18">
      <c r="A30" s="231" t="s">
        <v>50</v>
      </c>
      <c r="B30" s="33">
        <f>IF(ISERROR(TER_ander_ele_kWh/1000),0,TER_ander_ele_kWh/1000)</f>
        <v>1227.8282933</v>
      </c>
      <c r="C30" s="39">
        <f>IF(ISERROR(B30*3.6/1000000/'E Balans VL '!Z14*100),0,B30*3.6/1000000/'E Balans VL '!Z14*100)</f>
        <v>9.2742692480174041E-2</v>
      </c>
      <c r="D30" s="237" t="s">
        <v>660</v>
      </c>
      <c r="F30" s="6"/>
    </row>
    <row r="31" spans="1:18">
      <c r="A31" s="231" t="s">
        <v>55</v>
      </c>
      <c r="B31" s="33">
        <f>IF(ISERROR(TER_onderwijs_ele_kWh/1000),0,TER_onderwijs_ele_kWh/1000)</f>
        <v>72.576827749000003</v>
      </c>
      <c r="C31" s="39">
        <f>IF(ISERROR(B31*3.6/1000000/'E Balans VL '!Z11*100),0,B31*3.6/1000000/'E Balans VL '!Z11*100)</f>
        <v>1.4655684324204997E-2</v>
      </c>
      <c r="D31" s="237" t="s">
        <v>660</v>
      </c>
    </row>
    <row r="32" spans="1:18">
      <c r="A32" s="231" t="s">
        <v>260</v>
      </c>
      <c r="B32" s="33">
        <f>IF(ISERROR(TER_rest_ele_kWh/1000),0,TER_rest_ele_kWh/1000)</f>
        <v>9356.883665899999</v>
      </c>
      <c r="C32" s="39">
        <f>IF(ISERROR(B32*3.6/1000000/'E Balans VL '!Z8*100),0,B32*3.6/1000000/'E Balans VL '!Z8*100)</f>
        <v>7.7581594956820321E-2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4234.4199666159993</v>
      </c>
      <c r="C5" s="17">
        <f>IF(ISERROR('Eigen informatie GS &amp; warmtenet'!B59),0,'Eigen informatie GS &amp; warmtenet'!B59)</f>
        <v>0</v>
      </c>
      <c r="D5" s="30">
        <f>SUM(D6:D15)</f>
        <v>890.14023854681204</v>
      </c>
      <c r="E5" s="17">
        <f>SUM(E6:E15)</f>
        <v>806.17309291908134</v>
      </c>
      <c r="F5" s="17">
        <f>SUM(F6:F15)</f>
        <v>2814.2256001221631</v>
      </c>
      <c r="G5" s="18"/>
      <c r="H5" s="17"/>
      <c r="I5" s="17"/>
      <c r="J5" s="17">
        <f>SUM(J6:J15)</f>
        <v>8.1853209920097036</v>
      </c>
      <c r="K5" s="17"/>
      <c r="L5" s="17"/>
      <c r="M5" s="17"/>
      <c r="N5" s="17">
        <f>SUM(N6:N15)</f>
        <v>1203.7985057846493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85.074346806000008</v>
      </c>
      <c r="C8" s="33"/>
      <c r="D8" s="37">
        <f>IF( ISERROR(IND_metaal_Gas_kWH/1000),0,IND_metaal_Gas_kWH/1000)*0.902</f>
        <v>45.290445462152</v>
      </c>
      <c r="E8" s="33">
        <f>C30*'E Balans VL '!I18/100/3.6*1000000</f>
        <v>3.0612323654253872</v>
      </c>
      <c r="F8" s="33">
        <f>C30*'E Balans VL '!L18/100/3.6*1000000+C30*'E Balans VL '!N18/100/3.6*1000000</f>
        <v>37.149209436569556</v>
      </c>
      <c r="G8" s="34"/>
      <c r="H8" s="33"/>
      <c r="I8" s="33"/>
      <c r="J8" s="40">
        <f>C30*'E Balans VL '!D18/100/3.6*1000000+C30*'E Balans VL '!E18/100/3.6*1000000</f>
        <v>0</v>
      </c>
      <c r="K8" s="33"/>
      <c r="L8" s="33"/>
      <c r="M8" s="33"/>
      <c r="N8" s="33">
        <f>C30*'E Balans VL '!Y18/100/3.6*1000000</f>
        <v>4.2638684477721025</v>
      </c>
      <c r="O8" s="33"/>
      <c r="P8" s="33"/>
      <c r="R8" s="32"/>
    </row>
    <row r="9" spans="1:18">
      <c r="A9" s="6" t="s">
        <v>33</v>
      </c>
      <c r="B9" s="37">
        <f t="shared" si="0"/>
        <v>2909.6082809</v>
      </c>
      <c r="C9" s="33"/>
      <c r="D9" s="37">
        <f>IF( ISERROR(IND_andere_gas_kWh/1000),0,IND_andere_gas_kWh/1000)*0.902</f>
        <v>498.26552582135997</v>
      </c>
      <c r="E9" s="33">
        <f>C31*'E Balans VL '!I19/100/3.6*1000000</f>
        <v>742.46620155444657</v>
      </c>
      <c r="F9" s="33">
        <f>C31*'E Balans VL '!L19/100/3.6*1000000+C31*'E Balans VL '!N19/100/3.6*1000000</f>
        <v>2504.9540351943901</v>
      </c>
      <c r="G9" s="34"/>
      <c r="H9" s="33"/>
      <c r="I9" s="33"/>
      <c r="J9" s="40">
        <f>C31*'E Balans VL '!D19/100/3.6*1000000+C31*'E Balans VL '!E19/100/3.6*1000000</f>
        <v>0</v>
      </c>
      <c r="K9" s="33"/>
      <c r="L9" s="33"/>
      <c r="M9" s="33"/>
      <c r="N9" s="33">
        <f>C31*'E Balans VL '!Y19/100/3.6*1000000</f>
        <v>909.93415311438707</v>
      </c>
      <c r="O9" s="33"/>
      <c r="P9" s="33"/>
      <c r="R9" s="32"/>
    </row>
    <row r="10" spans="1:18">
      <c r="A10" s="6" t="s">
        <v>41</v>
      </c>
      <c r="B10" s="37">
        <f t="shared" si="0"/>
        <v>230.09082031</v>
      </c>
      <c r="C10" s="33"/>
      <c r="D10" s="37">
        <f>IF( ISERROR(IND_voed_gas_kWh/1000),0,IND_voed_gas_kWh/1000)*0.902</f>
        <v>174.66135461786001</v>
      </c>
      <c r="E10" s="33">
        <f>C32*'E Balans VL '!I20/100/3.6*1000000</f>
        <v>5.8492245928672828</v>
      </c>
      <c r="F10" s="33">
        <f>C32*'E Balans VL '!L20/100/3.6*1000000+C32*'E Balans VL '!N20/100/3.6*1000000</f>
        <v>52.066098675070364</v>
      </c>
      <c r="G10" s="34"/>
      <c r="H10" s="33"/>
      <c r="I10" s="33"/>
      <c r="J10" s="40">
        <f>C32*'E Balans VL '!D20/100/3.6*1000000+C32*'E Balans VL '!E20/100/3.6*1000000</f>
        <v>0</v>
      </c>
      <c r="K10" s="33"/>
      <c r="L10" s="33"/>
      <c r="M10" s="33"/>
      <c r="N10" s="33">
        <f>C32*'E Balans VL '!Y20/100/3.6*1000000</f>
        <v>86.290294473252928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1009.6465185999999</v>
      </c>
      <c r="C15" s="33"/>
      <c r="D15" s="37">
        <f>IF( ISERROR(IND_rest_gas_kWh/1000),0,IND_rest_gas_kWh/1000)*0.902</f>
        <v>171.92291264544002</v>
      </c>
      <c r="E15" s="33">
        <f>C37*'E Balans VL '!I15/100/3.6*1000000</f>
        <v>54.796434406342051</v>
      </c>
      <c r="F15" s="33">
        <f>C37*'E Balans VL '!L15/100/3.6*1000000+C37*'E Balans VL '!N15/100/3.6*1000000</f>
        <v>220.05625681613324</v>
      </c>
      <c r="G15" s="34"/>
      <c r="H15" s="33"/>
      <c r="I15" s="33"/>
      <c r="J15" s="40">
        <f>C37*'E Balans VL '!D15/100/3.6*1000000+C37*'E Balans VL '!E15/100/3.6*1000000</f>
        <v>8.1853209920097036</v>
      </c>
      <c r="K15" s="33"/>
      <c r="L15" s="33"/>
      <c r="M15" s="33"/>
      <c r="N15" s="33">
        <f>C37*'E Balans VL '!Y15/100/3.6*1000000</f>
        <v>203.31018974923703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4234.4199666159993</v>
      </c>
      <c r="C18" s="21">
        <f>C5+C16</f>
        <v>0</v>
      </c>
      <c r="D18" s="21">
        <f>MAX((D5+D16),0)</f>
        <v>890.14023854681204</v>
      </c>
      <c r="E18" s="21">
        <f>MAX((E5+E16),0)</f>
        <v>806.17309291908134</v>
      </c>
      <c r="F18" s="21">
        <f>MAX((F5+F16),0)</f>
        <v>2814.2256001221631</v>
      </c>
      <c r="G18" s="21"/>
      <c r="H18" s="21"/>
      <c r="I18" s="21"/>
      <c r="J18" s="21">
        <f>MAX((J5+J16),0)</f>
        <v>8.1853209920097036</v>
      </c>
      <c r="K18" s="21"/>
      <c r="L18" s="21">
        <f>MAX((L5+L16),0)</f>
        <v>0</v>
      </c>
      <c r="M18" s="21"/>
      <c r="N18" s="21">
        <f>MAX((N5+N16),0)</f>
        <v>1203.7985057846493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0.12445912196141692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527.01219106091969</v>
      </c>
      <c r="C22" s="23">
        <f ca="1">C18*C20</f>
        <v>0</v>
      </c>
      <c r="D22" s="23">
        <f>D18*D20</f>
        <v>179.80832818645604</v>
      </c>
      <c r="E22" s="23">
        <f>E18*E20</f>
        <v>183.00129209263147</v>
      </c>
      <c r="F22" s="23">
        <f>F18*F20</f>
        <v>751.39823523261759</v>
      </c>
      <c r="G22" s="23"/>
      <c r="H22" s="23"/>
      <c r="I22" s="23"/>
      <c r="J22" s="23">
        <f>J18*J20</f>
        <v>2.8976036311714348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85.074346806000008</v>
      </c>
      <c r="C30" s="39">
        <f>IF(ISERROR(B30*3.6/1000000/'E Balans VL '!Z18*100),0,B30*3.6/1000000/'E Balans VL '!Z18*100)</f>
        <v>1.8025430142266964E-2</v>
      </c>
      <c r="D30" s="237" t="s">
        <v>660</v>
      </c>
    </row>
    <row r="31" spans="1:18">
      <c r="A31" s="6" t="s">
        <v>33</v>
      </c>
      <c r="B31" s="37">
        <f>IF( ISERROR(IND_ander_ele_kWh/1000),0,IND_ander_ele_kWh/1000)</f>
        <v>2909.6082809</v>
      </c>
      <c r="C31" s="39">
        <f>IF(ISERROR(B31*3.6/1000000/'E Balans VL '!Z19*100),0,B31*3.6/1000000/'E Balans VL '!Z19*100)</f>
        <v>0.12247201928916446</v>
      </c>
      <c r="D31" s="237" t="s">
        <v>660</v>
      </c>
    </row>
    <row r="32" spans="1:18">
      <c r="A32" s="171" t="s">
        <v>41</v>
      </c>
      <c r="B32" s="37">
        <f>IF( ISERROR(IND_voed_ele_kWh/1000),0,IND_voed_ele_kWh/1000)</f>
        <v>230.09082031</v>
      </c>
      <c r="C32" s="39">
        <f>IF(ISERROR(B32*3.6/1000000/'E Balans VL '!Z20*100),0,B32*3.6/1000000/'E Balans VL '!Z20*100)</f>
        <v>3.8439274831371099E-2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1009.6465185999999</v>
      </c>
      <c r="C37" s="39">
        <f>IF(ISERROR(B37*3.6/1000000/'E Balans VL '!Z15*100),0,B37*3.6/1000000/'E Balans VL '!Z15*100)</f>
        <v>8.1512672977086444E-3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4535.5818851109998</v>
      </c>
      <c r="C5" s="17">
        <f>'Eigen informatie GS &amp; warmtenet'!B60</f>
        <v>0</v>
      </c>
      <c r="D5" s="30">
        <f>IF(ISERROR(SUM(LB_lb_gas_kWh,LB_rest_gas_kWh)/1000),0,SUM(LB_lb_gas_kWh,LB_rest_gas_kWh)/1000)*0.902</f>
        <v>880.62865088028605</v>
      </c>
      <c r="E5" s="17">
        <f>B17*'E Balans VL '!I25/3.6*1000000/100</f>
        <v>116.95524219596103</v>
      </c>
      <c r="F5" s="17">
        <f>B17*('E Balans VL '!L25/3.6*1000000+'E Balans VL '!N25/3.6*1000000)/100</f>
        <v>16578.415549691752</v>
      </c>
      <c r="G5" s="18"/>
      <c r="H5" s="17"/>
      <c r="I5" s="17"/>
      <c r="J5" s="17">
        <f>('E Balans VL '!D25+'E Balans VL '!E25)/3.6*1000000*landbouw!B17/100</f>
        <v>652.9569425605448</v>
      </c>
      <c r="K5" s="17"/>
      <c r="L5" s="17">
        <f>L6*(-1)</f>
        <v>0</v>
      </c>
      <c r="M5" s="17"/>
      <c r="N5" s="17">
        <f>N6*(-1)</f>
        <v>36385.71428571429</v>
      </c>
      <c r="O5" s="17"/>
      <c r="P5" s="17"/>
      <c r="R5" s="32"/>
    </row>
    <row r="6" spans="1:18">
      <c r="A6" s="16" t="s">
        <v>491</v>
      </c>
      <c r="B6" s="17" t="s">
        <v>211</v>
      </c>
      <c r="C6" s="17">
        <f>'lokale energieproductie'!O92+'lokale energieproductie'!O61</f>
        <v>18192.857142857145</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4535.5818851109998</v>
      </c>
      <c r="C8" s="21">
        <f>C5+C6</f>
        <v>18192.857142857145</v>
      </c>
      <c r="D8" s="21">
        <f>MAX((D5+D6),0)</f>
        <v>880.62865088028605</v>
      </c>
      <c r="E8" s="21">
        <f>MAX((E5+E6),0)</f>
        <v>116.95524219596103</v>
      </c>
      <c r="F8" s="21">
        <f>MAX((F5+F6),0)</f>
        <v>16578.415549691752</v>
      </c>
      <c r="G8" s="21"/>
      <c r="H8" s="21"/>
      <c r="I8" s="21"/>
      <c r="J8" s="21">
        <f>MAX((J5+J6),0)</f>
        <v>652.9569425605448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0.12445912196141692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564.49453900502317</v>
      </c>
      <c r="C12" s="23">
        <f ca="1">C8*C10</f>
        <v>0</v>
      </c>
      <c r="D12" s="23">
        <f>D8*D10</f>
        <v>177.8869874778178</v>
      </c>
      <c r="E12" s="23">
        <f>E8*E10</f>
        <v>26.548839978483155</v>
      </c>
      <c r="F12" s="23">
        <f>F8*F10</f>
        <v>4426.4369517676978</v>
      </c>
      <c r="G12" s="23"/>
      <c r="H12" s="23"/>
      <c r="I12" s="23"/>
      <c r="J12" s="23">
        <f>J8*J10</f>
        <v>231.14675766643285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0.63954708882140709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660.34646168689869</v>
      </c>
      <c r="C26" s="247">
        <f>B26*'GWP N2O_CH4'!B5</f>
        <v>13867.275695424873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418.20126038504816</v>
      </c>
      <c r="C27" s="247">
        <f>B27*'GWP N2O_CH4'!B5</f>
        <v>8782.2264680860117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9.1718488456697767</v>
      </c>
      <c r="C28" s="247">
        <f>B28*'GWP N2O_CH4'!B4</f>
        <v>2843.2731421576309</v>
      </c>
      <c r="D28" s="50"/>
    </row>
    <row r="29" spans="1:4">
      <c r="A29" s="41" t="s">
        <v>277</v>
      </c>
      <c r="B29" s="247">
        <f>B34*'ha_N2O bodem landbouw'!B4</f>
        <v>26.872482209873578</v>
      </c>
      <c r="C29" s="247">
        <f>B29*'GWP N2O_CH4'!B4</f>
        <v>8330.4694850608084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6.0477687903838845E-3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4.4869251175026613E-5</v>
      </c>
      <c r="C5" s="463" t="s">
        <v>211</v>
      </c>
      <c r="D5" s="448">
        <f>SUM(D6:D11)</f>
        <v>1.1938686947218849E-4</v>
      </c>
      <c r="E5" s="448">
        <f>SUM(E6:E11)</f>
        <v>4.4928076312342646E-4</v>
      </c>
      <c r="F5" s="461" t="s">
        <v>211</v>
      </c>
      <c r="G5" s="448">
        <f>SUM(G6:G11)</f>
        <v>0.13875531457776502</v>
      </c>
      <c r="H5" s="448">
        <f>SUM(H6:H11)</f>
        <v>3.1762335993057916E-2</v>
      </c>
      <c r="I5" s="463" t="s">
        <v>211</v>
      </c>
      <c r="J5" s="463" t="s">
        <v>211</v>
      </c>
      <c r="K5" s="463" t="s">
        <v>211</v>
      </c>
      <c r="L5" s="463" t="s">
        <v>211</v>
      </c>
      <c r="M5" s="448">
        <f>SUM(M6:M11)</f>
        <v>5.3232781560744362E-3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2.5126836639767048E-5</v>
      </c>
      <c r="C6" s="449"/>
      <c r="D6" s="892">
        <f>vkm_2011_GW_PW*SUMIFS(TableVerdeelsleutelVkm[CNG],TableVerdeelsleutelVkm[Voertuigtype],"Lichte voertuigen")*SUMIFS(TableECFTransport[EnergieConsumptieFactor (PJ per km)],TableECFTransport[Index],CONCATENATE($A6,"_CNG_CNG"))</f>
        <v>4.9927464538317032E-5</v>
      </c>
      <c r="E6" s="892">
        <f>vkm_2011_GW_PW*SUMIFS(TableVerdeelsleutelVkm[LPG],TableVerdeelsleutelVkm[Voertuigtype],"Lichte voertuigen")*SUMIFS(TableECFTransport[EnergieConsumptieFactor (PJ per km)],TableECFTransport[Index],CONCATENATE($A6,"_LPG_LPG"))</f>
        <v>1.9648247061262636E-4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4.6716789804995482E-2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1.3516866685086233E-2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1.8769363568025841E-3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2.2101105801079081E-2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7.1396011895031818E-6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6.9637202741898679E-4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1.9742414535259568E-5</v>
      </c>
      <c r="C8" s="449"/>
      <c r="D8" s="451">
        <f>vkm_2011_NGW_PW*SUMIFS(TableVerdeelsleutelVkm[CNG],TableVerdeelsleutelVkm[Voertuigtype],"Lichte voertuigen")*SUMIFS(TableECFTransport[EnergieConsumptieFactor (PJ per km)],TableECFTransport[Index],CONCATENATE($A8,"_CNG_CNG"))</f>
        <v>6.9459404933871455E-5</v>
      </c>
      <c r="E8" s="451">
        <f>vkm_2011_NGW_PW*SUMIFS(TableVerdeelsleutelVkm[LPG],TableVerdeelsleutelVkm[Voertuigtype],"Lichte voertuigen")*SUMIFS(TableECFTransport[EnergieConsumptieFactor (PJ per km)],TableECFTransport[Index],CONCATENATE($A8,"_LPG_LPG"))</f>
        <v>2.5279829251080007E-4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5.6128327356128813E-2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1.8234110912204882E-2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2.3148736863223014E-3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1.3809091615561632E-2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4.2187945772967032E-6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4.3509608553056391E-4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12.463680881951836</v>
      </c>
      <c r="C14" s="21"/>
      <c r="D14" s="21">
        <f t="shared" ref="D14:M14" si="0">((D5)*10^9/3600)+D12</f>
        <v>33.163019297830132</v>
      </c>
      <c r="E14" s="21">
        <f t="shared" si="0"/>
        <v>124.80021197872958</v>
      </c>
      <c r="F14" s="21"/>
      <c r="G14" s="21">
        <f t="shared" si="0"/>
        <v>38543.142938268058</v>
      </c>
      <c r="H14" s="21">
        <f t="shared" si="0"/>
        <v>8822.8711091827554</v>
      </c>
      <c r="I14" s="21"/>
      <c r="J14" s="21"/>
      <c r="K14" s="21"/>
      <c r="L14" s="21"/>
      <c r="M14" s="21">
        <f t="shared" si="0"/>
        <v>1478.6883766873434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0.12445912196141692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1.551218778975024</v>
      </c>
      <c r="C18" s="23"/>
      <c r="D18" s="23">
        <f t="shared" ref="D18:M18" si="1">D14*D16</f>
        <v>6.6989298981616869</v>
      </c>
      <c r="E18" s="23">
        <f t="shared" si="1"/>
        <v>28.329648119171615</v>
      </c>
      <c r="F18" s="23"/>
      <c r="G18" s="23">
        <f t="shared" si="1"/>
        <v>10291.019164517573</v>
      </c>
      <c r="H18" s="23">
        <f t="shared" si="1"/>
        <v>2196.894906186506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2.2504074670641767E-3</v>
      </c>
      <c r="H50" s="321">
        <f t="shared" si="2"/>
        <v>0</v>
      </c>
      <c r="I50" s="321">
        <f t="shared" si="2"/>
        <v>0</v>
      </c>
      <c r="J50" s="321">
        <f t="shared" si="2"/>
        <v>0</v>
      </c>
      <c r="K50" s="321">
        <f t="shared" si="2"/>
        <v>0</v>
      </c>
      <c r="L50" s="321">
        <f t="shared" si="2"/>
        <v>0</v>
      </c>
      <c r="M50" s="321">
        <f t="shared" si="2"/>
        <v>6.9802605057054447E-5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2.2504074670641767E-3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6.9802605057054447E-5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625.11318529560458</v>
      </c>
      <c r="H54" s="21">
        <f t="shared" si="3"/>
        <v>0</v>
      </c>
      <c r="I54" s="21">
        <f t="shared" si="3"/>
        <v>0</v>
      </c>
      <c r="J54" s="21">
        <f t="shared" si="3"/>
        <v>0</v>
      </c>
      <c r="K54" s="21">
        <f t="shared" si="3"/>
        <v>0</v>
      </c>
      <c r="L54" s="21">
        <f t="shared" si="3"/>
        <v>0</v>
      </c>
      <c r="M54" s="21">
        <f t="shared" si="3"/>
        <v>19.389612515848459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0.12445912196141692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166.90522047392642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16530.755949908998</v>
      </c>
      <c r="D10" s="1012">
        <f ca="1">tertiair!C16</f>
        <v>0</v>
      </c>
      <c r="E10" s="1012">
        <f ca="1">tertiair!D16</f>
        <v>7898.7561970528204</v>
      </c>
      <c r="F10" s="1012">
        <f>tertiair!E16</f>
        <v>261.58257896724109</v>
      </c>
      <c r="G10" s="1012">
        <f ca="1">tertiair!F16</f>
        <v>3916.9729814027669</v>
      </c>
      <c r="H10" s="1012">
        <f>tertiair!G16</f>
        <v>0</v>
      </c>
      <c r="I10" s="1012">
        <f>tertiair!H16</f>
        <v>0</v>
      </c>
      <c r="J10" s="1012">
        <f>tertiair!I16</f>
        <v>0</v>
      </c>
      <c r="K10" s="1012">
        <f>tertiair!J16</f>
        <v>0</v>
      </c>
      <c r="L10" s="1012">
        <f>tertiair!K16</f>
        <v>0</v>
      </c>
      <c r="M10" s="1012">
        <f ca="1">tertiair!L16</f>
        <v>0</v>
      </c>
      <c r="N10" s="1012">
        <f>tertiair!M16</f>
        <v>0</v>
      </c>
      <c r="O10" s="1012">
        <f ca="1">tertiair!N16</f>
        <v>1817.0267026496467</v>
      </c>
      <c r="P10" s="1012">
        <f>tertiair!O16</f>
        <v>1.5633333333333335</v>
      </c>
      <c r="Q10" s="1013">
        <f>tertiair!P16</f>
        <v>19.066666666666666</v>
      </c>
      <c r="R10" s="700">
        <f ca="1">SUM(C10:Q10)</f>
        <v>30445.724409981471</v>
      </c>
      <c r="S10" s="67"/>
    </row>
    <row r="11" spans="1:19" s="473" customFormat="1">
      <c r="A11" s="809" t="s">
        <v>225</v>
      </c>
      <c r="B11" s="814"/>
      <c r="C11" s="1012">
        <f>huishoudens!B8</f>
        <v>17144.956782173434</v>
      </c>
      <c r="D11" s="1012">
        <f>huishoudens!C8</f>
        <v>0</v>
      </c>
      <c r="E11" s="1012">
        <f>huishoudens!D8</f>
        <v>20075.571044495999</v>
      </c>
      <c r="F11" s="1012">
        <f>huishoudens!E8</f>
        <v>13714.749889016211</v>
      </c>
      <c r="G11" s="1012">
        <f>huishoudens!F8</f>
        <v>18631.484777409594</v>
      </c>
      <c r="H11" s="1012">
        <f>huishoudens!G8</f>
        <v>0</v>
      </c>
      <c r="I11" s="1012">
        <f>huishoudens!H8</f>
        <v>0</v>
      </c>
      <c r="J11" s="1012">
        <f>huishoudens!I8</f>
        <v>0</v>
      </c>
      <c r="K11" s="1012">
        <f>huishoudens!J8</f>
        <v>5961.85213128961</v>
      </c>
      <c r="L11" s="1012">
        <f>huishoudens!K8</f>
        <v>0</v>
      </c>
      <c r="M11" s="1012">
        <f>huishoudens!L8</f>
        <v>0</v>
      </c>
      <c r="N11" s="1012">
        <f>huishoudens!M8</f>
        <v>0</v>
      </c>
      <c r="O11" s="1012">
        <f>huishoudens!N8</f>
        <v>15351.941733105534</v>
      </c>
      <c r="P11" s="1012">
        <f>huishoudens!O8</f>
        <v>231.37333333333333</v>
      </c>
      <c r="Q11" s="1013">
        <f>huishoudens!P8</f>
        <v>362.26666666666665</v>
      </c>
      <c r="R11" s="700">
        <f>SUM(C11:Q11)</f>
        <v>91474.196357490378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4234.4199666159993</v>
      </c>
      <c r="D13" s="1012">
        <f>industrie!C18</f>
        <v>0</v>
      </c>
      <c r="E13" s="1012">
        <f>industrie!D18</f>
        <v>890.14023854681204</v>
      </c>
      <c r="F13" s="1012">
        <f>industrie!E18</f>
        <v>806.17309291908134</v>
      </c>
      <c r="G13" s="1012">
        <f>industrie!F18</f>
        <v>2814.2256001221631</v>
      </c>
      <c r="H13" s="1012">
        <f>industrie!G18</f>
        <v>0</v>
      </c>
      <c r="I13" s="1012">
        <f>industrie!H18</f>
        <v>0</v>
      </c>
      <c r="J13" s="1012">
        <f>industrie!I18</f>
        <v>0</v>
      </c>
      <c r="K13" s="1012">
        <f>industrie!J18</f>
        <v>8.1853209920097036</v>
      </c>
      <c r="L13" s="1012">
        <f>industrie!K18</f>
        <v>0</v>
      </c>
      <c r="M13" s="1012">
        <f>industrie!L18</f>
        <v>0</v>
      </c>
      <c r="N13" s="1012">
        <f>industrie!M18</f>
        <v>0</v>
      </c>
      <c r="O13" s="1012">
        <f>industrie!N18</f>
        <v>1203.7985057846493</v>
      </c>
      <c r="P13" s="1012">
        <f>industrie!O18</f>
        <v>0</v>
      </c>
      <c r="Q13" s="1013">
        <f>industrie!P18</f>
        <v>0</v>
      </c>
      <c r="R13" s="700">
        <f>SUM(C13:Q13)</f>
        <v>9956.942724980714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37910.132698698435</v>
      </c>
      <c r="D16" s="732">
        <f t="shared" ref="D16:R16" ca="1" si="0">SUM(D9:D15)</f>
        <v>0</v>
      </c>
      <c r="E16" s="732">
        <f t="shared" ca="1" si="0"/>
        <v>28864.467480095631</v>
      </c>
      <c r="F16" s="732">
        <f t="shared" si="0"/>
        <v>14782.505560902535</v>
      </c>
      <c r="G16" s="732">
        <f t="shared" ca="1" si="0"/>
        <v>25362.683358934526</v>
      </c>
      <c r="H16" s="732">
        <f t="shared" si="0"/>
        <v>0</v>
      </c>
      <c r="I16" s="732">
        <f t="shared" si="0"/>
        <v>0</v>
      </c>
      <c r="J16" s="732">
        <f t="shared" si="0"/>
        <v>0</v>
      </c>
      <c r="K16" s="732">
        <f t="shared" si="0"/>
        <v>5970.0374522816201</v>
      </c>
      <c r="L16" s="732">
        <f t="shared" si="0"/>
        <v>0</v>
      </c>
      <c r="M16" s="732">
        <f t="shared" ca="1" si="0"/>
        <v>0</v>
      </c>
      <c r="N16" s="732">
        <f t="shared" si="0"/>
        <v>0</v>
      </c>
      <c r="O16" s="732">
        <f t="shared" ca="1" si="0"/>
        <v>18372.76694153983</v>
      </c>
      <c r="P16" s="732">
        <f t="shared" si="0"/>
        <v>232.93666666666667</v>
      </c>
      <c r="Q16" s="732">
        <f t="shared" si="0"/>
        <v>381.33333333333331</v>
      </c>
      <c r="R16" s="732">
        <f t="shared" ca="1" si="0"/>
        <v>131876.86349245257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625.11318529560458</v>
      </c>
      <c r="I19" s="1012">
        <f>transport!H54</f>
        <v>0</v>
      </c>
      <c r="J19" s="1012">
        <f>transport!I54</f>
        <v>0</v>
      </c>
      <c r="K19" s="1012">
        <f>transport!J54</f>
        <v>0</v>
      </c>
      <c r="L19" s="1012">
        <f>transport!K54</f>
        <v>0</v>
      </c>
      <c r="M19" s="1012">
        <f>transport!L54</f>
        <v>0</v>
      </c>
      <c r="N19" s="1012">
        <f>transport!M54</f>
        <v>19.389612515848459</v>
      </c>
      <c r="O19" s="1012">
        <f>transport!N54</f>
        <v>0</v>
      </c>
      <c r="P19" s="1012">
        <f>transport!O54</f>
        <v>0</v>
      </c>
      <c r="Q19" s="1013">
        <f>transport!P54</f>
        <v>0</v>
      </c>
      <c r="R19" s="700">
        <f>SUM(C19:Q19)</f>
        <v>644.50279781145309</v>
      </c>
      <c r="S19" s="67"/>
    </row>
    <row r="20" spans="1:19" s="473" customFormat="1">
      <c r="A20" s="809" t="s">
        <v>307</v>
      </c>
      <c r="B20" s="814"/>
      <c r="C20" s="1012">
        <f>transport!B14</f>
        <v>12.463680881951836</v>
      </c>
      <c r="D20" s="1012">
        <f>transport!C14</f>
        <v>0</v>
      </c>
      <c r="E20" s="1012">
        <f>transport!D14</f>
        <v>33.163019297830132</v>
      </c>
      <c r="F20" s="1012">
        <f>transport!E14</f>
        <v>124.80021197872958</v>
      </c>
      <c r="G20" s="1012">
        <f>transport!F14</f>
        <v>0</v>
      </c>
      <c r="H20" s="1012">
        <f>transport!G14</f>
        <v>38543.142938268058</v>
      </c>
      <c r="I20" s="1012">
        <f>transport!H14</f>
        <v>8822.8711091827554</v>
      </c>
      <c r="J20" s="1012">
        <f>transport!I14</f>
        <v>0</v>
      </c>
      <c r="K20" s="1012">
        <f>transport!J14</f>
        <v>0</v>
      </c>
      <c r="L20" s="1012">
        <f>transport!K14</f>
        <v>0</v>
      </c>
      <c r="M20" s="1012">
        <f>transport!L14</f>
        <v>0</v>
      </c>
      <c r="N20" s="1012">
        <f>transport!M14</f>
        <v>1478.6883766873434</v>
      </c>
      <c r="O20" s="1012">
        <f>transport!N14</f>
        <v>0</v>
      </c>
      <c r="P20" s="1012">
        <f>transport!O14</f>
        <v>0</v>
      </c>
      <c r="Q20" s="1013">
        <f>transport!P14</f>
        <v>0</v>
      </c>
      <c r="R20" s="700">
        <f>SUM(C20:Q20)</f>
        <v>49015.129336296668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12.463680881951836</v>
      </c>
      <c r="D22" s="812">
        <f t="shared" ref="D22:R22" si="1">SUM(D18:D21)</f>
        <v>0</v>
      </c>
      <c r="E22" s="812">
        <f t="shared" si="1"/>
        <v>33.163019297830132</v>
      </c>
      <c r="F22" s="812">
        <f t="shared" si="1"/>
        <v>124.80021197872958</v>
      </c>
      <c r="G22" s="812">
        <f t="shared" si="1"/>
        <v>0</v>
      </c>
      <c r="H22" s="812">
        <f t="shared" si="1"/>
        <v>39168.25612356366</v>
      </c>
      <c r="I22" s="812">
        <f t="shared" si="1"/>
        <v>8822.8711091827554</v>
      </c>
      <c r="J22" s="812">
        <f t="shared" si="1"/>
        <v>0</v>
      </c>
      <c r="K22" s="812">
        <f t="shared" si="1"/>
        <v>0</v>
      </c>
      <c r="L22" s="812">
        <f t="shared" si="1"/>
        <v>0</v>
      </c>
      <c r="M22" s="812">
        <f t="shared" si="1"/>
        <v>0</v>
      </c>
      <c r="N22" s="812">
        <f t="shared" si="1"/>
        <v>1498.0779892031919</v>
      </c>
      <c r="O22" s="812">
        <f t="shared" si="1"/>
        <v>0</v>
      </c>
      <c r="P22" s="812">
        <f t="shared" si="1"/>
        <v>0</v>
      </c>
      <c r="Q22" s="812">
        <f t="shared" si="1"/>
        <v>0</v>
      </c>
      <c r="R22" s="812">
        <f t="shared" si="1"/>
        <v>49659.63213410812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4535.5818851109998</v>
      </c>
      <c r="D24" s="1012">
        <f>+landbouw!C8</f>
        <v>18192.857142857145</v>
      </c>
      <c r="E24" s="1012">
        <f>+landbouw!D8</f>
        <v>880.62865088028605</v>
      </c>
      <c r="F24" s="1012">
        <f>+landbouw!E8</f>
        <v>116.95524219596103</v>
      </c>
      <c r="G24" s="1012">
        <f>+landbouw!F8</f>
        <v>16578.415549691752</v>
      </c>
      <c r="H24" s="1012">
        <f>+landbouw!G8</f>
        <v>0</v>
      </c>
      <c r="I24" s="1012">
        <f>+landbouw!H8</f>
        <v>0</v>
      </c>
      <c r="J24" s="1012">
        <f>+landbouw!I8</f>
        <v>0</v>
      </c>
      <c r="K24" s="1012">
        <f>+landbouw!J8</f>
        <v>652.9569425605448</v>
      </c>
      <c r="L24" s="1012">
        <f>+landbouw!K8</f>
        <v>0</v>
      </c>
      <c r="M24" s="1012">
        <f>+landbouw!L8</f>
        <v>0</v>
      </c>
      <c r="N24" s="1012">
        <f>+landbouw!M8</f>
        <v>0</v>
      </c>
      <c r="O24" s="1012">
        <f>+landbouw!N8</f>
        <v>0</v>
      </c>
      <c r="P24" s="1012">
        <f>+landbouw!O8</f>
        <v>0</v>
      </c>
      <c r="Q24" s="1013">
        <f>+landbouw!P8</f>
        <v>0</v>
      </c>
      <c r="R24" s="700">
        <f>SUM(C24:Q24)</f>
        <v>40957.39541329669</v>
      </c>
      <c r="S24" s="67"/>
    </row>
    <row r="25" spans="1:19" s="473" customFormat="1" ht="15" thickBot="1">
      <c r="A25" s="831" t="s">
        <v>848</v>
      </c>
      <c r="B25" s="1015"/>
      <c r="C25" s="1016">
        <f>IF(Onbekend_ele_kWh="---",0,Onbekend_ele_kWh)/1000+IF(REST_rest_ele_kWh="---",0,REST_rest_ele_kWh)/1000</f>
        <v>477.69771263000001</v>
      </c>
      <c r="D25" s="1016"/>
      <c r="E25" s="1016">
        <f>IF(onbekend_gas_kWh="---",0,onbekend_gas_kWh)/1000+IF(REST_rest_gas_kWh="---",0,REST_rest_gas_kWh)/1000</f>
        <v>716.23867555000004</v>
      </c>
      <c r="F25" s="1016"/>
      <c r="G25" s="1016"/>
      <c r="H25" s="1016"/>
      <c r="I25" s="1016"/>
      <c r="J25" s="1016"/>
      <c r="K25" s="1016"/>
      <c r="L25" s="1016"/>
      <c r="M25" s="1016"/>
      <c r="N25" s="1016"/>
      <c r="O25" s="1016"/>
      <c r="P25" s="1016"/>
      <c r="Q25" s="1017"/>
      <c r="R25" s="700">
        <f>SUM(C25:Q25)</f>
        <v>1193.93638818</v>
      </c>
      <c r="S25" s="67"/>
    </row>
    <row r="26" spans="1:19" s="473" customFormat="1" ht="15.75" thickBot="1">
      <c r="A26" s="705" t="s">
        <v>849</v>
      </c>
      <c r="B26" s="817"/>
      <c r="C26" s="812">
        <f>SUM(C24:C25)</f>
        <v>5013.2795977409996</v>
      </c>
      <c r="D26" s="812">
        <f t="shared" ref="D26:R26" si="2">SUM(D24:D25)</f>
        <v>18192.857142857145</v>
      </c>
      <c r="E26" s="812">
        <f t="shared" si="2"/>
        <v>1596.8673264302861</v>
      </c>
      <c r="F26" s="812">
        <f t="shared" si="2"/>
        <v>116.95524219596103</v>
      </c>
      <c r="G26" s="812">
        <f t="shared" si="2"/>
        <v>16578.415549691752</v>
      </c>
      <c r="H26" s="812">
        <f t="shared" si="2"/>
        <v>0</v>
      </c>
      <c r="I26" s="812">
        <f t="shared" si="2"/>
        <v>0</v>
      </c>
      <c r="J26" s="812">
        <f t="shared" si="2"/>
        <v>0</v>
      </c>
      <c r="K26" s="812">
        <f t="shared" si="2"/>
        <v>652.9569425605448</v>
      </c>
      <c r="L26" s="812">
        <f t="shared" si="2"/>
        <v>0</v>
      </c>
      <c r="M26" s="812">
        <f t="shared" si="2"/>
        <v>0</v>
      </c>
      <c r="N26" s="812">
        <f t="shared" si="2"/>
        <v>0</v>
      </c>
      <c r="O26" s="812">
        <f t="shared" si="2"/>
        <v>0</v>
      </c>
      <c r="P26" s="812">
        <f t="shared" si="2"/>
        <v>0</v>
      </c>
      <c r="Q26" s="812">
        <f t="shared" si="2"/>
        <v>0</v>
      </c>
      <c r="R26" s="812">
        <f t="shared" si="2"/>
        <v>42151.331801476692</v>
      </c>
      <c r="S26" s="67"/>
    </row>
    <row r="27" spans="1:19" s="473" customFormat="1" ht="17.25" thickTop="1" thickBot="1">
      <c r="A27" s="706" t="s">
        <v>116</v>
      </c>
      <c r="B27" s="805"/>
      <c r="C27" s="707">
        <f ca="1">C22+C16+C26</f>
        <v>42935.875977321382</v>
      </c>
      <c r="D27" s="707">
        <f t="shared" ref="D27:R27" ca="1" si="3">D22+D16+D26</f>
        <v>18192.857142857145</v>
      </c>
      <c r="E27" s="707">
        <f t="shared" ca="1" si="3"/>
        <v>30494.497825823746</v>
      </c>
      <c r="F27" s="707">
        <f t="shared" si="3"/>
        <v>15024.261015077225</v>
      </c>
      <c r="G27" s="707">
        <f t="shared" ca="1" si="3"/>
        <v>41941.098908626278</v>
      </c>
      <c r="H27" s="707">
        <f t="shared" si="3"/>
        <v>39168.25612356366</v>
      </c>
      <c r="I27" s="707">
        <f t="shared" si="3"/>
        <v>8822.8711091827554</v>
      </c>
      <c r="J27" s="707">
        <f t="shared" si="3"/>
        <v>0</v>
      </c>
      <c r="K27" s="707">
        <f t="shared" si="3"/>
        <v>6622.9943948421651</v>
      </c>
      <c r="L27" s="707">
        <f t="shared" si="3"/>
        <v>0</v>
      </c>
      <c r="M27" s="707">
        <f t="shared" ca="1" si="3"/>
        <v>0</v>
      </c>
      <c r="N27" s="707">
        <f t="shared" si="3"/>
        <v>1498.0779892031919</v>
      </c>
      <c r="O27" s="707">
        <f t="shared" ca="1" si="3"/>
        <v>18372.76694153983</v>
      </c>
      <c r="P27" s="707">
        <f t="shared" si="3"/>
        <v>232.93666666666667</v>
      </c>
      <c r="Q27" s="707">
        <f t="shared" si="3"/>
        <v>381.33333333333331</v>
      </c>
      <c r="R27" s="707">
        <f t="shared" ca="1" si="3"/>
        <v>223687.82742803739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2057.403370884143</v>
      </c>
      <c r="D40" s="1012">
        <f ca="1">tertiair!C20</f>
        <v>0</v>
      </c>
      <c r="E40" s="1012">
        <f ca="1">tertiair!D20</f>
        <v>1595.5487518046698</v>
      </c>
      <c r="F40" s="1012">
        <f>tertiair!E20</f>
        <v>59.379245425563731</v>
      </c>
      <c r="G40" s="1012">
        <f ca="1">tertiair!F20</f>
        <v>1045.8317860345387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4758.1631541489151</v>
      </c>
    </row>
    <row r="41" spans="1:18">
      <c r="A41" s="822" t="s">
        <v>225</v>
      </c>
      <c r="B41" s="829"/>
      <c r="C41" s="1012">
        <f ca="1">huishoudens!B12</f>
        <v>2133.8462671757457</v>
      </c>
      <c r="D41" s="1012">
        <f ca="1">huishoudens!C12</f>
        <v>0</v>
      </c>
      <c r="E41" s="1012">
        <f>huishoudens!D12</f>
        <v>4055.265350988192</v>
      </c>
      <c r="F41" s="1012">
        <f>huishoudens!E12</f>
        <v>3113.2482248066799</v>
      </c>
      <c r="G41" s="1012">
        <f>huishoudens!F12</f>
        <v>4974.606435568362</v>
      </c>
      <c r="H41" s="1012">
        <f>huishoudens!G12</f>
        <v>0</v>
      </c>
      <c r="I41" s="1012">
        <f>huishoudens!H12</f>
        <v>0</v>
      </c>
      <c r="J41" s="1012">
        <f>huishoudens!I12</f>
        <v>0</v>
      </c>
      <c r="K41" s="1012">
        <f>huishoudens!J12</f>
        <v>2110.4956544765218</v>
      </c>
      <c r="L41" s="1012">
        <f>huishoudens!K12</f>
        <v>0</v>
      </c>
      <c r="M41" s="1012">
        <f>huishoudens!L12</f>
        <v>0</v>
      </c>
      <c r="N41" s="1012">
        <f>huishoudens!M12</f>
        <v>0</v>
      </c>
      <c r="O41" s="1012">
        <f>huishoudens!N12</f>
        <v>0</v>
      </c>
      <c r="P41" s="1012">
        <f>huishoudens!O12</f>
        <v>0</v>
      </c>
      <c r="Q41" s="774">
        <f>huishoudens!P12</f>
        <v>0</v>
      </c>
      <c r="R41" s="850">
        <f t="shared" ca="1" si="4"/>
        <v>16387.461933015504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527.01219106091969</v>
      </c>
      <c r="D43" s="1012">
        <f ca="1">industrie!C22</f>
        <v>0</v>
      </c>
      <c r="E43" s="1012">
        <f>industrie!D22</f>
        <v>179.80832818645604</v>
      </c>
      <c r="F43" s="1012">
        <f>industrie!E22</f>
        <v>183.00129209263147</v>
      </c>
      <c r="G43" s="1012">
        <f>industrie!F22</f>
        <v>751.39823523261759</v>
      </c>
      <c r="H43" s="1012">
        <f>industrie!G22</f>
        <v>0</v>
      </c>
      <c r="I43" s="1012">
        <f>industrie!H22</f>
        <v>0</v>
      </c>
      <c r="J43" s="1012">
        <f>industrie!I22</f>
        <v>0</v>
      </c>
      <c r="K43" s="1012">
        <f>industrie!J22</f>
        <v>2.8976036311714348</v>
      </c>
      <c r="L43" s="1012">
        <f>industrie!K22</f>
        <v>0</v>
      </c>
      <c r="M43" s="1012">
        <f>industrie!L22</f>
        <v>0</v>
      </c>
      <c r="N43" s="1012">
        <f>industrie!M22</f>
        <v>0</v>
      </c>
      <c r="O43" s="1012">
        <f>industrie!N22</f>
        <v>0</v>
      </c>
      <c r="P43" s="1012">
        <f>industrie!O22</f>
        <v>0</v>
      </c>
      <c r="Q43" s="774">
        <f>industrie!P22</f>
        <v>0</v>
      </c>
      <c r="R43" s="849">
        <f t="shared" ca="1" si="4"/>
        <v>1644.1176502037963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4718.2618291208082</v>
      </c>
      <c r="D46" s="732">
        <f t="shared" ref="D46:Q46" ca="1" si="5">SUM(D39:D45)</f>
        <v>0</v>
      </c>
      <c r="E46" s="732">
        <f t="shared" ca="1" si="5"/>
        <v>5830.6224309793179</v>
      </c>
      <c r="F46" s="732">
        <f t="shared" si="5"/>
        <v>3355.628762324875</v>
      </c>
      <c r="G46" s="732">
        <f t="shared" ca="1" si="5"/>
        <v>6771.8364568355182</v>
      </c>
      <c r="H46" s="732">
        <f t="shared" si="5"/>
        <v>0</v>
      </c>
      <c r="I46" s="732">
        <f t="shared" si="5"/>
        <v>0</v>
      </c>
      <c r="J46" s="732">
        <f t="shared" si="5"/>
        <v>0</v>
      </c>
      <c r="K46" s="732">
        <f t="shared" si="5"/>
        <v>2113.3932581076933</v>
      </c>
      <c r="L46" s="732">
        <f t="shared" si="5"/>
        <v>0</v>
      </c>
      <c r="M46" s="732">
        <f t="shared" ca="1" si="5"/>
        <v>0</v>
      </c>
      <c r="N46" s="732">
        <f t="shared" si="5"/>
        <v>0</v>
      </c>
      <c r="O46" s="732">
        <f t="shared" ca="1" si="5"/>
        <v>0</v>
      </c>
      <c r="P46" s="732">
        <f t="shared" si="5"/>
        <v>0</v>
      </c>
      <c r="Q46" s="732">
        <f t="shared" si="5"/>
        <v>0</v>
      </c>
      <c r="R46" s="732">
        <f ca="1">SUM(R39:R45)</f>
        <v>22789.742737368215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166.90522047392642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166.90522047392642</v>
      </c>
    </row>
    <row r="50" spans="1:18">
      <c r="A50" s="825" t="s">
        <v>307</v>
      </c>
      <c r="B50" s="835"/>
      <c r="C50" s="703">
        <f ca="1">transport!B18</f>
        <v>1.551218778975024</v>
      </c>
      <c r="D50" s="703">
        <f>transport!C18</f>
        <v>0</v>
      </c>
      <c r="E50" s="703">
        <f>transport!D18</f>
        <v>6.6989298981616869</v>
      </c>
      <c r="F50" s="703">
        <f>transport!E18</f>
        <v>28.329648119171615</v>
      </c>
      <c r="G50" s="703">
        <f>transport!F18</f>
        <v>0</v>
      </c>
      <c r="H50" s="703">
        <f>transport!G18</f>
        <v>10291.019164517573</v>
      </c>
      <c r="I50" s="703">
        <f>transport!H18</f>
        <v>2196.894906186506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12524.493867500387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1.551218778975024</v>
      </c>
      <c r="D52" s="732">
        <f t="shared" ref="D52:Q52" ca="1" si="6">SUM(D48:D51)</f>
        <v>0</v>
      </c>
      <c r="E52" s="732">
        <f t="shared" si="6"/>
        <v>6.6989298981616869</v>
      </c>
      <c r="F52" s="732">
        <f t="shared" si="6"/>
        <v>28.329648119171615</v>
      </c>
      <c r="G52" s="732">
        <f t="shared" si="6"/>
        <v>0</v>
      </c>
      <c r="H52" s="732">
        <f t="shared" si="6"/>
        <v>10457.9243849915</v>
      </c>
      <c r="I52" s="732">
        <f t="shared" si="6"/>
        <v>2196.894906186506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12691.399087974314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564.49453900502317</v>
      </c>
      <c r="D54" s="703">
        <f ca="1">+landbouw!C12</f>
        <v>0</v>
      </c>
      <c r="E54" s="703">
        <f>+landbouw!D12</f>
        <v>177.8869874778178</v>
      </c>
      <c r="F54" s="703">
        <f>+landbouw!E12</f>
        <v>26.548839978483155</v>
      </c>
      <c r="G54" s="703">
        <f>+landbouw!F12</f>
        <v>4426.4369517676978</v>
      </c>
      <c r="H54" s="703">
        <f>+landbouw!G12</f>
        <v>0</v>
      </c>
      <c r="I54" s="703">
        <f>+landbouw!H12</f>
        <v>0</v>
      </c>
      <c r="J54" s="703">
        <f>+landbouw!I12</f>
        <v>0</v>
      </c>
      <c r="K54" s="703">
        <f>+landbouw!J12</f>
        <v>231.14675766643285</v>
      </c>
      <c r="L54" s="703">
        <f>+landbouw!K12</f>
        <v>0</v>
      </c>
      <c r="M54" s="703">
        <f>+landbouw!L12</f>
        <v>0</v>
      </c>
      <c r="N54" s="703">
        <f>+landbouw!M12</f>
        <v>0</v>
      </c>
      <c r="O54" s="703">
        <f>+landbouw!N12</f>
        <v>0</v>
      </c>
      <c r="P54" s="703">
        <f>+landbouw!O12</f>
        <v>0</v>
      </c>
      <c r="Q54" s="704">
        <f>+landbouw!P12</f>
        <v>0</v>
      </c>
      <c r="R54" s="731">
        <f ca="1">SUM(C54:Q54)</f>
        <v>5426.5140758954549</v>
      </c>
    </row>
    <row r="55" spans="1:18" ht="15" thickBot="1">
      <c r="A55" s="825" t="s">
        <v>848</v>
      </c>
      <c r="B55" s="835"/>
      <c r="C55" s="703">
        <f ca="1">C25*'EF ele_warmte'!B12</f>
        <v>59.453837876907066</v>
      </c>
      <c r="D55" s="703"/>
      <c r="E55" s="703">
        <f>E25*EF_CO2_aardgas</f>
        <v>144.68021246110001</v>
      </c>
      <c r="F55" s="703"/>
      <c r="G55" s="703"/>
      <c r="H55" s="703"/>
      <c r="I55" s="703"/>
      <c r="J55" s="703"/>
      <c r="K55" s="703"/>
      <c r="L55" s="703"/>
      <c r="M55" s="703"/>
      <c r="N55" s="703"/>
      <c r="O55" s="703"/>
      <c r="P55" s="703"/>
      <c r="Q55" s="704"/>
      <c r="R55" s="731">
        <f ca="1">SUM(C55:Q55)</f>
        <v>204.13405033800709</v>
      </c>
    </row>
    <row r="56" spans="1:18" ht="15.75" thickBot="1">
      <c r="A56" s="823" t="s">
        <v>849</v>
      </c>
      <c r="B56" s="836"/>
      <c r="C56" s="732">
        <f ca="1">SUM(C54:C55)</f>
        <v>623.94837688193024</v>
      </c>
      <c r="D56" s="732">
        <f t="shared" ref="D56:Q56" ca="1" si="7">SUM(D54:D55)</f>
        <v>0</v>
      </c>
      <c r="E56" s="732">
        <f t="shared" si="7"/>
        <v>322.56719993891784</v>
      </c>
      <c r="F56" s="732">
        <f t="shared" si="7"/>
        <v>26.548839978483155</v>
      </c>
      <c r="G56" s="732">
        <f t="shared" si="7"/>
        <v>4426.4369517676978</v>
      </c>
      <c r="H56" s="732">
        <f t="shared" si="7"/>
        <v>0</v>
      </c>
      <c r="I56" s="732">
        <f t="shared" si="7"/>
        <v>0</v>
      </c>
      <c r="J56" s="732">
        <f t="shared" si="7"/>
        <v>0</v>
      </c>
      <c r="K56" s="732">
        <f t="shared" si="7"/>
        <v>231.14675766643285</v>
      </c>
      <c r="L56" s="732">
        <f t="shared" si="7"/>
        <v>0</v>
      </c>
      <c r="M56" s="732">
        <f t="shared" si="7"/>
        <v>0</v>
      </c>
      <c r="N56" s="732">
        <f t="shared" si="7"/>
        <v>0</v>
      </c>
      <c r="O56" s="732">
        <f t="shared" si="7"/>
        <v>0</v>
      </c>
      <c r="P56" s="732">
        <f t="shared" si="7"/>
        <v>0</v>
      </c>
      <c r="Q56" s="733">
        <f t="shared" si="7"/>
        <v>0</v>
      </c>
      <c r="R56" s="734">
        <f ca="1">SUM(R54:R55)</f>
        <v>5630.6481262334619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5343.7614247817137</v>
      </c>
      <c r="D61" s="740">
        <f t="shared" ref="D61:Q61" ca="1" si="8">D46+D52+D56</f>
        <v>0</v>
      </c>
      <c r="E61" s="740">
        <f t="shared" ca="1" si="8"/>
        <v>6159.8885608163973</v>
      </c>
      <c r="F61" s="740">
        <f t="shared" si="8"/>
        <v>3410.5072504225295</v>
      </c>
      <c r="G61" s="740">
        <f t="shared" ca="1" si="8"/>
        <v>11198.273408603216</v>
      </c>
      <c r="H61" s="740">
        <f t="shared" si="8"/>
        <v>10457.9243849915</v>
      </c>
      <c r="I61" s="740">
        <f t="shared" si="8"/>
        <v>2196.894906186506</v>
      </c>
      <c r="J61" s="740">
        <f t="shared" si="8"/>
        <v>0</v>
      </c>
      <c r="K61" s="740">
        <f t="shared" si="8"/>
        <v>2344.540015774126</v>
      </c>
      <c r="L61" s="740">
        <f t="shared" si="8"/>
        <v>0</v>
      </c>
      <c r="M61" s="740">
        <f t="shared" ca="1" si="8"/>
        <v>0</v>
      </c>
      <c r="N61" s="740">
        <f t="shared" si="8"/>
        <v>0</v>
      </c>
      <c r="O61" s="740">
        <f t="shared" ca="1" si="8"/>
        <v>0</v>
      </c>
      <c r="P61" s="740">
        <f t="shared" si="8"/>
        <v>0</v>
      </c>
      <c r="Q61" s="740">
        <f t="shared" si="8"/>
        <v>0</v>
      </c>
      <c r="R61" s="740">
        <f ca="1">R46+R52+R56</f>
        <v>41111.789951575993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0.12445912196141694</v>
      </c>
      <c r="D63" s="781">
        <f t="shared" ca="1" si="9"/>
        <v>0</v>
      </c>
      <c r="E63" s="1023">
        <f t="shared" ca="1" si="9"/>
        <v>0.20200000000000001</v>
      </c>
      <c r="F63" s="781">
        <f t="shared" si="9"/>
        <v>0.22699999999999995</v>
      </c>
      <c r="G63" s="781">
        <f t="shared" ca="1" si="9"/>
        <v>0.26700000000000002</v>
      </c>
      <c r="H63" s="781">
        <f t="shared" si="9"/>
        <v>0.26700000000000007</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6020.9600280828636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12735</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14982.352941176472</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18755.960028082864</v>
      </c>
      <c r="C78" s="755">
        <f>SUM(C72:C77)</f>
        <v>0</v>
      </c>
      <c r="D78" s="756">
        <f t="shared" ref="D78:H78" si="10">SUM(D76:D77)</f>
        <v>0</v>
      </c>
      <c r="E78" s="756">
        <f t="shared" si="10"/>
        <v>0</v>
      </c>
      <c r="F78" s="756">
        <f t="shared" si="10"/>
        <v>0</v>
      </c>
      <c r="G78" s="756">
        <f t="shared" si="10"/>
        <v>0</v>
      </c>
      <c r="H78" s="756">
        <f t="shared" si="10"/>
        <v>0</v>
      </c>
      <c r="I78" s="756">
        <f>SUM(I76:I77)</f>
        <v>0</v>
      </c>
      <c r="J78" s="756">
        <f>SUM(J76:J77)</f>
        <v>14982.352941176472</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18192.857142857145</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21403.361344537818</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18192.857142857145</v>
      </c>
      <c r="C90" s="755">
        <f>SUM(C87:C89)</f>
        <v>0</v>
      </c>
      <c r="D90" s="755">
        <f t="shared" ref="D90:H90" si="12">SUM(D87:D89)</f>
        <v>0</v>
      </c>
      <c r="E90" s="755">
        <f t="shared" si="12"/>
        <v>0</v>
      </c>
      <c r="F90" s="755">
        <f t="shared" si="12"/>
        <v>0</v>
      </c>
      <c r="G90" s="755">
        <f t="shared" si="12"/>
        <v>0</v>
      </c>
      <c r="H90" s="755">
        <f t="shared" si="12"/>
        <v>0</v>
      </c>
      <c r="I90" s="755">
        <f>SUM(I87:I89)</f>
        <v>0</v>
      </c>
      <c r="J90" s="755">
        <f>SUM(J87:J89)</f>
        <v>21403.361344537818</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6020.9600280828636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12735</v>
      </c>
      <c r="C8" s="570">
        <f>B101</f>
        <v>0</v>
      </c>
      <c r="D8" s="1043"/>
      <c r="E8" s="1043">
        <f>E101</f>
        <v>0</v>
      </c>
      <c r="F8" s="1044"/>
      <c r="G8" s="571"/>
      <c r="H8" s="1043">
        <f>I101</f>
        <v>0</v>
      </c>
      <c r="I8" s="1043">
        <f>G101+F101</f>
        <v>0</v>
      </c>
      <c r="J8" s="1043">
        <f>H101+D101+C101</f>
        <v>14982.352941176472</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18755.960028082864</v>
      </c>
      <c r="C10" s="583">
        <f t="shared" ref="C10:L10" si="0">SUM(C8:C9)</f>
        <v>0</v>
      </c>
      <c r="D10" s="583">
        <f t="shared" si="0"/>
        <v>0</v>
      </c>
      <c r="E10" s="583">
        <f t="shared" si="0"/>
        <v>0</v>
      </c>
      <c r="F10" s="583">
        <f t="shared" si="0"/>
        <v>0</v>
      </c>
      <c r="G10" s="583">
        <f t="shared" si="0"/>
        <v>0</v>
      </c>
      <c r="H10" s="583">
        <f t="shared" si="0"/>
        <v>0</v>
      </c>
      <c r="I10" s="583">
        <f t="shared" si="0"/>
        <v>0</v>
      </c>
      <c r="J10" s="583">
        <f t="shared" si="0"/>
        <v>14982.352941176472</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18192.857142857145</v>
      </c>
      <c r="C17" s="595">
        <f>B102</f>
        <v>0</v>
      </c>
      <c r="D17" s="596"/>
      <c r="E17" s="596">
        <f>E102</f>
        <v>0</v>
      </c>
      <c r="F17" s="1049"/>
      <c r="G17" s="597"/>
      <c r="H17" s="595">
        <f>I102</f>
        <v>0</v>
      </c>
      <c r="I17" s="596">
        <f>G102+F102</f>
        <v>0</v>
      </c>
      <c r="J17" s="596">
        <f>H102+D102+C102</f>
        <v>21403.361344537818</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18192.857142857145</v>
      </c>
      <c r="C20" s="582">
        <f>SUM(C17:C19)</f>
        <v>0</v>
      </c>
      <c r="D20" s="582">
        <f t="shared" ref="D20:L20" si="1">SUM(D17:D19)</f>
        <v>0</v>
      </c>
      <c r="E20" s="582">
        <f t="shared" si="1"/>
        <v>0</v>
      </c>
      <c r="F20" s="582">
        <f t="shared" si="1"/>
        <v>0</v>
      </c>
      <c r="G20" s="582">
        <f t="shared" si="1"/>
        <v>0</v>
      </c>
      <c r="H20" s="582">
        <f t="shared" si="1"/>
        <v>0</v>
      </c>
      <c r="I20" s="582">
        <f t="shared" si="1"/>
        <v>0</v>
      </c>
      <c r="J20" s="582">
        <f t="shared" si="1"/>
        <v>21403.361344537818</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32006</v>
      </c>
      <c r="C28" s="796">
        <v>8650</v>
      </c>
      <c r="D28" s="653" t="s">
        <v>890</v>
      </c>
      <c r="E28" s="652" t="s">
        <v>891</v>
      </c>
      <c r="F28" s="652" t="s">
        <v>892</v>
      </c>
      <c r="G28" s="652" t="s">
        <v>893</v>
      </c>
      <c r="H28" s="652" t="s">
        <v>894</v>
      </c>
      <c r="I28" s="652" t="s">
        <v>891</v>
      </c>
      <c r="J28" s="795">
        <v>40919</v>
      </c>
      <c r="K28" s="795">
        <v>40919</v>
      </c>
      <c r="L28" s="652" t="s">
        <v>895</v>
      </c>
      <c r="M28" s="652">
        <v>2830</v>
      </c>
      <c r="N28" s="652">
        <v>12735</v>
      </c>
      <c r="O28" s="652">
        <v>18192.857142857145</v>
      </c>
      <c r="P28" s="652">
        <v>0</v>
      </c>
      <c r="Q28" s="652">
        <v>36385.71428571429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2830</v>
      </c>
      <c r="N58" s="610">
        <f>SUM(N28:N57)</f>
        <v>12735</v>
      </c>
      <c r="O58" s="610">
        <f t="shared" ref="O58:W58" si="2">SUM(O28:O57)</f>
        <v>18192.857142857145</v>
      </c>
      <c r="P58" s="610">
        <f t="shared" si="2"/>
        <v>0</v>
      </c>
      <c r="Q58" s="610">
        <f t="shared" si="2"/>
        <v>36385.71428571429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2830</v>
      </c>
      <c r="N61" s="615">
        <f t="shared" si="4"/>
        <v>12735</v>
      </c>
      <c r="O61" s="615">
        <f t="shared" si="4"/>
        <v>18192.857142857145</v>
      </c>
      <c r="P61" s="615">
        <f t="shared" si="4"/>
        <v>0</v>
      </c>
      <c r="Q61" s="615">
        <f t="shared" si="4"/>
        <v>36385.71428571429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14982.352941176472</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21403.361344537818</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17144.956782173434</v>
      </c>
      <c r="C4" s="477">
        <f>huishoudens!C8</f>
        <v>0</v>
      </c>
      <c r="D4" s="477">
        <f>huishoudens!D8</f>
        <v>20075.571044495999</v>
      </c>
      <c r="E4" s="477">
        <f>huishoudens!E8</f>
        <v>13714.749889016211</v>
      </c>
      <c r="F4" s="477">
        <f>huishoudens!F8</f>
        <v>18631.484777409594</v>
      </c>
      <c r="G4" s="477">
        <f>huishoudens!G8</f>
        <v>0</v>
      </c>
      <c r="H4" s="477">
        <f>huishoudens!H8</f>
        <v>0</v>
      </c>
      <c r="I4" s="477">
        <f>huishoudens!I8</f>
        <v>0</v>
      </c>
      <c r="J4" s="477">
        <f>huishoudens!J8</f>
        <v>5961.85213128961</v>
      </c>
      <c r="K4" s="477">
        <f>huishoudens!K8</f>
        <v>0</v>
      </c>
      <c r="L4" s="477">
        <f>huishoudens!L8</f>
        <v>0</v>
      </c>
      <c r="M4" s="477">
        <f>huishoudens!M8</f>
        <v>0</v>
      </c>
      <c r="N4" s="477">
        <f>huishoudens!N8</f>
        <v>15351.941733105534</v>
      </c>
      <c r="O4" s="477">
        <f>huishoudens!O8</f>
        <v>231.37333333333333</v>
      </c>
      <c r="P4" s="478">
        <f>huishoudens!P8</f>
        <v>362.26666666666665</v>
      </c>
      <c r="Q4" s="479">
        <f>SUM(B4:P4)</f>
        <v>91474.196357490378</v>
      </c>
    </row>
    <row r="5" spans="1:17">
      <c r="A5" s="476" t="s">
        <v>156</v>
      </c>
      <c r="B5" s="477">
        <f ca="1">tertiair!B16</f>
        <v>15736.495949909</v>
      </c>
      <c r="C5" s="477">
        <f ca="1">tertiair!C16</f>
        <v>0</v>
      </c>
      <c r="D5" s="477">
        <f ca="1">tertiair!D16</f>
        <v>7898.7561970528204</v>
      </c>
      <c r="E5" s="477">
        <f>tertiair!E16</f>
        <v>261.58257896724109</v>
      </c>
      <c r="F5" s="477">
        <f ca="1">tertiair!F16</f>
        <v>3916.9729814027669</v>
      </c>
      <c r="G5" s="477">
        <f>tertiair!G16</f>
        <v>0</v>
      </c>
      <c r="H5" s="477">
        <f>tertiair!H16</f>
        <v>0</v>
      </c>
      <c r="I5" s="477">
        <f>tertiair!I16</f>
        <v>0</v>
      </c>
      <c r="J5" s="477">
        <f>tertiair!J16</f>
        <v>0</v>
      </c>
      <c r="K5" s="477">
        <f>tertiair!K16</f>
        <v>0</v>
      </c>
      <c r="L5" s="477">
        <f ca="1">tertiair!L16</f>
        <v>0</v>
      </c>
      <c r="M5" s="477">
        <f>tertiair!M16</f>
        <v>0</v>
      </c>
      <c r="N5" s="477">
        <f ca="1">tertiair!N16</f>
        <v>1817.0267026496467</v>
      </c>
      <c r="O5" s="477">
        <f>tertiair!O16</f>
        <v>1.5633333333333335</v>
      </c>
      <c r="P5" s="478">
        <f>tertiair!P16</f>
        <v>19.066666666666666</v>
      </c>
      <c r="Q5" s="476">
        <f t="shared" ref="Q5:Q14" ca="1" si="0">SUM(B5:P5)</f>
        <v>29651.464409981476</v>
      </c>
    </row>
    <row r="6" spans="1:17">
      <c r="A6" s="476" t="s">
        <v>194</v>
      </c>
      <c r="B6" s="477">
        <f>'openbare verlichting'!B8</f>
        <v>794.26</v>
      </c>
      <c r="C6" s="477"/>
      <c r="D6" s="477"/>
      <c r="E6" s="477"/>
      <c r="F6" s="477"/>
      <c r="G6" s="477"/>
      <c r="H6" s="477"/>
      <c r="I6" s="477"/>
      <c r="J6" s="477"/>
      <c r="K6" s="477"/>
      <c r="L6" s="477"/>
      <c r="M6" s="477"/>
      <c r="N6" s="477"/>
      <c r="O6" s="477"/>
      <c r="P6" s="478"/>
      <c r="Q6" s="476">
        <f t="shared" si="0"/>
        <v>794.26</v>
      </c>
    </row>
    <row r="7" spans="1:17">
      <c r="A7" s="476" t="s">
        <v>112</v>
      </c>
      <c r="B7" s="477">
        <f>landbouw!B8</f>
        <v>4535.5818851109998</v>
      </c>
      <c r="C7" s="477">
        <f>landbouw!C8</f>
        <v>18192.857142857145</v>
      </c>
      <c r="D7" s="477">
        <f>landbouw!D8</f>
        <v>880.62865088028605</v>
      </c>
      <c r="E7" s="477">
        <f>landbouw!E8</f>
        <v>116.95524219596103</v>
      </c>
      <c r="F7" s="477">
        <f>landbouw!F8</f>
        <v>16578.415549691752</v>
      </c>
      <c r="G7" s="477">
        <f>landbouw!G8</f>
        <v>0</v>
      </c>
      <c r="H7" s="477">
        <f>landbouw!H8</f>
        <v>0</v>
      </c>
      <c r="I7" s="477">
        <f>landbouw!I8</f>
        <v>0</v>
      </c>
      <c r="J7" s="477">
        <f>landbouw!J8</f>
        <v>652.9569425605448</v>
      </c>
      <c r="K7" s="477">
        <f>landbouw!K8</f>
        <v>0</v>
      </c>
      <c r="L7" s="477">
        <f>landbouw!L8</f>
        <v>0</v>
      </c>
      <c r="M7" s="477">
        <f>landbouw!M8</f>
        <v>0</v>
      </c>
      <c r="N7" s="477">
        <f>landbouw!N8</f>
        <v>0</v>
      </c>
      <c r="O7" s="477">
        <f>landbouw!O8</f>
        <v>0</v>
      </c>
      <c r="P7" s="478">
        <f>landbouw!P8</f>
        <v>0</v>
      </c>
      <c r="Q7" s="476">
        <f t="shared" si="0"/>
        <v>40957.39541329669</v>
      </c>
    </row>
    <row r="8" spans="1:17">
      <c r="A8" s="476" t="s">
        <v>638</v>
      </c>
      <c r="B8" s="477">
        <f>industrie!B18</f>
        <v>4234.4199666159993</v>
      </c>
      <c r="C8" s="477">
        <f>industrie!C18</f>
        <v>0</v>
      </c>
      <c r="D8" s="477">
        <f>industrie!D18</f>
        <v>890.14023854681204</v>
      </c>
      <c r="E8" s="477">
        <f>industrie!E18</f>
        <v>806.17309291908134</v>
      </c>
      <c r="F8" s="477">
        <f>industrie!F18</f>
        <v>2814.2256001221631</v>
      </c>
      <c r="G8" s="477">
        <f>industrie!G18</f>
        <v>0</v>
      </c>
      <c r="H8" s="477">
        <f>industrie!H18</f>
        <v>0</v>
      </c>
      <c r="I8" s="477">
        <f>industrie!I18</f>
        <v>0</v>
      </c>
      <c r="J8" s="477">
        <f>industrie!J18</f>
        <v>8.1853209920097036</v>
      </c>
      <c r="K8" s="477">
        <f>industrie!K18</f>
        <v>0</v>
      </c>
      <c r="L8" s="477">
        <f>industrie!L18</f>
        <v>0</v>
      </c>
      <c r="M8" s="477">
        <f>industrie!M18</f>
        <v>0</v>
      </c>
      <c r="N8" s="477">
        <f>industrie!N18</f>
        <v>1203.7985057846493</v>
      </c>
      <c r="O8" s="477">
        <f>industrie!O18</f>
        <v>0</v>
      </c>
      <c r="P8" s="478">
        <f>industrie!P18</f>
        <v>0</v>
      </c>
      <c r="Q8" s="476">
        <f t="shared" si="0"/>
        <v>9956.942724980714</v>
      </c>
    </row>
    <row r="9" spans="1:17" s="482" customFormat="1">
      <c r="A9" s="480" t="s">
        <v>564</v>
      </c>
      <c r="B9" s="481">
        <f>transport!B14</f>
        <v>12.463680881951836</v>
      </c>
      <c r="C9" s="481">
        <f>transport!C14</f>
        <v>0</v>
      </c>
      <c r="D9" s="481">
        <f>transport!D14</f>
        <v>33.163019297830132</v>
      </c>
      <c r="E9" s="481">
        <f>transport!E14</f>
        <v>124.80021197872958</v>
      </c>
      <c r="F9" s="481">
        <f>transport!F14</f>
        <v>0</v>
      </c>
      <c r="G9" s="481">
        <f>transport!G14</f>
        <v>38543.142938268058</v>
      </c>
      <c r="H9" s="481">
        <f>transport!H14</f>
        <v>8822.8711091827554</v>
      </c>
      <c r="I9" s="481">
        <f>transport!I14</f>
        <v>0</v>
      </c>
      <c r="J9" s="481">
        <f>transport!J14</f>
        <v>0</v>
      </c>
      <c r="K9" s="481">
        <f>transport!K14</f>
        <v>0</v>
      </c>
      <c r="L9" s="481">
        <f>transport!L14</f>
        <v>0</v>
      </c>
      <c r="M9" s="481">
        <f>transport!M14</f>
        <v>1478.6883766873434</v>
      </c>
      <c r="N9" s="481">
        <f>transport!N14</f>
        <v>0</v>
      </c>
      <c r="O9" s="481">
        <f>transport!O14</f>
        <v>0</v>
      </c>
      <c r="P9" s="481">
        <f>transport!P14</f>
        <v>0</v>
      </c>
      <c r="Q9" s="480">
        <f>SUM(B9:P9)</f>
        <v>49015.129336296668</v>
      </c>
    </row>
    <row r="10" spans="1:17">
      <c r="A10" s="476" t="s">
        <v>554</v>
      </c>
      <c r="B10" s="477">
        <f>transport!B54</f>
        <v>0</v>
      </c>
      <c r="C10" s="477">
        <f>transport!C54</f>
        <v>0</v>
      </c>
      <c r="D10" s="477">
        <f>transport!D54</f>
        <v>0</v>
      </c>
      <c r="E10" s="477">
        <f>transport!E54</f>
        <v>0</v>
      </c>
      <c r="F10" s="477">
        <f>transport!F54</f>
        <v>0</v>
      </c>
      <c r="G10" s="477">
        <f>transport!G54</f>
        <v>625.11318529560458</v>
      </c>
      <c r="H10" s="477">
        <f>transport!H54</f>
        <v>0</v>
      </c>
      <c r="I10" s="477">
        <f>transport!I54</f>
        <v>0</v>
      </c>
      <c r="J10" s="477">
        <f>transport!J54</f>
        <v>0</v>
      </c>
      <c r="K10" s="477">
        <f>transport!K54</f>
        <v>0</v>
      </c>
      <c r="L10" s="477">
        <f>transport!L54</f>
        <v>0</v>
      </c>
      <c r="M10" s="477">
        <f>transport!M54</f>
        <v>19.389612515848459</v>
      </c>
      <c r="N10" s="477">
        <f>transport!N54</f>
        <v>0</v>
      </c>
      <c r="O10" s="477">
        <f>transport!O54</f>
        <v>0</v>
      </c>
      <c r="P10" s="478">
        <f>transport!P54</f>
        <v>0</v>
      </c>
      <c r="Q10" s="476">
        <f t="shared" si="0"/>
        <v>644.50279781145309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477.69771263000001</v>
      </c>
      <c r="C14" s="484"/>
      <c r="D14" s="484">
        <f>'SEAP template'!E25</f>
        <v>716.23867555000004</v>
      </c>
      <c r="E14" s="484"/>
      <c r="F14" s="484"/>
      <c r="G14" s="484"/>
      <c r="H14" s="484"/>
      <c r="I14" s="484"/>
      <c r="J14" s="484"/>
      <c r="K14" s="484"/>
      <c r="L14" s="484"/>
      <c r="M14" s="484"/>
      <c r="N14" s="484"/>
      <c r="O14" s="484"/>
      <c r="P14" s="485"/>
      <c r="Q14" s="476">
        <f t="shared" si="0"/>
        <v>1193.93638818</v>
      </c>
    </row>
    <row r="15" spans="1:17" s="486" customFormat="1">
      <c r="A15" s="1038" t="s">
        <v>558</v>
      </c>
      <c r="B15" s="978">
        <f ca="1">SUM(B4:B14)</f>
        <v>42935.875977321382</v>
      </c>
      <c r="C15" s="978">
        <f t="shared" ref="C15:Q15" ca="1" si="1">SUM(C4:C14)</f>
        <v>18192.857142857145</v>
      </c>
      <c r="D15" s="978">
        <f t="shared" ca="1" si="1"/>
        <v>30494.49782582375</v>
      </c>
      <c r="E15" s="978">
        <f t="shared" si="1"/>
        <v>15024.261015077225</v>
      </c>
      <c r="F15" s="978">
        <f t="shared" ca="1" si="1"/>
        <v>41941.098908626278</v>
      </c>
      <c r="G15" s="978">
        <f t="shared" si="1"/>
        <v>39168.25612356366</v>
      </c>
      <c r="H15" s="978">
        <f t="shared" si="1"/>
        <v>8822.8711091827554</v>
      </c>
      <c r="I15" s="978">
        <f t="shared" si="1"/>
        <v>0</v>
      </c>
      <c r="J15" s="978">
        <f t="shared" si="1"/>
        <v>6622.9943948421651</v>
      </c>
      <c r="K15" s="978">
        <f t="shared" si="1"/>
        <v>0</v>
      </c>
      <c r="L15" s="978">
        <f t="shared" ca="1" si="1"/>
        <v>0</v>
      </c>
      <c r="M15" s="978">
        <f t="shared" si="1"/>
        <v>1498.0779892031919</v>
      </c>
      <c r="N15" s="978">
        <f t="shared" ca="1" si="1"/>
        <v>18372.76694153983</v>
      </c>
      <c r="O15" s="978">
        <f t="shared" si="1"/>
        <v>232.93666666666667</v>
      </c>
      <c r="P15" s="978">
        <f t="shared" si="1"/>
        <v>381.33333333333331</v>
      </c>
      <c r="Q15" s="978">
        <f t="shared" ca="1" si="1"/>
        <v>223687.82742803739</v>
      </c>
    </row>
    <row r="17" spans="1:17">
      <c r="A17" s="487" t="s">
        <v>559</v>
      </c>
      <c r="B17" s="786">
        <f ca="1">huishoudens!B10</f>
        <v>0.12445912196141692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2133.8462671757457</v>
      </c>
      <c r="C22" s="477">
        <f t="shared" ref="C22:C32" ca="1" si="3">C4*$C$17</f>
        <v>0</v>
      </c>
      <c r="D22" s="477">
        <f t="shared" ref="D22:D32" si="4">D4*$D$17</f>
        <v>4055.265350988192</v>
      </c>
      <c r="E22" s="477">
        <f t="shared" ref="E22:E32" si="5">E4*$E$17</f>
        <v>3113.2482248066799</v>
      </c>
      <c r="F22" s="477">
        <f t="shared" ref="F22:F32" si="6">F4*$F$17</f>
        <v>4974.606435568362</v>
      </c>
      <c r="G22" s="477">
        <f t="shared" ref="G22:G32" si="7">G4*$G$17</f>
        <v>0</v>
      </c>
      <c r="H22" s="477">
        <f t="shared" ref="H22:H32" si="8">H4*$H$17</f>
        <v>0</v>
      </c>
      <c r="I22" s="477">
        <f t="shared" ref="I22:I32" si="9">I4*$I$17</f>
        <v>0</v>
      </c>
      <c r="J22" s="477">
        <f t="shared" ref="J22:J32" si="10">J4*$J$17</f>
        <v>2110.4956544765218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16387.461933015504</v>
      </c>
    </row>
    <row r="23" spans="1:17">
      <c r="A23" s="476" t="s">
        <v>156</v>
      </c>
      <c r="B23" s="477">
        <f t="shared" ca="1" si="2"/>
        <v>1958.5504686750678</v>
      </c>
      <c r="C23" s="477">
        <f t="shared" ca="1" si="3"/>
        <v>0</v>
      </c>
      <c r="D23" s="477">
        <f t="shared" ca="1" si="4"/>
        <v>1595.5487518046698</v>
      </c>
      <c r="E23" s="477">
        <f t="shared" si="5"/>
        <v>59.379245425563731</v>
      </c>
      <c r="F23" s="477">
        <f t="shared" ca="1" si="6"/>
        <v>1045.8317860345387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4659.3102519398399</v>
      </c>
    </row>
    <row r="24" spans="1:17">
      <c r="A24" s="476" t="s">
        <v>194</v>
      </c>
      <c r="B24" s="477">
        <f t="shared" ca="1" si="2"/>
        <v>98.852902209075012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98.852902209075012</v>
      </c>
    </row>
    <row r="25" spans="1:17">
      <c r="A25" s="476" t="s">
        <v>112</v>
      </c>
      <c r="B25" s="477">
        <f t="shared" ca="1" si="2"/>
        <v>564.49453900502317</v>
      </c>
      <c r="C25" s="477">
        <f t="shared" ca="1" si="3"/>
        <v>0</v>
      </c>
      <c r="D25" s="477">
        <f t="shared" si="4"/>
        <v>177.8869874778178</v>
      </c>
      <c r="E25" s="477">
        <f t="shared" si="5"/>
        <v>26.548839978483155</v>
      </c>
      <c r="F25" s="477">
        <f t="shared" si="6"/>
        <v>4426.4369517676978</v>
      </c>
      <c r="G25" s="477">
        <f t="shared" si="7"/>
        <v>0</v>
      </c>
      <c r="H25" s="477">
        <f t="shared" si="8"/>
        <v>0</v>
      </c>
      <c r="I25" s="477">
        <f t="shared" si="9"/>
        <v>0</v>
      </c>
      <c r="J25" s="477">
        <f t="shared" si="10"/>
        <v>231.14675766643285</v>
      </c>
      <c r="K25" s="477">
        <f t="shared" si="11"/>
        <v>0</v>
      </c>
      <c r="L25" s="477">
        <f t="shared" si="12"/>
        <v>0</v>
      </c>
      <c r="M25" s="477">
        <f t="shared" si="13"/>
        <v>0</v>
      </c>
      <c r="N25" s="477">
        <f t="shared" si="14"/>
        <v>0</v>
      </c>
      <c r="O25" s="477">
        <f t="shared" si="15"/>
        <v>0</v>
      </c>
      <c r="P25" s="478">
        <f t="shared" si="16"/>
        <v>0</v>
      </c>
      <c r="Q25" s="476">
        <f t="shared" ca="1" si="17"/>
        <v>5426.5140758954549</v>
      </c>
    </row>
    <row r="26" spans="1:17">
      <c r="A26" s="476" t="s">
        <v>638</v>
      </c>
      <c r="B26" s="477">
        <f t="shared" ca="1" si="2"/>
        <v>527.01219106091969</v>
      </c>
      <c r="C26" s="477">
        <f t="shared" ca="1" si="3"/>
        <v>0</v>
      </c>
      <c r="D26" s="477">
        <f t="shared" si="4"/>
        <v>179.80832818645604</v>
      </c>
      <c r="E26" s="477">
        <f t="shared" si="5"/>
        <v>183.00129209263147</v>
      </c>
      <c r="F26" s="477">
        <f t="shared" si="6"/>
        <v>751.39823523261759</v>
      </c>
      <c r="G26" s="477">
        <f t="shared" si="7"/>
        <v>0</v>
      </c>
      <c r="H26" s="477">
        <f t="shared" si="8"/>
        <v>0</v>
      </c>
      <c r="I26" s="477">
        <f t="shared" si="9"/>
        <v>0</v>
      </c>
      <c r="J26" s="477">
        <f t="shared" si="10"/>
        <v>2.8976036311714348</v>
      </c>
      <c r="K26" s="477">
        <f t="shared" si="11"/>
        <v>0</v>
      </c>
      <c r="L26" s="477">
        <f t="shared" si="12"/>
        <v>0</v>
      </c>
      <c r="M26" s="477">
        <f t="shared" si="13"/>
        <v>0</v>
      </c>
      <c r="N26" s="477">
        <f t="shared" si="14"/>
        <v>0</v>
      </c>
      <c r="O26" s="477">
        <f t="shared" si="15"/>
        <v>0</v>
      </c>
      <c r="P26" s="478">
        <f t="shared" si="16"/>
        <v>0</v>
      </c>
      <c r="Q26" s="476">
        <f t="shared" ca="1" si="17"/>
        <v>1644.1176502037963</v>
      </c>
    </row>
    <row r="27" spans="1:17" s="482" customFormat="1">
      <c r="A27" s="480" t="s">
        <v>564</v>
      </c>
      <c r="B27" s="780">
        <f t="shared" ca="1" si="2"/>
        <v>1.551218778975024</v>
      </c>
      <c r="C27" s="481">
        <f t="shared" ca="1" si="3"/>
        <v>0</v>
      </c>
      <c r="D27" s="481">
        <f t="shared" si="4"/>
        <v>6.6989298981616869</v>
      </c>
      <c r="E27" s="481">
        <f t="shared" si="5"/>
        <v>28.329648119171615</v>
      </c>
      <c r="F27" s="481">
        <f t="shared" si="6"/>
        <v>0</v>
      </c>
      <c r="G27" s="481">
        <f t="shared" si="7"/>
        <v>10291.019164517573</v>
      </c>
      <c r="H27" s="481">
        <f t="shared" si="8"/>
        <v>2196.894906186506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12524.493867500387</v>
      </c>
    </row>
    <row r="28" spans="1:17">
      <c r="A28" s="476" t="s">
        <v>554</v>
      </c>
      <c r="B28" s="477">
        <f t="shared" ca="1" si="2"/>
        <v>0</v>
      </c>
      <c r="C28" s="477">
        <f t="shared" ca="1" si="3"/>
        <v>0</v>
      </c>
      <c r="D28" s="477">
        <f t="shared" si="4"/>
        <v>0</v>
      </c>
      <c r="E28" s="477">
        <f t="shared" si="5"/>
        <v>0</v>
      </c>
      <c r="F28" s="477">
        <f t="shared" si="6"/>
        <v>0</v>
      </c>
      <c r="G28" s="477">
        <f t="shared" si="7"/>
        <v>166.90522047392642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166.90522047392642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59.453837876907066</v>
      </c>
      <c r="C32" s="477">
        <f t="shared" ca="1" si="3"/>
        <v>0</v>
      </c>
      <c r="D32" s="477">
        <f t="shared" si="4"/>
        <v>144.68021246110001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204.13405033800709</v>
      </c>
    </row>
    <row r="33" spans="1:17" s="486" customFormat="1">
      <c r="A33" s="1038" t="s">
        <v>558</v>
      </c>
      <c r="B33" s="978">
        <f ca="1">SUM(B22:B32)</f>
        <v>5343.7614247817137</v>
      </c>
      <c r="C33" s="978">
        <f t="shared" ref="C33:Q33" ca="1" si="18">SUM(C22:C32)</f>
        <v>0</v>
      </c>
      <c r="D33" s="978">
        <f t="shared" ca="1" si="18"/>
        <v>6159.8885608163973</v>
      </c>
      <c r="E33" s="978">
        <f t="shared" si="18"/>
        <v>3410.5072504225295</v>
      </c>
      <c r="F33" s="978">
        <f t="shared" ca="1" si="18"/>
        <v>11198.273408603216</v>
      </c>
      <c r="G33" s="978">
        <f t="shared" si="18"/>
        <v>10457.9243849915</v>
      </c>
      <c r="H33" s="978">
        <f t="shared" si="18"/>
        <v>2196.894906186506</v>
      </c>
      <c r="I33" s="978">
        <f t="shared" si="18"/>
        <v>0</v>
      </c>
      <c r="J33" s="978">
        <f t="shared" si="18"/>
        <v>2344.540015774126</v>
      </c>
      <c r="K33" s="978">
        <f t="shared" si="18"/>
        <v>0</v>
      </c>
      <c r="L33" s="978">
        <f t="shared" ca="1" si="18"/>
        <v>0</v>
      </c>
      <c r="M33" s="978">
        <f t="shared" si="18"/>
        <v>0</v>
      </c>
      <c r="N33" s="978">
        <f t="shared" ca="1" si="18"/>
        <v>0</v>
      </c>
      <c r="O33" s="978">
        <f t="shared" si="18"/>
        <v>0</v>
      </c>
      <c r="P33" s="978">
        <f t="shared" si="18"/>
        <v>0</v>
      </c>
      <c r="Q33" s="978">
        <f t="shared" ca="1" si="18"/>
        <v>41111.789951575985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6020.9600280828636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12735</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14982.352941176472</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18755.960028082864</v>
      </c>
      <c r="C10" s="1059">
        <f>SUM(C4:C9)</f>
        <v>0</v>
      </c>
      <c r="D10" s="1059">
        <f t="shared" ref="D10:H10" si="0">SUM(D8:D9)</f>
        <v>0</v>
      </c>
      <c r="E10" s="1059">
        <f t="shared" si="0"/>
        <v>0</v>
      </c>
      <c r="F10" s="1059">
        <f t="shared" si="0"/>
        <v>0</v>
      </c>
      <c r="G10" s="1059">
        <f t="shared" si="0"/>
        <v>0</v>
      </c>
      <c r="H10" s="1059">
        <f t="shared" si="0"/>
        <v>0</v>
      </c>
      <c r="I10" s="1059">
        <f>SUM(I8:I9)</f>
        <v>0</v>
      </c>
      <c r="J10" s="1059">
        <f>SUM(J8:J9)</f>
        <v>14982.352941176472</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0.12445912196141692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18192.857142857145</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21403.361344537818</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18192.857142857145</v>
      </c>
      <c r="C20" s="1059">
        <f>SUM(C17:C19)</f>
        <v>0</v>
      </c>
      <c r="D20" s="1059">
        <f t="shared" ref="D20:H20" si="2">SUM(D17:D19)</f>
        <v>0</v>
      </c>
      <c r="E20" s="1059">
        <f t="shared" si="2"/>
        <v>0</v>
      </c>
      <c r="F20" s="1059">
        <f t="shared" si="2"/>
        <v>0</v>
      </c>
      <c r="G20" s="1059">
        <f t="shared" si="2"/>
        <v>0</v>
      </c>
      <c r="H20" s="1059">
        <f t="shared" si="2"/>
        <v>0</v>
      </c>
      <c r="I20" s="1059">
        <f>SUM(I17:I19)</f>
        <v>0</v>
      </c>
      <c r="J20" s="1059">
        <f>SUM(J17:J19)</f>
        <v>21403.361344537818</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0.12445912196141692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2019-08-12T08:24:15Z</dcterms:modified>
</cp:coreProperties>
</file>