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O19" s="1"/>
  <c r="D19"/>
  <c r="C19"/>
  <c r="D89" i="14" s="1"/>
  <c r="D19" i="59" s="1"/>
  <c r="B19" i="18"/>
  <c r="N18"/>
  <c r="L88" i="14" s="1"/>
  <c r="L18" i="59" s="1"/>
  <c r="M18" i="18"/>
  <c r="L18"/>
  <c r="K18"/>
  <c r="J18"/>
  <c r="J88" i="14" s="1"/>
  <c r="J18" i="59" s="1"/>
  <c r="I18" i="18"/>
  <c r="I88" i="14" s="1"/>
  <c r="I18" i="59" s="1"/>
  <c r="H18" i="18"/>
  <c r="M88" i="14" s="1"/>
  <c r="M18" i="59" s="1"/>
  <c r="G18" i="18"/>
  <c r="F18"/>
  <c r="F20" s="1"/>
  <c r="E18"/>
  <c r="D18"/>
  <c r="C18"/>
  <c r="B18"/>
  <c r="L9"/>
  <c r="K9"/>
  <c r="N77" i="14" s="1"/>
  <c r="N9" i="59" s="1"/>
  <c r="G9" i="18"/>
  <c r="F9"/>
  <c r="E9"/>
  <c r="F77" i="14" s="1"/>
  <c r="F9" i="59" s="1"/>
  <c r="D9" i="18"/>
  <c r="C9"/>
  <c r="D77" i="14" s="1"/>
  <c r="D9" i="59" s="1"/>
  <c r="B9" i="18"/>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M77" i="14" s="1"/>
  <c r="M9" i="59" s="1"/>
  <c r="V89" i="18"/>
  <c r="U89"/>
  <c r="T89"/>
  <c r="I9" s="1"/>
  <c r="I77" i="14" s="1"/>
  <c r="I9" i="59" s="1"/>
  <c r="S89" i="18"/>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G20"/>
  <c r="G12"/>
  <c r="F12"/>
  <c r="E12"/>
  <c r="D12"/>
  <c r="C12"/>
  <c r="G10"/>
  <c r="F10"/>
  <c r="B8"/>
  <c r="B6"/>
  <c r="B74" i="14" s="1"/>
  <c r="B6" i="59" s="1"/>
  <c r="B5" i="18"/>
  <c r="B4"/>
  <c r="C6" i="17"/>
  <c r="D5"/>
  <c r="B19" i="6"/>
  <c r="B18"/>
  <c r="B5"/>
  <c r="B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O17"/>
  <c r="O32" s="1"/>
  <c r="M4"/>
  <c r="L4"/>
  <c r="K4"/>
  <c r="I4"/>
  <c r="H4"/>
  <c r="G4"/>
  <c r="P11"/>
  <c r="O11"/>
  <c r="O29" s="1"/>
  <c r="N11"/>
  <c r="M11"/>
  <c r="L11"/>
  <c r="K11"/>
  <c r="J11"/>
  <c r="I11"/>
  <c r="H11"/>
  <c r="G11"/>
  <c r="F11"/>
  <c r="E11"/>
  <c r="D11"/>
  <c r="C11"/>
  <c r="B11"/>
  <c r="P28"/>
  <c r="O28"/>
  <c r="O27"/>
  <c r="M89" i="14"/>
  <c r="M19" i="59" s="1"/>
  <c r="L89" i="14"/>
  <c r="L19" i="59" s="1"/>
  <c r="K89" i="14"/>
  <c r="K19" i="59" s="1"/>
  <c r="H89" i="14"/>
  <c r="H19" i="59" s="1"/>
  <c r="G89" i="14"/>
  <c r="G19" i="59" s="1"/>
  <c r="O88" i="14"/>
  <c r="O18" i="59" s="1"/>
  <c r="N88" i="14"/>
  <c r="N18" i="59" s="1"/>
  <c r="K88" i="14"/>
  <c r="K18" i="59" s="1"/>
  <c r="H88" i="14"/>
  <c r="F88"/>
  <c r="F18" i="59" s="1"/>
  <c r="E88" i="14"/>
  <c r="E18" i="59" s="1"/>
  <c r="D88" i="14"/>
  <c r="D18" i="59" s="1"/>
  <c r="O87" i="14"/>
  <c r="O17" i="59" s="1"/>
  <c r="N87" i="14"/>
  <c r="N17" i="59" s="1"/>
  <c r="L87" i="14"/>
  <c r="K87"/>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3" i="14"/>
  <c r="B5" i="59" s="1"/>
  <c r="B72" i="14"/>
  <c r="B4" i="59" s="1"/>
  <c r="C64" i="14"/>
  <c r="C29"/>
  <c r="Q54"/>
  <c r="P54"/>
  <c r="L54"/>
  <c r="J54"/>
  <c r="J56" s="1"/>
  <c r="I54"/>
  <c r="H54"/>
  <c r="H56" s="1"/>
  <c r="Q24"/>
  <c r="P24"/>
  <c r="N24"/>
  <c r="L24"/>
  <c r="L26" s="1"/>
  <c r="J24"/>
  <c r="J26" s="1"/>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O18"/>
  <c r="M18"/>
  <c r="M22" s="1"/>
  <c r="L18"/>
  <c r="K18"/>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G78"/>
  <c r="K78"/>
  <c r="P56"/>
  <c r="L56"/>
  <c r="Q56"/>
  <c r="I56"/>
  <c r="R44"/>
  <c r="E25"/>
  <c r="C25"/>
  <c r="Q26"/>
  <c r="P26"/>
  <c r="N26"/>
  <c r="H26"/>
  <c r="L22"/>
  <c r="Q22"/>
  <c r="P22"/>
  <c r="O22"/>
  <c r="R12"/>
  <c r="E55" l="1"/>
  <c r="D14" i="48"/>
  <c r="B14"/>
  <c r="R25" i="14"/>
  <c r="L17" i="59"/>
  <c r="L20" s="1"/>
  <c r="L90" i="14"/>
  <c r="O77"/>
  <c r="L10" i="18"/>
  <c r="D20"/>
  <c r="E89" i="14"/>
  <c r="E19" i="59" s="1"/>
  <c r="E20" s="1"/>
  <c r="O19"/>
  <c r="O20" s="1"/>
  <c r="O90" i="14"/>
  <c r="K17" i="59"/>
  <c r="K90" i="14"/>
  <c r="N19" i="59"/>
  <c r="N20" s="1"/>
  <c r="N90" i="14"/>
  <c r="L78"/>
  <c r="L8" i="59"/>
  <c r="L10" s="1"/>
  <c r="B98" i="18"/>
  <c r="E102" s="1"/>
  <c r="E17" s="1"/>
  <c r="B17"/>
  <c r="B20" s="1"/>
  <c r="D10"/>
  <c r="E77" i="14"/>
  <c r="E9" i="59" s="1"/>
  <c r="E10" s="1"/>
  <c r="P32" i="48"/>
  <c r="P29"/>
  <c r="N10" i="59"/>
  <c r="L20" i="18"/>
  <c r="R9" i="14"/>
  <c r="K22"/>
  <c r="P52"/>
  <c r="Q11" i="48"/>
  <c r="H90" i="14"/>
  <c r="H18" i="59"/>
  <c r="H78" i="14"/>
  <c r="H8" i="59"/>
  <c r="H10" s="1"/>
  <c r="K10"/>
  <c r="H20"/>
  <c r="C98" i="18"/>
  <c r="E101" s="1"/>
  <c r="E8" s="1"/>
  <c r="B10"/>
  <c r="K10"/>
  <c r="B13" i="15"/>
  <c r="K20" i="59"/>
  <c r="F13" i="15"/>
  <c r="L13"/>
  <c r="N13"/>
  <c r="Q77" i="14"/>
  <c r="P9" i="59" s="1"/>
  <c r="O9" i="18"/>
  <c r="O18"/>
  <c r="B89" i="14"/>
  <c r="B19" i="59" s="1"/>
  <c r="G88" i="14"/>
  <c r="F89"/>
  <c r="H101" i="18"/>
  <c r="D101"/>
  <c r="G101"/>
  <c r="C101"/>
  <c r="H102"/>
  <c r="D102"/>
  <c r="G102"/>
  <c r="C102"/>
  <c r="F102"/>
  <c r="B102"/>
  <c r="C17" s="1"/>
  <c r="B77" i="14"/>
  <c r="B9" i="59" s="1"/>
  <c r="Q14" i="48"/>
  <c r="O24"/>
  <c r="O30"/>
  <c r="P24"/>
  <c r="P30"/>
  <c r="C88" i="14"/>
  <c r="C18" i="59" s="1"/>
  <c r="E90" i="14"/>
  <c r="N78"/>
  <c r="O78" l="1"/>
  <c r="O9" i="59"/>
  <c r="O10" s="1"/>
  <c r="G90" i="14"/>
  <c r="G18" i="59"/>
  <c r="G20" s="1"/>
  <c r="C89" i="14"/>
  <c r="C19" i="59" s="1"/>
  <c r="F19"/>
  <c r="C77" i="14"/>
  <c r="C9" i="59" s="1"/>
  <c r="F101" i="18"/>
  <c r="I8" s="1"/>
  <c r="O8" s="1"/>
  <c r="O10" s="1"/>
  <c r="B101"/>
  <c r="C8" s="1"/>
  <c r="C10" s="1"/>
  <c r="Q88" i="14"/>
  <c r="P18" i="59" s="1"/>
  <c r="I102" i="18"/>
  <c r="H17" s="1"/>
  <c r="M87" i="14" s="1"/>
  <c r="I101" i="18"/>
  <c r="H8" s="1"/>
  <c r="E78" i="14"/>
  <c r="B88"/>
  <c r="B18" i="59" s="1"/>
  <c r="Q89" i="14"/>
  <c r="P19" i="59" s="1"/>
  <c r="C20" i="18"/>
  <c r="D87" i="14"/>
  <c r="D17" i="59" s="1"/>
  <c r="D20" s="1"/>
  <c r="J17" i="18"/>
  <c r="J8"/>
  <c r="F87" i="14"/>
  <c r="E20" i="18"/>
  <c r="E10"/>
  <c r="F76" i="14"/>
  <c r="F8" i="59" s="1"/>
  <c r="F10" s="1"/>
  <c r="I17" i="18"/>
  <c r="O17" s="1"/>
  <c r="O20" s="1"/>
  <c r="H20"/>
  <c r="M76" i="14"/>
  <c r="H10" i="18"/>
  <c r="H14" i="15"/>
  <c r="H16" s="1"/>
  <c r="G14"/>
  <c r="G16" s="1"/>
  <c r="M90" i="14" l="1"/>
  <c r="M17" i="59"/>
  <c r="M20" s="1"/>
  <c r="M78" i="14"/>
  <c r="M8" i="59"/>
  <c r="M10" s="1"/>
  <c r="F90" i="14"/>
  <c r="F17" i="59"/>
  <c r="F20" s="1"/>
  <c r="H5" i="48"/>
  <c r="I10" i="14"/>
  <c r="I16" s="1"/>
  <c r="G5" i="48"/>
  <c r="H10" i="14"/>
  <c r="H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27"/>
  <c r="K32"/>
  <c r="K29"/>
  <c r="K25"/>
  <c r="K31"/>
  <c r="K26"/>
  <c r="K30"/>
  <c r="K24"/>
  <c r="K22"/>
  <c r="C24" i="14"/>
  <c r="C26" s="1"/>
  <c r="B7" i="48"/>
  <c r="J27"/>
  <c r="J32"/>
  <c r="J31"/>
  <c r="J29"/>
  <c r="J28"/>
  <c r="J30"/>
  <c r="J24"/>
  <c r="P4"/>
  <c r="Q11" i="14"/>
  <c r="O4" i="48"/>
  <c r="P11" i="14"/>
  <c r="I32" i="48"/>
  <c r="I31"/>
  <c r="I25"/>
  <c r="I29"/>
  <c r="I26"/>
  <c r="I30"/>
  <c r="I27"/>
  <c r="I24"/>
  <c r="I22"/>
  <c r="I28"/>
  <c r="D4"/>
  <c r="D22" s="1"/>
  <c r="E11" i="14"/>
  <c r="H32" i="48"/>
  <c r="H25"/>
  <c r="H29"/>
  <c r="H26"/>
  <c r="H28"/>
  <c r="H24"/>
  <c r="H22"/>
  <c r="H30"/>
  <c r="H23"/>
  <c r="C4"/>
  <c r="D11" i="14"/>
  <c r="G32" i="48"/>
  <c r="G25"/>
  <c r="G26"/>
  <c r="G22"/>
  <c r="G30"/>
  <c r="G29"/>
  <c r="G24"/>
  <c r="G23"/>
  <c r="B4"/>
  <c r="C11" i="14"/>
  <c r="F28" i="48"/>
  <c r="F32"/>
  <c r="F27"/>
  <c r="F31"/>
  <c r="F29"/>
  <c r="F30"/>
  <c r="F24"/>
  <c r="N28"/>
  <c r="N32"/>
  <c r="N27"/>
  <c r="N29"/>
  <c r="N30"/>
  <c r="N24"/>
  <c r="N31"/>
  <c r="C19" i="14"/>
  <c r="B10" i="48"/>
  <c r="E28"/>
  <c r="E32"/>
  <c r="E31"/>
  <c r="E30"/>
  <c r="E29"/>
  <c r="E24"/>
  <c r="M32"/>
  <c r="M25"/>
  <c r="M26"/>
  <c r="M22"/>
  <c r="M29"/>
  <c r="M24"/>
  <c r="M30"/>
  <c r="M23"/>
  <c r="L10" i="14"/>
  <c r="L16" s="1"/>
  <c r="L27" s="1"/>
  <c r="K5" i="48"/>
  <c r="D28"/>
  <c r="D30"/>
  <c r="D31"/>
  <c r="D24"/>
  <c r="D29"/>
  <c r="D32"/>
  <c r="L28"/>
  <c r="L27"/>
  <c r="L32"/>
  <c r="L31"/>
  <c r="L24"/>
  <c r="L29"/>
  <c r="L22"/>
  <c r="L30"/>
  <c r="P5"/>
  <c r="P23" s="1"/>
  <c r="Q10" i="14"/>
  <c r="N46"/>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K23" i="48"/>
  <c r="K15"/>
  <c r="M12" i="22"/>
  <c r="M13" i="48"/>
  <c r="M31" s="1"/>
  <c r="N18" i="14"/>
  <c r="H18"/>
  <c r="G13" i="48"/>
  <c r="I18" i="14"/>
  <c r="H13" i="48"/>
  <c r="H31" s="1"/>
  <c r="P8"/>
  <c r="P26" s="1"/>
  <c r="Q13" i="14"/>
  <c r="P15" i="48"/>
  <c r="P22"/>
  <c r="P33" s="1"/>
  <c r="F20" i="14"/>
  <c r="F22" s="1"/>
  <c r="E9" i="48"/>
  <c r="E27" s="1"/>
  <c r="E20" i="14"/>
  <c r="E22" s="1"/>
  <c r="D9" i="48"/>
  <c r="D27" s="1"/>
  <c r="O5"/>
  <c r="O23" s="1"/>
  <c r="P10" i="14"/>
  <c r="J7" i="48"/>
  <c r="J25" s="1"/>
  <c r="K24" i="14"/>
  <c r="K26" s="1"/>
  <c r="O22" i="48"/>
  <c r="B9"/>
  <c r="C20" i="14"/>
  <c r="J46"/>
  <c r="J61" s="1"/>
  <c r="Q16"/>
  <c r="Q27" s="1"/>
  <c r="Q63"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9"/>
  <c r="I20" i="14"/>
  <c r="M10" i="48"/>
  <c r="M28" s="1"/>
  <c r="N19" i="14"/>
  <c r="G10" i="48"/>
  <c r="H19" i="14"/>
  <c r="R19" s="1"/>
  <c r="R18"/>
  <c r="E12" i="13"/>
  <c r="F41" i="14" s="1"/>
  <c r="E4" i="48"/>
  <c r="F11" i="14"/>
  <c r="G31" i="48"/>
  <c r="Q13"/>
  <c r="I23"/>
  <c r="I33" s="1"/>
  <c r="I15"/>
  <c r="J4"/>
  <c r="K11" i="14"/>
  <c r="F24"/>
  <c r="F26" s="1"/>
  <c r="E7" i="48"/>
  <c r="E25" s="1"/>
  <c r="N20" i="14"/>
  <c r="M9" i="48"/>
  <c r="O22" i="16"/>
  <c r="P43" i="14" s="1"/>
  <c r="P46" s="1"/>
  <c r="P61" s="1"/>
  <c r="P63" s="1"/>
  <c r="P13"/>
  <c r="O8" i="48"/>
  <c r="N22" i="14"/>
  <c r="N27" s="1"/>
  <c r="I22"/>
  <c r="I27" s="1"/>
  <c r="J63"/>
  <c r="G14" i="22"/>
  <c r="C22" i="14"/>
  <c r="P16"/>
  <c r="P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5" i="48" l="1"/>
  <c r="E23" s="1"/>
  <c r="F10" i="14"/>
  <c r="J5" i="48"/>
  <c r="J23" s="1"/>
  <c r="K10" i="14"/>
  <c r="O26" i="48"/>
  <c r="O33" s="1"/>
  <c r="O15"/>
  <c r="J22"/>
  <c r="H27"/>
  <c r="H33" s="1"/>
  <c r="H15"/>
  <c r="E22"/>
  <c r="Q4"/>
  <c r="H20" i="14"/>
  <c r="R20" s="1"/>
  <c r="G9" i="48"/>
  <c r="M27"/>
  <c r="M33" s="1"/>
  <c r="M15"/>
  <c r="G28"/>
  <c r="Q10"/>
  <c r="H22" i="14"/>
  <c r="H27" s="1"/>
  <c r="R22"/>
  <c r="R24"/>
  <c r="R26" s="1"/>
  <c r="R11"/>
  <c r="J20" i="15"/>
  <c r="K40" i="14" s="1"/>
  <c r="Q7" i="48"/>
  <c r="E20" i="15"/>
  <c r="F40" i="14" s="1"/>
  <c r="J18" i="16"/>
  <c r="E18"/>
  <c r="F18"/>
  <c r="F22" s="1"/>
  <c r="G43" i="14" s="1"/>
  <c r="N18" i="16"/>
  <c r="G18" i="22"/>
  <c r="H50" i="14" s="1"/>
  <c r="H52" s="1"/>
  <c r="H61" s="1"/>
  <c r="H63" s="1"/>
  <c r="E22" i="16"/>
  <c r="F43" i="14" s="1"/>
  <c r="H18" i="22"/>
  <c r="I50" i="14" s="1"/>
  <c r="I52" s="1"/>
  <c r="I61" s="1"/>
  <c r="I63" s="1"/>
  <c r="J22" i="16" l="1"/>
  <c r="K43" i="14" s="1"/>
  <c r="K46" s="1"/>
  <c r="K61" s="1"/>
  <c r="K63" s="1"/>
  <c r="J8" i="48"/>
  <c r="J26" s="1"/>
  <c r="K13" i="14"/>
  <c r="K16" s="1"/>
  <c r="K27" s="1"/>
  <c r="E8" i="48"/>
  <c r="E26" s="1"/>
  <c r="E33" s="1"/>
  <c r="F13" i="14"/>
  <c r="G27" i="48"/>
  <c r="G33" s="1"/>
  <c r="G15"/>
  <c r="Q9"/>
  <c r="J33"/>
  <c r="F16" i="14"/>
  <c r="F27" s="1"/>
  <c r="F46"/>
  <c r="F61" s="1"/>
  <c r="J15" i="48"/>
  <c r="N8"/>
  <c r="N26" s="1"/>
  <c r="O13" i="14"/>
  <c r="N22" i="16"/>
  <c r="O43" i="14" s="1"/>
  <c r="G13"/>
  <c r="F8" i="48"/>
  <c r="R13" i="14" l="1"/>
  <c r="F63"/>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<sst xmlns="http://schemas.openxmlformats.org/spreadsheetml/2006/main" count="2392" uniqueCount="890">
  <si>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</si>
  <si>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</si>
  <si>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</si>
  <si>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</si>
  <si>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</si>
  <si>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</si>
  <si>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</si>
  <si>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</si>
  <si>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</si>
  <si>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</si>
  <si>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</si>
  <si>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</si>
  <si>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</si>
  <si>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</si>
  <si>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</si>
  <si>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</si>
  <si>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</si>
  <si>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</si>
  <si>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</si>
  <si>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</si>
  <si>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</si>
  <si>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</si>
  <si>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</si>
  <si>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</si>
  <si>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</si>
  <si>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</si>
  <si>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</si>
  <si>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</si>
  <si>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</si>
  <si>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</si>
  <si>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</si>
  <si>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</si>
  <si>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</si>
  <si>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</si>
  <si>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</si>
  <si>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</si>
  <si>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</si>
  <si>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</si>
  <si>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</si>
  <si>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</si>
  <si>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</si>
  <si>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</si>
  <si>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</si>
  <si>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</si>
  <si>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</si>
  <si>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</si>
  <si>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</si>
  <si>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</si>
  <si>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</si>
  <si>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</si>
  <si>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</si>
  <si>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</si>
  <si>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</si>
  <si>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</si>
  <si>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</si>
  <si>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</si>
  <si>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</si>
  <si>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</si>
  <si>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</si>
  <si>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</si>
  <si>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</si>
  <si>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</si>
  <si>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</si>
  <si>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</si>
  <si>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</si>
  <si>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</si>
  <si>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</si>
  <si>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</si>
  <si>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</si>
  <si>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</si>
  <si>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</si>
  <si>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</si>
  <si>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</si>
  <si>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</si>
  <si>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</si>
  <si>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</si>
  <si>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</si>
  <si>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</si>
  <si>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</si>
  <si>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</si>
  <si>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</si>
  <si>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</si>
  <si>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</si>
  <si>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</si>
  <si>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</si>
  <si>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</si>
  <si>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</si>
  <si>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</si>
  <si>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</si>
  <si>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</si>
  <si>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</si>
  <si>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</si>
  <si>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</si>
  <si>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</si>
  <si>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</si>
  <si>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</si>
  <si>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</si>
  <si>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</si>
  <si>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</si>
  <si>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</si>
  <si>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</si>
  <si>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</si>
  <si>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</si>
  <si>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</si>
  <si>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</si>
  <si>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</si>
  <si>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</si>
  <si>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</si>
  <si>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</si>
  <si>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</si>
  <si>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</si>
  <si>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</si>
  <si>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</si>
  <si>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</si>
  <si>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</si>
  <si>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</si>
  <si>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</si>
  <si>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</si>
  <si>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</si>
  <si>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</si>
  <si>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</si>
  <si>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</si>
  <si>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</si>
  <si>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</si>
  <si>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</si>
  <si>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</si>
  <si>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</si>
  <si>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</si>
  <si>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</si>
  <si>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</si>
  <si>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</si>
  <si>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</si>
  <si>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</si>
  <si>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</si>
  <si>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</si>
  <si>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</si>
  <si>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</si>
  <si>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</si>
  <si>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</si>
  <si>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</si>
  <si>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</si>
  <si>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</si>
  <si>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</si>
  <si>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</si>
  <si>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</si>
  <si>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</si>
  <si>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</si>
  <si>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</si>
  <si>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</si>
  <si>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</si>
  <si>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</si>
  <si>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</si>
  <si>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</si>
  <si>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</si>
  <si>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</si>
  <si>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</si>
  <si>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</si>
  <si>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</si>
  <si>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</si>
  <si>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</si>
  <si>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</si>
  <si>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</si>
  <si>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</si>
  <si>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</si>
  <si>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</si>
  <si>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</si>
  <si>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</si>
  <si>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</si>
  <si>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</si>
  <si>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</si>
  <si>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</si>
  <si>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</si>
  <si>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</si>
  <si>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</si>
  <si>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</si>
  <si>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</si>
  <si>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</si>
  <si>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</si>
  <si>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</si>
  <si>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</si>
  <si>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</si>
  <si>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</si>
  <si>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</si>
  <si>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</si>
  <si>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</si>
  <si>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</si>
  <si>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</si>
  <si>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</si>
  <si>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</si>
  <si>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</si>
  <si>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</si>
  <si>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</si>
  <si>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</si>
  <si>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</si>
  <si>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</si>
  <si>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</si>
  <si>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</si>
  <si>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</si>
  <si>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</si>
  <si>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</si>
  <si>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</si>
  <si>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</si>
  <si>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</si>
  <si>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</si>
  <si>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</si>
  <si>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</si>
  <si>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</si>
  <si>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</si>
  <si>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</si>
  <si>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</si>
  <si>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</si>
  <si>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</si>
  <si>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</si>
  <si>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</si>
  <si>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</si>
  <si>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</si>
  <si>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</si>
  <si>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</si>
  <si>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</si>
  <si>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</si>
  <si>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</si>
  <si>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</si>
  <si>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</si>
  <si>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</si>
  <si>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</si>
  <si>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</si>
  <si>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</si>
  <si>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</si>
  <si>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</si>
  <si>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</si>
  <si>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</si>
  <si>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</si>
  <si>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</si>
  <si>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</si>
  <si>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</si>
  <si>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</si>
  <si>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</si>
  <si>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</si>
  <si>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</si>
  <si>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</si>
  <si>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</si>
  <si>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</si>
  <si>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</si>
  <si>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</si>
  <si>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</si>
  <si>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</si>
  <si>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</si>
  <si>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</si>
  <si>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</si>
  <si>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</si>
  <si>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</si>
  <si>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</si>
  <si>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</si>
  <si>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</si>
  <si>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</si>
  <si>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</si>
  <si>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</si>
  <si>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</si>
  <si>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</si>
  <si>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</si>
  <si>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</si>
  <si>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</si>
  <si>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</si>
  <si>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</si>
  <si>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</si>
  <si>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</si>
  <si>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</si>
  <si>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</si>
  <si>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</si>
  <si>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</si>
  <si>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</si>
  <si>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</si>
  <si>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</si>
  <si>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</si>
  <si>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</si>
  <si>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</si>
  <si>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</si>
  <si>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</si>
  <si>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</si>
  <si>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</si>
  <si>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</si>
  <si>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</si>
  <si>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</si>
  <si>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</si>
  <si>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</si>
  <si>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</si>
  <si>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</si>
  <si>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</si>
  <si>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</si>
  <si>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</si>
  <si>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</si>
  <si>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</si>
  <si>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</si>
  <si>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</si>
  <si>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</si>
  <si>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</si>
  <si>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</si>
  <si>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</si>
  <si>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</si>
  <si>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</si>
  <si>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</si>
  <si>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</si>
  <si>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</si>
  <si>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</si>
  <si>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</si>
  <si>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</si>
  <si>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</si>
  <si>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</si>
  <si>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</si>
  <si>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</si>
  <si>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</si>
  <si>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</si>
  <si>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</si>
  <si>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</si>
  <si>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</si>
  <si>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</si>
  <si>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</si>
  <si>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</si>
  <si>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</si>
  <si>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</si>
  <si>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</si>
  <si>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</si>
  <si>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</si>
  <si>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</si>
  <si>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</si>
  <si>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</si>
  <si>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</si>
  <si>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</si>
  <si>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</si>
  <si>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</si>
  <si>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</si>
  <si>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</si>
  <si>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</si>
  <si>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</si>
  <si>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</si>
  <si>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</si>
  <si>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</si>
  <si>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</si>
  <si>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</si>
  <si>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</si>
  <si>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</si>
  <si>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</si>
  <si>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</si>
  <si>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</si>
  <si>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</si>
  <si>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</si>
  <si>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</si>
  <si>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</si>
  <si>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</si>
  <si>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</si>
  <si>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</si>
  <si>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</si>
  <si>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</si>
  <si>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</si>
  <si>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</si>
  <si>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</si>
  <si>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</si>
  <si>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</si>
  <si>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</si>
  <si>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</si>
  <si>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</si>
  <si>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</si>
  <si>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</si>
  <si>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</si>
  <si>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</si>
  <si>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</si>
  <si>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</si>
  <si>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</si>
  <si>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</si>
  <si>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</si>
  <si>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</si>
  <si>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</si>
  <si>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</si>
  <si>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</si>
  <si>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</si>
  <si>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</si>
  <si>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</si>
  <si>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</si>
  <si>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</si>
  <si>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</si>
  <si>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</si>
  <si>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</si>
  <si>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</si>
  <si>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</si>
  <si>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</si>
  <si>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</si>
  <si>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</si>
  <si>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</si>
  <si>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</si>
  <si>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</si>
  <si>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</si>
  <si>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</si>
  <si>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</si>
  <si>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</si>
  <si>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</si>
  <si>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</si>
  <si>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</si>
  <si>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</si>
  <si>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</si>
  <si>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</si>
  <si>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</si>
  <si>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</si>
  <si>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</si>
  <si>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</si>
  <si>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</si>
  <si>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</si>
  <si>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</si>
  <si>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</si>
  <si>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</si>
  <si>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</si>
  <si>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</si>
  <si>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</si>
  <si>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</si>
  <si>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</si>
  <si>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</si>
  <si>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</si>
  <si>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</si>
  <si>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</si>
  <si>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</si>
  <si>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</si>
  <si>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</si>
  <si>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</si>
  <si>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</si>
  <si>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</si>
  <si>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</si>
  <si>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</si>
  <si>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</si>
  <si>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</si>
  <si>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</si>
  <si>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</si>
  <si>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</si>
  <si>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</si>
  <si>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</si>
  <si>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</si>
  <si>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</si>
  <si>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</si>
  <si>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</si>
  <si>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</si>
  <si>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</si>
  <si>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</si>
  <si>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</si>
  <si>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</si>
  <si>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</si>
  <si>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</si>
  <si>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</si>
  <si>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</si>
  <si>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</si>
  <si>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</si>
  <si>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</si>
  <si>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</si>
  <si>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</si>
  <si>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</si>
  <si>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</si>
  <si>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</si>
  <si>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</si>
  <si>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</si>
  <si>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</si>
  <si>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</si>
  <si>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</si>
  <si>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</si>
  <si>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</si>
  <si>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</si>
  <si>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</si>
  <si>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</si>
  <si>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</si>
  <si>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</si>
  <si>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</si>
  <si>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</si>
  <si>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</si>
  <si>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</si>
  <si>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</si>
  <si>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</si>
  <si>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</si>
  <si>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</si>
  <si>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</si>
  <si>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</si>
  <si>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</si>
  <si>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</si>
  <si>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</si>
  <si>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</si>
  <si>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</si>
  <si>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</si>
  <si>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</si>
  <si>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</si>
  <si>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</si>
  <si>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</si>
  <si>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</si>
  <si>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</si>
  <si>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</si>
  <si>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</si>
  <si>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</si>
  <si>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</si>
  <si>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</si>
  <si>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</si>
  <si>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</si>
  <si>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</si>
  <si>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</si>
  <si>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</si>
  <si>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</si>
  <si>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</si>
  <si>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</si>
  <si>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</si>
  <si>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</si>
  <si>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</si>
  <si>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</si>
  <si>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</si>
  <si>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</si>
  <si>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</si>
  <si>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</si>
  <si>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</si>
  <si>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</si>
  <si>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</si>
  <si>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</si>
  <si>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</si>
  <si>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</si>
  <si>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</si>
  <si>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</si>
  <si>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</si>
  <si>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</si>
  <si>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</si>
  <si>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</si>
  <si>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</si>
  <si>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</si>
  <si>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</si>
  <si>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</si>
  <si>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</si>
  <si>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</si>
  <si>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</si>
  <si>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</si>
  <si>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</si>
  <si>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</si>
  <si>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</si>
  <si>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</si>
  <si>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</si>
  <si>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</si>
  <si>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</si>
  <si>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</si>
  <si>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</si>
  <si>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</si>
  <si>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</si>
  <si>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</si>
  <si>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</si>
  <si>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</si>
  <si>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</si>
  <si>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</si>
  <si>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</si>
  <si>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</si>
  <si>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</si>
  <si>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</si>
  <si>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</si>
  <si>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</si>
  <si>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</si>
  <si>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</si>
  <si>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</si>
  <si>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</si>
  <si>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</si>
  <si>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</si>
  <si>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</si>
  <si>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</si>
  <si>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</si>
  <si>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</si>
  <si>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</si>
  <si>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</si>
  <si>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</si>
  <si>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</si>
  <si>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</si>
  <si>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</si>
  <si>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</si>
  <si>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</si>
  <si>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</si>
  <si>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</si>
  <si>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</si>
  <si>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</si>
  <si>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</si>
  <si>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</si>
  <si>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</si>
  <si>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</si>
  <si>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</si>
  <si>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</si>
  <si>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</si>
  <si>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</si>
  <si>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</si>
  <si>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</si>
  <si>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</si>
  <si>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</si>
  <si>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</si>
  <si>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</si>
  <si>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</si>
  <si>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</si>
  <si>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</si>
  <si>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</si>
  <si>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</si>
  <si>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</si>
  <si>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</si>
  <si>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</si>
  <si>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</si>
  <si>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</si>
  <si>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</si>
  <si>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</si>
  <si>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</si>
  <si>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</si>
  <si>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</si>
  <si>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</si>
  <si>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</si>
  <si>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</si>
  <si>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</si>
  <si>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</si>
  <si>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</si>
  <si>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</si>
  <si>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</si>
  <si>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</si>
  <si>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</si>
  <si>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</si>
  <si>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</si>
  <si>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</si>
  <si>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</si>
  <si>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</si>
  <si>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</si>
  <si>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</si>
  <si>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</si>
  <si>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</si>
  <si>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</si>
  <si>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</si>
  <si>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</si>
  <si>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</si>
  <si>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</si>
  <si>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</si>
  <si>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</si>
  <si>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</si>
  <si>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</si>
  <si>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</si>
  <si>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</si>
  <si>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</si>
  <si>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</si>
  <si>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</si>
  <si>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</si>
  <si>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</si>
  <si>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</si>
  <si>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</si>
  <si>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</si>
  <si>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</si>
  <si>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</si>
  <si>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</si>
  <si>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</si>
  <si>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</si>
  <si>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</si>
  <si>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</si>
  <si>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</si>
  <si>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</si>
  <si>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</si>
  <si>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</si>
  <si>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</si>
  <si>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</si>
  <si>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</si>
  <si>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</si>
  <si>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</si>
  <si>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</si>
  <si>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</si>
  <si>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</si>
  <si>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</si>
  <si>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</si>
  <si>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</si>
  <si>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</si>
  <si>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</si>
  <si>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</si>
  <si>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</si>
  <si>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</si>
  <si>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</si>
  <si>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</si>
  <si>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</si>
  <si>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</si>
  <si>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</si>
  <si>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</si>
  <si>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</si>
  <si>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</si>
  <si>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</si>
  <si>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</si>
  <si>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</si>
  <si>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</si>
  <si>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</si>
  <si>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</si>
  <si>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</si>
  <si>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</si>
  <si>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</si>
  <si>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</si>
  <si>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</si>
  <si>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</si>
  <si>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</si>
  <si>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</si>
  <si>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</si>
  <si>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</si>
  <si>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</si>
  <si>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</si>
  <si>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</si>
  <si>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</si>
  <si>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</si>
  <si>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</si>
  <si>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</si>
  <si>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</si>
  <si>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</si>
  <si>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</si>
  <si>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</si>
  <si>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</si>
  <si>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</si>
  <si>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</si>
  <si>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</si>
  <si>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</si>
  <si>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</si>
  <si>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</si>
  <si>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</si>
  <si>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</si>
  <si>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</si>
  <si>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</si>
  <si>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</si>
  <si>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</si>
  <si>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</si>
  <si>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</si>
  <si>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</si>
  <si>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</si>
  <si>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</si>
  <si>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</si>
  <si>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</si>
  <si>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</si>
  <si>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</si>
  <si>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</si>
  <si>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</si>
  <si>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</si>
  <si>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</si>
  <si>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</si>
  <si>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</si>
  <si>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</si>
  <si>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</si>
  <si>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</si>
  <si>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</si>
  <si>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</si>
  <si>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</si>
  <si>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</si>
  <si>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</si>
  <si>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</si>
  <si>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</si>
  <si>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</si>
  <si>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</si>
  <si>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</si>
  <si>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</si>
  <si>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</si>
  <si>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</si>
  <si>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</si>
  <si>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</si>
  <si>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</si>
  <si>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</si>
  <si>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</si>
  <si>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</si>
  <si>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</si>
  <si>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</si>
  <si>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</si>
  <si>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</si>
  <si>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</si>
  <si>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</si>
  <si>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</si>
  <si>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</si>
  <si>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</si>
  <si>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</si>
  <si>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</si>
  <si>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</si>
  <si>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</si>
  <si>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</si>
  <si>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</si>
  <si>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</si>
  <si>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</si>
  <si>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</si>
  <si>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</si>
  <si>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</si>
  <si>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</si>
  <si>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</si>
  <si>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</si>
  <si>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</si>
  <si>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</si>
  <si>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</si>
  <si>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</si>
  <si>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</si>
  <si>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</si>
  <si>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</si>
  <si>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</si>
  <si>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</si>
  <si>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</si>
  <si>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</si>
  <si>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</si>
  <si>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</si>
  <si>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</si>
  <si>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</si>
  <si>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</si>
  <si>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</si>
  <si>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</si>
  <si>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</si>
  <si>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</si>
  <si>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</si>
  <si>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</si>
  <si>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</si>
  <si>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</si>
  <si>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</si>
  <si>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</si>
  <si>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</si>
  <si>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</si>
  <si>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</si>
  <si>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</si>
  <si>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</si>
  <si>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</si>
  <si>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</si>
  <si>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</si>
  <si>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</si>
  <si>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</si>
  <si>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</si>
  <si>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</si>
  <si>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</si>
  <si>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</si>
  <si>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</si>
  <si>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</si>
  <si>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</si>
  <si>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</si>
  <si>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</si>
  <si>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</si>
  <si>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</si>
  <si>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</si>
  <si>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</si>
  <si>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</si>
  <si>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</si>
  <si>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</si>
  <si>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</si>
  <si>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</si>
  <si>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</si>
  <si>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</si>
  <si>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</si>
  <si>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</si>
  <si>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</si>
  <si>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</si>
  <si>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</si>
  <si>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</si>
  <si>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</si>
  <si>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</si>
  <si>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</si>
  <si>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</si>
  <si>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</si>
  <si>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</si>
  <si>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</si>
  <si>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</si>
  <si>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</si>
  <si>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</si>
  <si>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</si>
  <si>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</si>
  <si>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</si>
  <si>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</si>
  <si>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</si>
  <si>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</si>
  <si>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</si>
  <si>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</si>
  <si>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</si>
  <si>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</si>
  <si>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</si>
  <si>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</si>
  <si>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</si>
  <si>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</si>
  <si>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</si>
  <si>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</si>
  <si>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</si>
  <si>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</si>
  <si>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</si>
  <si>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</si>
  <si>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</si>
  <si>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</si>
  <si>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</si>
  <si>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</si>
  <si>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</si>
  <si>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</si>
  <si>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</si>
  <si>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</si>
  <si>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</si>
  <si>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</si>
  <si>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</si>
  <si>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</si>
  <si>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</si>
  <si>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</si>
  <si>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</si>
  <si>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31043</t>
  </si>
  <si>
    <t>KNOKKE-HEIST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</si>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</sst>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271644.16851500381</c:v>
                </c:pt>
                <c:pt idx="1">
                  <c:v>233505.03714812899</c:v>
                </c:pt>
                <c:pt idx="2">
                  <c:v>3096.2370000000001</c:v>
                </c:pt>
                <c:pt idx="3">
                  <c:v>9143.4981554365004</c:v>
                </c:pt>
                <c:pt idx="4">
                  <c:v>34895.011626780477</c:v>
                </c:pt>
                <c:pt idx="5">
                  <c:v>128422.88781022369</c:v>
                </c:pt>
                <c:pt idx="6">
                  <c:v>2264.1519130384163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271644.16851500381</c:v>
                </c:pt>
                <c:pt idx="1">
                  <c:v>233505.03714812899</c:v>
                </c:pt>
                <c:pt idx="2">
                  <c:v>3096.2370000000001</c:v>
                </c:pt>
                <c:pt idx="3">
                  <c:v>9143.4981554365004</c:v>
                </c:pt>
                <c:pt idx="4">
                  <c:v>34895.011626780477</c:v>
                </c:pt>
                <c:pt idx="5">
                  <c:v>128422.88781022369</c:v>
                </c:pt>
                <c:pt idx="6">
                  <c:v>2264.1519130384163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55807.233198678194</c:v>
                </c:pt>
                <c:pt idx="2">
                  <c:v>48725.250433156245</c:v>
                </c:pt>
                <c:pt idx="3">
                  <c:v>672.72418267031435</c:v>
                </c:pt>
                <c:pt idx="4">
                  <c:v>2319.785482730691</c:v>
                </c:pt>
                <c:pt idx="5">
                  <c:v>6999.8522061328495</c:v>
                </c:pt>
                <c:pt idx="6">
                  <c:v>32862.248142051692</c:v>
                </c:pt>
                <c:pt idx="7">
                  <c:v>560.09432535747555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55807.233198678194</c:v>
                </c:pt>
                <c:pt idx="2">
                  <c:v>48725.250433156245</c:v>
                </c:pt>
                <c:pt idx="3">
                  <c:v>672.72418267031435</c:v>
                </c:pt>
                <c:pt idx="4">
                  <c:v>2319.785482730691</c:v>
                </c:pt>
                <c:pt idx="5">
                  <c:v>6999.8522061328495</c:v>
                </c:pt>
                <c:pt idx="6">
                  <c:v>32862.248142051692</c:v>
                </c:pt>
                <c:pt idx="7">
                  <c:v>560.09432535747555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31043</v>
      </c>
      <c r="B6" s="415"/>
      <c r="C6" s="416"/>
    </row>
    <row r="7" spans="1:7" s="413" customFormat="1" ht="15.75" customHeight="1">
      <c r="A7" s="417" t="str">
        <f>txtMunicipality</f>
        <v>KNOKKE-HEIST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0.21727154047649272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0.21727154047649272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16824</v>
      </c>
      <c r="C9" s="342">
        <v>17564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3349.69</v>
      </c>
    </row>
    <row r="15" spans="1:6">
      <c r="A15" s="348" t="s">
        <v>184</v>
      </c>
      <c r="B15" s="334">
        <v>20</v>
      </c>
    </row>
    <row r="16" spans="1:6">
      <c r="A16" s="348" t="s">
        <v>6</v>
      </c>
      <c r="B16" s="334">
        <v>580</v>
      </c>
    </row>
    <row r="17" spans="1:6">
      <c r="A17" s="348" t="s">
        <v>7</v>
      </c>
      <c r="B17" s="334">
        <v>1128</v>
      </c>
    </row>
    <row r="18" spans="1:6">
      <c r="A18" s="348" t="s">
        <v>8</v>
      </c>
      <c r="B18" s="334">
        <v>1467</v>
      </c>
    </row>
    <row r="19" spans="1:6">
      <c r="A19" s="348" t="s">
        <v>9</v>
      </c>
      <c r="B19" s="334">
        <v>1310</v>
      </c>
    </row>
    <row r="20" spans="1:6">
      <c r="A20" s="348" t="s">
        <v>10</v>
      </c>
      <c r="B20" s="334">
        <v>887</v>
      </c>
    </row>
    <row r="21" spans="1:6">
      <c r="A21" s="348" t="s">
        <v>11</v>
      </c>
      <c r="B21" s="334">
        <v>1042</v>
      </c>
    </row>
    <row r="22" spans="1:6">
      <c r="A22" s="348" t="s">
        <v>12</v>
      </c>
      <c r="B22" s="334">
        <v>5070</v>
      </c>
    </row>
    <row r="23" spans="1:6">
      <c r="A23" s="348" t="s">
        <v>13</v>
      </c>
      <c r="B23" s="334">
        <v>42</v>
      </c>
    </row>
    <row r="24" spans="1:6">
      <c r="A24" s="348" t="s">
        <v>14</v>
      </c>
      <c r="B24" s="334">
        <v>4</v>
      </c>
    </row>
    <row r="25" spans="1:6">
      <c r="A25" s="348" t="s">
        <v>15</v>
      </c>
      <c r="B25" s="334">
        <v>287</v>
      </c>
    </row>
    <row r="26" spans="1:6">
      <c r="A26" s="348" t="s">
        <v>16</v>
      </c>
      <c r="B26" s="334">
        <v>249</v>
      </c>
    </row>
    <row r="27" spans="1:6">
      <c r="A27" s="348" t="s">
        <v>17</v>
      </c>
      <c r="B27" s="334">
        <v>0</v>
      </c>
    </row>
    <row r="28" spans="1:6" s="356" customFormat="1">
      <c r="A28" s="355" t="s">
        <v>18</v>
      </c>
      <c r="B28" s="355">
        <v>41025</v>
      </c>
    </row>
    <row r="29" spans="1:6">
      <c r="A29" s="355" t="s">
        <v>884</v>
      </c>
      <c r="B29" s="355">
        <v>514</v>
      </c>
      <c r="C29" s="356"/>
      <c r="D29" s="356"/>
      <c r="E29" s="356"/>
      <c r="F29" s="356"/>
    </row>
    <row r="30" spans="1:6">
      <c r="A30" s="355" t="s">
        <v>885</v>
      </c>
      <c r="B30" s="341">
        <v>96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v>
      </c>
      <c r="D36" s="334">
        <v>1001986.2198</v>
      </c>
      <c r="E36" s="334">
        <v>3</v>
      </c>
      <c r="F36" s="334">
        <v>4003.6716108999999</v>
      </c>
    </row>
    <row r="37" spans="1:6">
      <c r="A37" s="348" t="s">
        <v>25</v>
      </c>
      <c r="B37" s="348" t="s">
        <v>28</v>
      </c>
      <c r="C37" s="334">
        <v>0</v>
      </c>
      <c r="D37" s="334">
        <v>0</v>
      </c>
      <c r="E37" s="334">
        <v>0</v>
      </c>
      <c r="F37" s="334">
        <v>0</v>
      </c>
    </row>
    <row r="38" spans="1:6">
      <c r="A38" s="348" t="s">
        <v>25</v>
      </c>
      <c r="B38" s="348" t="s">
        <v>29</v>
      </c>
      <c r="C38" s="334">
        <v>0</v>
      </c>
      <c r="D38" s="334">
        <v>0</v>
      </c>
      <c r="E38" s="334">
        <v>5</v>
      </c>
      <c r="F38" s="334">
        <v>15029.344915</v>
      </c>
    </row>
    <row r="39" spans="1:6">
      <c r="A39" s="348" t="s">
        <v>30</v>
      </c>
      <c r="B39" s="348" t="s">
        <v>31</v>
      </c>
      <c r="C39" s="334">
        <v>19754</v>
      </c>
      <c r="D39" s="334">
        <v>224466351.40000001</v>
      </c>
      <c r="E39" s="334">
        <v>27044</v>
      </c>
      <c r="F39" s="334">
        <v>66465215.924000002</v>
      </c>
    </row>
    <row r="40" spans="1:6">
      <c r="A40" s="348" t="s">
        <v>30</v>
      </c>
      <c r="B40" s="348" t="s">
        <v>29</v>
      </c>
      <c r="C40" s="334">
        <v>1</v>
      </c>
      <c r="D40" s="334">
        <v>5099.2134623000002</v>
      </c>
      <c r="E40" s="334">
        <v>1</v>
      </c>
      <c r="F40" s="334">
        <v>1359.0721767</v>
      </c>
    </row>
    <row r="41" spans="1:6">
      <c r="A41" s="348" t="s">
        <v>32</v>
      </c>
      <c r="B41" s="348" t="s">
        <v>33</v>
      </c>
      <c r="C41" s="334">
        <v>468</v>
      </c>
      <c r="D41" s="334">
        <v>7116963.7830999997</v>
      </c>
      <c r="E41" s="334">
        <v>868</v>
      </c>
      <c r="F41" s="334">
        <v>6067387.9414999997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34169.233590999997</v>
      </c>
      <c r="E44" s="334">
        <v>18</v>
      </c>
      <c r="F44" s="334">
        <v>177658.67908999999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152770.29868000001</v>
      </c>
      <c r="E47" s="334">
        <v>7</v>
      </c>
      <c r="F47" s="334">
        <v>63402.000824000002</v>
      </c>
    </row>
    <row r="48" spans="1:6">
      <c r="A48" s="348" t="s">
        <v>32</v>
      </c>
      <c r="B48" s="348" t="s">
        <v>29</v>
      </c>
      <c r="C48" s="334">
        <v>70</v>
      </c>
      <c r="D48" s="334">
        <v>2211409.86</v>
      </c>
      <c r="E48" s="334">
        <v>88</v>
      </c>
      <c r="F48" s="334">
        <v>3983944.6181000001</v>
      </c>
    </row>
    <row r="49" spans="1:6">
      <c r="A49" s="348" t="s">
        <v>32</v>
      </c>
      <c r="B49" s="348" t="s">
        <v>40</v>
      </c>
      <c r="C49" s="334">
        <v>4</v>
      </c>
      <c r="D49" s="334">
        <v>107679.11186</v>
      </c>
      <c r="E49" s="334">
        <v>6</v>
      </c>
      <c r="F49" s="334">
        <v>91975.612074999997</v>
      </c>
    </row>
    <row r="50" spans="1:6">
      <c r="A50" s="348" t="s">
        <v>32</v>
      </c>
      <c r="B50" s="348" t="s">
        <v>41</v>
      </c>
      <c r="C50" s="334">
        <v>37</v>
      </c>
      <c r="D50" s="334">
        <v>2040103.0297000001</v>
      </c>
      <c r="E50" s="334">
        <v>60</v>
      </c>
      <c r="F50" s="334">
        <v>1956343.2851</v>
      </c>
    </row>
    <row r="51" spans="1:6">
      <c r="A51" s="348" t="s">
        <v>42</v>
      </c>
      <c r="B51" s="348" t="s">
        <v>43</v>
      </c>
      <c r="C51" s="334">
        <v>39</v>
      </c>
      <c r="D51" s="334">
        <v>666485.57782000001</v>
      </c>
      <c r="E51" s="334">
        <v>123</v>
      </c>
      <c r="F51" s="334">
        <v>1526919.9214000001</v>
      </c>
    </row>
    <row r="52" spans="1:6">
      <c r="A52" s="348" t="s">
        <v>42</v>
      </c>
      <c r="B52" s="348" t="s">
        <v>29</v>
      </c>
      <c r="C52" s="334">
        <v>15</v>
      </c>
      <c r="D52" s="334">
        <v>286682.50329000002</v>
      </c>
      <c r="E52" s="334">
        <v>14</v>
      </c>
      <c r="F52" s="334">
        <v>189938.91305</v>
      </c>
    </row>
    <row r="53" spans="1:6">
      <c r="A53" s="348" t="s">
        <v>44</v>
      </c>
      <c r="B53" s="348" t="s">
        <v>45</v>
      </c>
      <c r="C53" s="334">
        <v>4633</v>
      </c>
      <c r="D53" s="334">
        <v>47125609.347999997</v>
      </c>
      <c r="E53" s="334">
        <v>7663</v>
      </c>
      <c r="F53" s="334">
        <v>16942027.940000001</v>
      </c>
    </row>
    <row r="54" spans="1:6">
      <c r="A54" s="348" t="s">
        <v>46</v>
      </c>
      <c r="B54" s="348" t="s">
        <v>47</v>
      </c>
      <c r="C54" s="334">
        <v>0</v>
      </c>
      <c r="D54" s="334">
        <v>0</v>
      </c>
      <c r="E54" s="334">
        <v>1</v>
      </c>
      <c r="F54" s="334">
        <v>3096237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150</v>
      </c>
      <c r="D57" s="334">
        <v>6147801.8221000005</v>
      </c>
      <c r="E57" s="334">
        <v>332</v>
      </c>
      <c r="F57" s="334">
        <v>8496772.3260999992</v>
      </c>
    </row>
    <row r="58" spans="1:6">
      <c r="A58" s="348" t="s">
        <v>49</v>
      </c>
      <c r="B58" s="348" t="s">
        <v>51</v>
      </c>
      <c r="C58" s="334">
        <v>170</v>
      </c>
      <c r="D58" s="334">
        <v>4683446.8921999997</v>
      </c>
      <c r="E58" s="334">
        <v>245</v>
      </c>
      <c r="F58" s="334">
        <v>1425843.1438</v>
      </c>
    </row>
    <row r="59" spans="1:6">
      <c r="A59" s="348" t="s">
        <v>49</v>
      </c>
      <c r="B59" s="348" t="s">
        <v>52</v>
      </c>
      <c r="C59" s="334">
        <v>772</v>
      </c>
      <c r="D59" s="334">
        <v>14808969.75</v>
      </c>
      <c r="E59" s="334">
        <v>1447</v>
      </c>
      <c r="F59" s="334">
        <v>28666505.081</v>
      </c>
    </row>
    <row r="60" spans="1:6">
      <c r="A60" s="348" t="s">
        <v>49</v>
      </c>
      <c r="B60" s="348" t="s">
        <v>53</v>
      </c>
      <c r="C60" s="334">
        <v>412</v>
      </c>
      <c r="D60" s="334">
        <v>20794092.971999999</v>
      </c>
      <c r="E60" s="334">
        <v>558</v>
      </c>
      <c r="F60" s="334">
        <v>18131892.057999998</v>
      </c>
    </row>
    <row r="61" spans="1:6">
      <c r="A61" s="348" t="s">
        <v>49</v>
      </c>
      <c r="B61" s="348" t="s">
        <v>54</v>
      </c>
      <c r="C61" s="334">
        <v>1968</v>
      </c>
      <c r="D61" s="334">
        <v>57834648.550999999</v>
      </c>
      <c r="E61" s="334">
        <v>4945</v>
      </c>
      <c r="F61" s="334">
        <v>27828936.965999998</v>
      </c>
    </row>
    <row r="62" spans="1:6">
      <c r="A62" s="348" t="s">
        <v>49</v>
      </c>
      <c r="B62" s="348" t="s">
        <v>55</v>
      </c>
      <c r="C62" s="334">
        <v>20</v>
      </c>
      <c r="D62" s="334">
        <v>1348780.9467</v>
      </c>
      <c r="E62" s="334">
        <v>20</v>
      </c>
      <c r="F62" s="334">
        <v>303388.84099</v>
      </c>
    </row>
    <row r="63" spans="1:6">
      <c r="A63" s="348" t="s">
        <v>49</v>
      </c>
      <c r="B63" s="348" t="s">
        <v>29</v>
      </c>
      <c r="C63" s="334">
        <v>198</v>
      </c>
      <c r="D63" s="334">
        <v>12231082.27</v>
      </c>
      <c r="E63" s="334">
        <v>181</v>
      </c>
      <c r="F63" s="334">
        <v>7909364.8313999996</v>
      </c>
    </row>
    <row r="64" spans="1:6">
      <c r="A64" s="348" t="s">
        <v>56</v>
      </c>
      <c r="B64" s="348" t="s">
        <v>57</v>
      </c>
      <c r="C64" s="334">
        <v>0</v>
      </c>
      <c r="D64" s="334">
        <v>0</v>
      </c>
      <c r="E64" s="334">
        <v>0</v>
      </c>
      <c r="F64" s="334">
        <v>0</v>
      </c>
    </row>
    <row r="65" spans="1:6">
      <c r="A65" s="348" t="s">
        <v>56</v>
      </c>
      <c r="B65" s="348" t="s">
        <v>29</v>
      </c>
      <c r="C65" s="334">
        <v>11</v>
      </c>
      <c r="D65" s="334">
        <v>269720.13549999997</v>
      </c>
      <c r="E65" s="334">
        <v>6</v>
      </c>
      <c r="F65" s="334">
        <v>25967.676243000002</v>
      </c>
    </row>
    <row r="66" spans="1:6">
      <c r="A66" s="348" t="s">
        <v>56</v>
      </c>
      <c r="B66" s="348" t="s">
        <v>58</v>
      </c>
      <c r="C66" s="334">
        <v>0</v>
      </c>
      <c r="D66" s="334">
        <v>0</v>
      </c>
      <c r="E66" s="334">
        <v>29</v>
      </c>
      <c r="F66" s="334">
        <v>629176.10967999999</v>
      </c>
    </row>
    <row r="67" spans="1:6">
      <c r="A67" s="355" t="s">
        <v>56</v>
      </c>
      <c r="B67" s="355" t="s">
        <v>59</v>
      </c>
      <c r="C67" s="334">
        <v>0</v>
      </c>
      <c r="D67" s="334">
        <v>0</v>
      </c>
      <c r="E67" s="334">
        <v>0</v>
      </c>
      <c r="F67" s="334">
        <v>0</v>
      </c>
    </row>
    <row r="68" spans="1:6">
      <c r="A68" s="341" t="s">
        <v>56</v>
      </c>
      <c r="B68" s="341" t="s">
        <v>60</v>
      </c>
      <c r="C68" s="334">
        <v>20</v>
      </c>
      <c r="D68" s="334">
        <v>293217.04148000001</v>
      </c>
      <c r="E68" s="334">
        <v>39</v>
      </c>
      <c r="F68" s="334">
        <v>808650.47132999997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113388767</v>
      </c>
      <c r="E73" s="475">
        <v>107038287.93950228</v>
      </c>
    </row>
    <row r="74" spans="1:6">
      <c r="A74" s="348" t="s">
        <v>64</v>
      </c>
      <c r="B74" s="348" t="s">
        <v>667</v>
      </c>
      <c r="C74" s="1294" t="s">
        <v>669</v>
      </c>
      <c r="D74" s="475">
        <v>11459097.3666049</v>
      </c>
      <c r="E74" s="475">
        <v>11143683.593623457</v>
      </c>
    </row>
    <row r="75" spans="1:6">
      <c r="A75" s="348" t="s">
        <v>65</v>
      </c>
      <c r="B75" s="348" t="s">
        <v>666</v>
      </c>
      <c r="C75" s="1294" t="s">
        <v>670</v>
      </c>
      <c r="D75" s="475">
        <v>29506311</v>
      </c>
      <c r="E75" s="475">
        <v>27718406.80699202</v>
      </c>
    </row>
    <row r="76" spans="1:6">
      <c r="A76" s="348" t="s">
        <v>65</v>
      </c>
      <c r="B76" s="348" t="s">
        <v>667</v>
      </c>
      <c r="C76" s="1294" t="s">
        <v>671</v>
      </c>
      <c r="D76" s="475">
        <v>1143674.3666049009</v>
      </c>
      <c r="E76" s="475">
        <v>1101112.4568216028</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439047.26679019834</v>
      </c>
      <c r="C83" s="475">
        <v>439047.26679019834</v>
      </c>
    </row>
    <row r="84" spans="1:6">
      <c r="A84" s="341" t="s">
        <v>337</v>
      </c>
      <c r="B84" s="1295">
        <v>178579.39681426235</v>
      </c>
      <c r="C84" s="1295">
        <v>178579.39681426235</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2146.3550654841297</v>
      </c>
    </row>
    <row r="92" spans="1:6">
      <c r="A92" s="341" t="s">
        <v>69</v>
      </c>
      <c r="B92" s="342">
        <v>1162.6012540002575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9792</v>
      </c>
    </row>
    <row r="98" spans="1:6">
      <c r="A98" s="348" t="s">
        <v>72</v>
      </c>
      <c r="B98" s="334">
        <v>3</v>
      </c>
    </row>
    <row r="99" spans="1:6">
      <c r="A99" s="348" t="s">
        <v>73</v>
      </c>
      <c r="B99" s="334">
        <v>58</v>
      </c>
    </row>
    <row r="100" spans="1:6">
      <c r="A100" s="348" t="s">
        <v>74</v>
      </c>
      <c r="B100" s="334">
        <v>1420</v>
      </c>
    </row>
    <row r="101" spans="1:6">
      <c r="A101" s="348" t="s">
        <v>75</v>
      </c>
      <c r="B101" s="334">
        <v>56</v>
      </c>
    </row>
    <row r="102" spans="1:6">
      <c r="A102" s="348" t="s">
        <v>76</v>
      </c>
      <c r="B102" s="334">
        <v>435</v>
      </c>
    </row>
    <row r="103" spans="1:6">
      <c r="A103" s="348" t="s">
        <v>77</v>
      </c>
      <c r="B103" s="334">
        <v>92</v>
      </c>
    </row>
    <row r="104" spans="1:6">
      <c r="A104" s="348" t="s">
        <v>78</v>
      </c>
      <c r="B104" s="334">
        <v>3205</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99</v>
      </c>
    </row>
    <row r="130" spans="1:6">
      <c r="A130" s="348" t="s">
        <v>295</v>
      </c>
      <c r="B130" s="334">
        <v>1</v>
      </c>
    </row>
    <row r="131" spans="1:6">
      <c r="A131" s="348" t="s">
        <v>296</v>
      </c>
      <c r="B131" s="334">
        <v>4</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196134.44694664481</v>
      </c>
      <c r="C3" s="43" t="s">
        <v>170</v>
      </c>
      <c r="D3" s="43"/>
      <c r="E3" s="154"/>
      <c r="F3" s="43"/>
      <c r="G3" s="43"/>
      <c r="H3" s="43"/>
      <c r="I3" s="43"/>
      <c r="J3" s="43"/>
      <c r="K3" s="96"/>
    </row>
    <row r="4" spans="1:11">
      <c r="A4" s="383" t="s">
        <v>171</v>
      </c>
      <c r="B4" s="49">
        <f>IF(ISERROR('SEAP template'!B78+'SEAP template'!C78),0,'SEAP template'!B78+'SEAP template'!C78)</f>
        <v>3308.9563194843872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0.21727154047649272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3096.2370000000001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3096.2370000000001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0.21727154047649272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672.72418267031435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66466.5749961767</v>
      </c>
      <c r="C5" s="17">
        <f>IF(ISERROR('Eigen informatie GS &amp; warmtenet'!B57),0,'Eigen informatie GS &amp; warmtenet'!B57)</f>
        <v>0</v>
      </c>
      <c r="D5" s="30">
        <f>(SUM(HH_hh_gas_kWh,HH_rest_gas_kWh)/1000)*0.902</f>
        <v>202473.248453343</v>
      </c>
      <c r="E5" s="17">
        <f>B46*B57</f>
        <v>0</v>
      </c>
      <c r="F5" s="17">
        <f>B51*B62</f>
        <v>0</v>
      </c>
      <c r="G5" s="18"/>
      <c r="H5" s="17"/>
      <c r="I5" s="17"/>
      <c r="J5" s="17">
        <f>B50*B61+C50*C61</f>
        <v>0</v>
      </c>
      <c r="K5" s="17"/>
      <c r="L5" s="17"/>
      <c r="M5" s="17"/>
      <c r="N5" s="17">
        <f>B48*B59+C48*C59</f>
        <v>0</v>
      </c>
      <c r="O5" s="17">
        <f>B69*B70*B71</f>
        <v>176.65666666666667</v>
      </c>
      <c r="P5" s="17">
        <f>B77*B78*B79/1000-B77*B78*B79/1000/B80</f>
        <v>381.33333333333337</v>
      </c>
    </row>
    <row r="6" spans="1:16">
      <c r="A6" s="16" t="s">
        <v>624</v>
      </c>
      <c r="B6" s="788">
        <f>kWh_PV_kleiner_dan_10kW</f>
        <v>2146.3550654841297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68612.930061660823</v>
      </c>
      <c r="C8" s="21">
        <f>C5</f>
        <v>0</v>
      </c>
      <c r="D8" s="21">
        <f>D5</f>
        <v>202473.248453343</v>
      </c>
      <c r="E8" s="21">
        <f>E5</f>
        <v>0</v>
      </c>
      <c r="F8" s="21">
        <f>F5</f>
        <v>0</v>
      </c>
      <c r="G8" s="21"/>
      <c r="H8" s="21"/>
      <c r="I8" s="21"/>
      <c r="J8" s="21">
        <f>J5</f>
        <v>0</v>
      </c>
      <c r="K8" s="21"/>
      <c r="L8" s="21">
        <f>L5</f>
        <v>0</v>
      </c>
      <c r="M8" s="21">
        <f>M5</f>
        <v>0</v>
      </c>
      <c r="N8" s="21">
        <f>N5</f>
        <v>0</v>
      </c>
      <c r="O8" s="21">
        <f>O5</f>
        <v>176.65666666666667</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0.21727154047649272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14907.637011102905</v>
      </c>
      <c r="C12" s="23">
        <f ca="1">C10*C8</f>
        <v>0</v>
      </c>
      <c r="D12" s="23">
        <f>D8*D10</f>
        <v>40899.596187575291</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9792</v>
      </c>
      <c r="C18" s="166" t="s">
        <v>111</v>
      </c>
      <c r="D18" s="228"/>
      <c r="E18" s="15"/>
    </row>
    <row r="19" spans="1:7">
      <c r="A19" s="171" t="s">
        <v>72</v>
      </c>
      <c r="B19" s="37">
        <f>aantalw2001_ander</f>
        <v>3</v>
      </c>
      <c r="C19" s="166" t="s">
        <v>111</v>
      </c>
      <c r="D19" s="229"/>
      <c r="E19" s="15"/>
    </row>
    <row r="20" spans="1:7">
      <c r="A20" s="171" t="s">
        <v>73</v>
      </c>
      <c r="B20" s="37">
        <f>aantalw2001_propaan</f>
        <v>58</v>
      </c>
      <c r="C20" s="167">
        <f>IF(ISERROR(B20/SUM($B$20,$B$21,$B$22)*100),0,B20/SUM($B$20,$B$21,$B$22)*100)</f>
        <v>3.7809647979139509</v>
      </c>
      <c r="D20" s="229"/>
      <c r="E20" s="15"/>
    </row>
    <row r="21" spans="1:7">
      <c r="A21" s="171" t="s">
        <v>74</v>
      </c>
      <c r="B21" s="37">
        <f>aantalw2001_elektriciteit</f>
        <v>1420</v>
      </c>
      <c r="C21" s="167">
        <f>IF(ISERROR(B21/SUM($B$20,$B$21,$B$22)*100),0,B21/SUM($B$20,$B$21,$B$22)*100)</f>
        <v>92.568448500651897</v>
      </c>
      <c r="D21" s="229"/>
      <c r="E21" s="15"/>
    </row>
    <row r="22" spans="1:7">
      <c r="A22" s="171" t="s">
        <v>75</v>
      </c>
      <c r="B22" s="37">
        <f>aantalw2001_hout</f>
        <v>56</v>
      </c>
      <c r="C22" s="167">
        <f>IF(ISERROR(B22/SUM($B$20,$B$21,$B$22)*100),0,B22/SUM($B$20,$B$21,$B$22)*100)</f>
        <v>3.6505867014341589</v>
      </c>
      <c r="D22" s="229"/>
      <c r="E22" s="15"/>
    </row>
    <row r="23" spans="1:7">
      <c r="A23" s="171" t="s">
        <v>76</v>
      </c>
      <c r="B23" s="37">
        <f>aantalw2001_niet_gespec</f>
        <v>435</v>
      </c>
      <c r="C23" s="166" t="s">
        <v>111</v>
      </c>
      <c r="D23" s="228"/>
      <c r="E23" s="15"/>
    </row>
    <row r="24" spans="1:7">
      <c r="A24" s="171" t="s">
        <v>77</v>
      </c>
      <c r="B24" s="37">
        <f>aantalw2001_steenkool</f>
        <v>92</v>
      </c>
      <c r="C24" s="166" t="s">
        <v>111</v>
      </c>
      <c r="D24" s="229"/>
      <c r="E24" s="15"/>
    </row>
    <row r="25" spans="1:7">
      <c r="A25" s="171" t="s">
        <v>78</v>
      </c>
      <c r="B25" s="37">
        <f>aantalw2001_stookolie</f>
        <v>3205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16824</v>
      </c>
      <c r="C28" s="36"/>
      <c r="D28" s="228"/>
    </row>
    <row r="29" spans="1:7" s="15" customFormat="1">
      <c r="A29" s="230" t="s">
        <v>699</v>
      </c>
      <c r="B29" s="37">
        <f>SUM(HH_hh_gas_aantal,HH_rest_gas_aantal)</f>
        <v>19755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19755</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19755</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92762.703247289974</v>
      </c>
      <c r="C5" s="17">
        <f>IF(ISERROR('Eigen informatie GS &amp; warmtenet'!B58),0,'Eigen informatie GS &amp; warmtenet'!B58)</f>
        <v>0</v>
      </c>
      <c r="D5" s="30">
        <f>SUM(D6:D12)</f>
        <v>106299.638530008</v>
      </c>
      <c r="E5" s="17">
        <f>SUM(E6:E12)</f>
        <v>2021.8794151098509</v>
      </c>
      <c r="F5" s="17">
        <f>SUM(F6:F12)</f>
        <v>24865.398462779936</v>
      </c>
      <c r="G5" s="18"/>
      <c r="H5" s="17"/>
      <c r="I5" s="17"/>
      <c r="J5" s="17">
        <f>SUM(J6:J12)</f>
        <v>0</v>
      </c>
      <c r="K5" s="17"/>
      <c r="L5" s="17"/>
      <c r="M5" s="17"/>
      <c r="N5" s="17">
        <f>SUM(N6:N12)</f>
        <v>7477.587492941273</v>
      </c>
      <c r="O5" s="17">
        <f>B38*B39*B40</f>
        <v>1.5633333333333335</v>
      </c>
      <c r="P5" s="17">
        <f>B46*B47*B48/1000-B46*B47*B48/1000/B49</f>
        <v>76.266666666666666</v>
      </c>
      <c r="R5" s="32"/>
    </row>
    <row r="6" spans="1:18">
      <c r="A6" s="32" t="s">
        <v>54</v>
      </c>
      <c r="B6" s="37">
        <f>B26</f>
        <v>27828.936965999997</v>
      </c>
      <c r="C6" s="33"/>
      <c r="D6" s="37">
        <f>IF(ISERROR(TER_kantoor_gas_kWh/1000),0,TER_kantoor_gas_kWh/1000)*0.902</f>
        <v>52166.852993002001</v>
      </c>
      <c r="E6" s="33">
        <f>$C$26*'E Balans VL '!I12/100/3.6*1000000</f>
        <v>364.31506516450355</v>
      </c>
      <c r="F6" s="33">
        <f>$C$26*('E Balans VL '!L12+'E Balans VL '!N12)/100/3.6*1000000</f>
        <v>7096.0913528376723</v>
      </c>
      <c r="G6" s="34"/>
      <c r="H6" s="33"/>
      <c r="I6" s="33"/>
      <c r="J6" s="33">
        <f>$C$26*('E Balans VL '!D12+'E Balans VL '!E12)/100/3.6*1000000</f>
        <v>0</v>
      </c>
      <c r="K6" s="33"/>
      <c r="L6" s="33"/>
      <c r="M6" s="33"/>
      <c r="N6" s="33">
        <f>$C$26*'E Balans VL '!Y12/100/3.6*1000000</f>
        <v>27.922649420636951</v>
      </c>
      <c r="O6" s="33"/>
      <c r="P6" s="33"/>
      <c r="R6" s="32"/>
    </row>
    <row r="7" spans="1:18">
      <c r="A7" s="32" t="s">
        <v>53</v>
      </c>
      <c r="B7" s="37">
        <f t="shared" ref="B7:B12" si="0">B27</f>
        <v>18131.892057999998</v>
      </c>
      <c r="C7" s="33"/>
      <c r="D7" s="37">
        <f>IF(ISERROR(TER_horeca_gas_kWh/1000),0,TER_horeca_gas_kWh/1000)*0.902</f>
        <v>18756.271860744</v>
      </c>
      <c r="E7" s="33">
        <f>$C$27*'E Balans VL '!I9/100/3.6*1000000</f>
        <v>600.0553345202801</v>
      </c>
      <c r="F7" s="33">
        <f>$C$27*('E Balans VL '!L9+'E Balans VL '!N9)/100/3.6*1000000</f>
        <v>7796.6440951124514</v>
      </c>
      <c r="G7" s="34"/>
      <c r="H7" s="33"/>
      <c r="I7" s="33"/>
      <c r="J7" s="33">
        <f>$C$27*('E Balans VL '!D9+'E Balans VL '!E9)/100/3.6*1000000</f>
        <v>0</v>
      </c>
      <c r="K7" s="33"/>
      <c r="L7" s="33"/>
      <c r="M7" s="33"/>
      <c r="N7" s="33">
        <f>$C$27*'E Balans VL '!Y9/100/3.6*1000000</f>
        <v>4.364609722328491</v>
      </c>
      <c r="O7" s="33"/>
      <c r="P7" s="33"/>
      <c r="R7" s="32"/>
    </row>
    <row r="8" spans="1:18">
      <c r="A8" s="6" t="s">
        <v>52</v>
      </c>
      <c r="B8" s="37">
        <f t="shared" si="0"/>
        <v>28666.505080999999</v>
      </c>
      <c r="C8" s="33"/>
      <c r="D8" s="37">
        <f>IF(ISERROR(TER_handel_gas_kWh/1000),0,TER_handel_gas_kWh/1000)*0.902</f>
        <v>13357.6907145</v>
      </c>
      <c r="E8" s="33">
        <f>$C$28*'E Balans VL '!I13/100/3.6*1000000</f>
        <v>904.75870147231399</v>
      </c>
      <c r="F8" s="33">
        <f>$C$28*('E Balans VL '!L13+'E Balans VL '!N13)/100/3.6*1000000</f>
        <v>5622.0064321986929</v>
      </c>
      <c r="G8" s="34"/>
      <c r="H8" s="33"/>
      <c r="I8" s="33"/>
      <c r="J8" s="33">
        <f>$C$28*('E Balans VL '!D13+'E Balans VL '!E13)/100/3.6*1000000</f>
        <v>0</v>
      </c>
      <c r="K8" s="33"/>
      <c r="L8" s="33"/>
      <c r="M8" s="33"/>
      <c r="N8" s="33">
        <f>$C$28*'E Balans VL '!Y13/100/3.6*1000000</f>
        <v>34.021575997510602</v>
      </c>
      <c r="O8" s="33"/>
      <c r="P8" s="33"/>
      <c r="R8" s="32"/>
    </row>
    <row r="9" spans="1:18">
      <c r="A9" s="32" t="s">
        <v>51</v>
      </c>
      <c r="B9" s="37">
        <f t="shared" si="0"/>
        <v>1425.8431438</v>
      </c>
      <c r="C9" s="33"/>
      <c r="D9" s="37">
        <f>IF(ISERROR(TER_gezond_gas_kWh/1000),0,TER_gezond_gas_kWh/1000)*0.902</f>
        <v>4224.4690967644001</v>
      </c>
      <c r="E9" s="33">
        <f>$C$29*'E Balans VL '!I10/100/3.6*1000000</f>
        <v>0.18254963452205819</v>
      </c>
      <c r="F9" s="33">
        <f>$C$29*('E Balans VL '!L10+'E Balans VL '!N10)/100/3.6*1000000</f>
        <v>297.06288941653997</v>
      </c>
      <c r="G9" s="34"/>
      <c r="H9" s="33"/>
      <c r="I9" s="33"/>
      <c r="J9" s="33">
        <f>$C$29*('E Balans VL '!D10+'E Balans VL '!E10)/100/3.6*1000000</f>
        <v>0</v>
      </c>
      <c r="K9" s="33"/>
      <c r="L9" s="33"/>
      <c r="M9" s="33"/>
      <c r="N9" s="33">
        <f>$C$29*'E Balans VL '!Y10/100/3.6*1000000</f>
        <v>16.747201666001107</v>
      </c>
      <c r="O9" s="33"/>
      <c r="P9" s="33"/>
      <c r="R9" s="32"/>
    </row>
    <row r="10" spans="1:18">
      <c r="A10" s="32" t="s">
        <v>50</v>
      </c>
      <c r="B10" s="37">
        <f t="shared" si="0"/>
        <v>8496.7723260999992</v>
      </c>
      <c r="C10" s="33"/>
      <c r="D10" s="37">
        <f>IF(ISERROR(TER_ander_gas_kWh/1000),0,TER_ander_gas_kWh/1000)*0.902</f>
        <v>5545.3172435342003</v>
      </c>
      <c r="E10" s="33">
        <f>$C$30*'E Balans VL '!I14/100/3.6*1000000</f>
        <v>12.777147429994903</v>
      </c>
      <c r="F10" s="33">
        <f>$C$30*('E Balans VL '!L14+'E Balans VL '!N14)/100/3.6*1000000</f>
        <v>1875.813439571253</v>
      </c>
      <c r="G10" s="34"/>
      <c r="H10" s="33"/>
      <c r="I10" s="33"/>
      <c r="J10" s="33">
        <f>$C$30*('E Balans VL '!D14+'E Balans VL '!E14)/100/3.6*1000000</f>
        <v>0</v>
      </c>
      <c r="K10" s="33"/>
      <c r="L10" s="33"/>
      <c r="M10" s="33"/>
      <c r="N10" s="33">
        <f>$C$30*'E Balans VL '!Y14/100/3.6*1000000</f>
        <v>6696.0284041849172</v>
      </c>
      <c r="O10" s="33"/>
      <c r="P10" s="33"/>
      <c r="R10" s="32"/>
    </row>
    <row r="11" spans="1:18">
      <c r="A11" s="32" t="s">
        <v>55</v>
      </c>
      <c r="B11" s="37">
        <f t="shared" si="0"/>
        <v>303.38884099000001</v>
      </c>
      <c r="C11" s="33"/>
      <c r="D11" s="37">
        <f>IF(ISERROR(TER_onderwijs_gas_kWh/1000),0,TER_onderwijs_gas_kWh/1000)*0.902</f>
        <v>1216.6004139234001</v>
      </c>
      <c r="E11" s="33">
        <f>$C$31*'E Balans VL '!I11/100/3.6*1000000</f>
        <v>0.53429317288038369</v>
      </c>
      <c r="F11" s="33">
        <f>$C$31*('E Balans VL '!L11+'E Balans VL '!N11)/100/3.6*1000000</f>
        <v>140.08011769708096</v>
      </c>
      <c r="G11" s="34"/>
      <c r="H11" s="33"/>
      <c r="I11" s="33"/>
      <c r="J11" s="33">
        <f>$C$31*('E Balans VL '!D11+'E Balans VL '!E11)/100/3.6*1000000</f>
        <v>0</v>
      </c>
      <c r="K11" s="33"/>
      <c r="L11" s="33"/>
      <c r="M11" s="33"/>
      <c r="N11" s="33">
        <f>$C$31*'E Balans VL '!Y11/100/3.6*1000000</f>
        <v>0.56521760626151529</v>
      </c>
      <c r="O11" s="33"/>
      <c r="P11" s="33"/>
      <c r="R11" s="32"/>
    </row>
    <row r="12" spans="1:18">
      <c r="A12" s="32" t="s">
        <v>260</v>
      </c>
      <c r="B12" s="37">
        <f t="shared" si="0"/>
        <v>7909.3648313999993</v>
      </c>
      <c r="C12" s="33"/>
      <c r="D12" s="37">
        <f>IF(ISERROR(TER_rest_gas_kWh/1000),0,TER_rest_gas_kWh/1000)*0.902</f>
        <v>11032.436207539999</v>
      </c>
      <c r="E12" s="33">
        <f>$C$32*'E Balans VL '!I8/100/3.6*1000000</f>
        <v>139.25632371535582</v>
      </c>
      <c r="F12" s="33">
        <f>$C$32*('E Balans VL '!L8+'E Balans VL '!N8)/100/3.6*1000000</f>
        <v>2037.7001359462477</v>
      </c>
      <c r="G12" s="34"/>
      <c r="H12" s="33"/>
      <c r="I12" s="33"/>
      <c r="J12" s="33">
        <f>$C$32*('E Balans VL '!D8+'E Balans VL '!E8)/100/3.6*1000000</f>
        <v>0</v>
      </c>
      <c r="K12" s="33"/>
      <c r="L12" s="33"/>
      <c r="M12" s="33"/>
      <c r="N12" s="33">
        <f>$C$32*'E Balans VL '!Y8/100/3.6*1000000</f>
        <v>697.93783434361728</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92762.703247289974</v>
      </c>
      <c r="C16" s="21">
        <f t="shared" ca="1" si="1"/>
        <v>0</v>
      </c>
      <c r="D16" s="21">
        <f t="shared" ca="1" si="1"/>
        <v>106299.638530008</v>
      </c>
      <c r="E16" s="21">
        <f t="shared" si="1"/>
        <v>2021.8794151098509</v>
      </c>
      <c r="F16" s="21">
        <f t="shared" ca="1" si="1"/>
        <v>24865.398462779936</v>
      </c>
      <c r="G16" s="21">
        <f t="shared" si="1"/>
        <v>0</v>
      </c>
      <c r="H16" s="21">
        <f t="shared" si="1"/>
        <v>0</v>
      </c>
      <c r="I16" s="21">
        <f t="shared" si="1"/>
        <v>0</v>
      </c>
      <c r="J16" s="21">
        <f t="shared" si="1"/>
        <v>0</v>
      </c>
      <c r="K16" s="21">
        <f t="shared" si="1"/>
        <v>0</v>
      </c>
      <c r="L16" s="21">
        <f t="shared" ca="1" si="1"/>
        <v>0</v>
      </c>
      <c r="M16" s="21">
        <f t="shared" si="1"/>
        <v>0</v>
      </c>
      <c r="N16" s="21">
        <f t="shared" ca="1" si="1"/>
        <v>7477.587492941273</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0.21727154047649272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20154.695433302448</v>
      </c>
      <c r="C20" s="23">
        <f t="shared" ref="C20:P20" ca="1" si="2">C16*C18</f>
        <v>0</v>
      </c>
      <c r="D20" s="23">
        <f t="shared" ca="1" si="2"/>
        <v>21472.526983061616</v>
      </c>
      <c r="E20" s="23">
        <f t="shared" si="2"/>
        <v>458.96662722993619</v>
      </c>
      <c r="F20" s="23">
        <f t="shared" ca="1" si="2"/>
        <v>6639.0613895622437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27828.936965999997</v>
      </c>
      <c r="C26" s="39">
        <f>IF(ISERROR(B26*3.6/1000000/'E Balans VL '!Z12*100),0,B26*3.6/1000000/'E Balans VL '!Z12*100)</f>
        <v>0.59611744927099719</v>
      </c>
      <c r="D26" s="237" t="s">
        <v>660</v>
      </c>
      <c r="F26" s="6"/>
    </row>
    <row r="27" spans="1:18">
      <c r="A27" s="231" t="s">
        <v>53</v>
      </c>
      <c r="B27" s="33">
        <f>IF(ISERROR(TER_horeca_ele_kWh/1000),0,TER_horeca_ele_kWh/1000)</f>
        <v>18131.892057999998</v>
      </c>
      <c r="C27" s="39">
        <f>IF(ISERROR(B27*3.6/1000000/'E Balans VL '!Z9*100),0,B27*3.6/1000000/'E Balans VL '!Z9*100)</f>
        <v>1.4550213118410211</v>
      </c>
      <c r="D27" s="237" t="s">
        <v>660</v>
      </c>
      <c r="F27" s="6"/>
    </row>
    <row r="28" spans="1:18">
      <c r="A28" s="171" t="s">
        <v>52</v>
      </c>
      <c r="B28" s="33">
        <f>IF(ISERROR(TER_handel_ele_kWh/1000),0,TER_handel_ele_kWh/1000)</f>
        <v>28666.505080999999</v>
      </c>
      <c r="C28" s="39">
        <f>IF(ISERROR(B28*3.6/1000000/'E Balans VL '!Z13*100),0,B28*3.6/1000000/'E Balans VL '!Z13*100)</f>
        <v>0.84549747537471642</v>
      </c>
      <c r="D28" s="237" t="s">
        <v>660</v>
      </c>
      <c r="F28" s="6"/>
    </row>
    <row r="29" spans="1:18">
      <c r="A29" s="231" t="s">
        <v>51</v>
      </c>
      <c r="B29" s="33">
        <f>IF(ISERROR(TER_gezond_ele_kWh/1000),0,TER_gezond_ele_kWh/1000)</f>
        <v>1425.8431438</v>
      </c>
      <c r="C29" s="39">
        <f>IF(ISERROR(B29*3.6/1000000/'E Balans VL '!Z10*100),0,B29*3.6/1000000/'E Balans VL '!Z10*100)</f>
        <v>0.15224181946960569</v>
      </c>
      <c r="D29" s="237" t="s">
        <v>660</v>
      </c>
      <c r="F29" s="6"/>
    </row>
    <row r="30" spans="1:18">
      <c r="A30" s="231" t="s">
        <v>50</v>
      </c>
      <c r="B30" s="33">
        <f>IF(ISERROR(TER_ander_ele_kWh/1000),0,TER_ander_ele_kWh/1000)</f>
        <v>8496.7723260999992</v>
      </c>
      <c r="C30" s="39">
        <f>IF(ISERROR(B30*3.6/1000000/'E Balans VL '!Z14*100),0,B30*3.6/1000000/'E Balans VL '!Z14*100)</f>
        <v>0.64179457926940509</v>
      </c>
      <c r="D30" s="237" t="s">
        <v>660</v>
      </c>
      <c r="F30" s="6"/>
    </row>
    <row r="31" spans="1:18">
      <c r="A31" s="231" t="s">
        <v>55</v>
      </c>
      <c r="B31" s="33">
        <f>IF(ISERROR(TER_onderwijs_ele_kWh/1000),0,TER_onderwijs_ele_kWh/1000)</f>
        <v>303.38884099000001</v>
      </c>
      <c r="C31" s="39">
        <f>IF(ISERROR(B31*3.6/1000000/'E Balans VL '!Z11*100),0,B31*3.6/1000000/'E Balans VL '!Z11*100)</f>
        <v>6.1264334897816325E-2</v>
      </c>
      <c r="D31" s="237" t="s">
        <v>660</v>
      </c>
    </row>
    <row r="32" spans="1:18">
      <c r="A32" s="231" t="s">
        <v>260</v>
      </c>
      <c r="B32" s="33">
        <f>IF(ISERROR(TER_rest_ele_kWh/1000),0,TER_rest_ele_kWh/1000)</f>
        <v>7909.3648313999993</v>
      </c>
      <c r="C32" s="39">
        <f>IF(ISERROR(B32*3.6/1000000/'E Balans VL '!Z8*100),0,B32*3.6/1000000/'E Balans VL '!Z8*100)</f>
        <v>6.5579648163379481E-2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12340.712136689002</v>
      </c>
      <c r="C5" s="17">
        <f>IF(ISERROR('Eigen informatie GS &amp; warmtenet'!B59),0,'Eigen informatie GS &amp; warmtenet'!B59)</f>
        <v>0</v>
      </c>
      <c r="D5" s="30">
        <f>SUM(D6:D15)</f>
        <v>10520.111975871763</v>
      </c>
      <c r="E5" s="17">
        <f>SUM(E6:E15)</f>
        <v>1821.1303518942889</v>
      </c>
      <c r="F5" s="17">
        <f>SUM(F6:F15)</f>
        <v>6618.6192483032492</v>
      </c>
      <c r="G5" s="18"/>
      <c r="H5" s="17"/>
      <c r="I5" s="17"/>
      <c r="J5" s="17">
        <f>SUM(J6:J15)</f>
        <v>36.542715577433981</v>
      </c>
      <c r="K5" s="17"/>
      <c r="L5" s="17"/>
      <c r="M5" s="17"/>
      <c r="N5" s="17">
        <f>SUM(N6:N15)</f>
        <v>3557.8951984447408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177.65867908999999</v>
      </c>
      <c r="C8" s="33"/>
      <c r="D8" s="37">
        <f>IF( ISERROR(IND_metaal_Gas_kWH/1000),0,IND_metaal_Gas_kWH/1000)*0.902</f>
        <v>30.820648699081996</v>
      </c>
      <c r="E8" s="33">
        <f>C30*'E Balans VL '!I18/100/3.6*1000000</f>
        <v>6.3926967275953777</v>
      </c>
      <c r="F8" s="33">
        <f>C30*'E Balans VL '!L18/100/3.6*1000000+C30*'E Balans VL '!N18/100/3.6*1000000</f>
        <v>77.577786083844998</v>
      </c>
      <c r="G8" s="34"/>
      <c r="H8" s="33"/>
      <c r="I8" s="33"/>
      <c r="J8" s="40">
        <f>C30*'E Balans VL '!D18/100/3.6*1000000+C30*'E Balans VL '!E18/100/3.6*1000000</f>
        <v>0</v>
      </c>
      <c r="K8" s="33"/>
      <c r="L8" s="33"/>
      <c r="M8" s="33"/>
      <c r="N8" s="33">
        <f>C30*'E Balans VL '!Y18/100/3.6*1000000</f>
        <v>8.9041322641256571</v>
      </c>
      <c r="O8" s="33"/>
      <c r="P8" s="33"/>
      <c r="R8" s="32"/>
    </row>
    <row r="9" spans="1:18">
      <c r="A9" s="6" t="s">
        <v>33</v>
      </c>
      <c r="B9" s="37">
        <f t="shared" si="0"/>
        <v>6067.3879415000001</v>
      </c>
      <c r="C9" s="33"/>
      <c r="D9" s="37">
        <f>IF( ISERROR(IND_andere_gas_kWh/1000),0,IND_andere_gas_kWh/1000)*0.902</f>
        <v>6419.5013323561998</v>
      </c>
      <c r="E9" s="33">
        <f>C31*'E Balans VL '!I19/100/3.6*1000000</f>
        <v>1548.2601241735958</v>
      </c>
      <c r="F9" s="33">
        <f>C31*'E Balans VL '!L19/100/3.6*1000000+C31*'E Balans VL '!N19/100/3.6*1000000</f>
        <v>5223.5649750244038</v>
      </c>
      <c r="G9" s="34"/>
      <c r="H9" s="33"/>
      <c r="I9" s="33"/>
      <c r="J9" s="40">
        <f>C31*'E Balans VL '!D19/100/3.6*1000000+C31*'E Balans VL '!E19/100/3.6*1000000</f>
        <v>0</v>
      </c>
      <c r="K9" s="33"/>
      <c r="L9" s="33"/>
      <c r="M9" s="33"/>
      <c r="N9" s="33">
        <f>C31*'E Balans VL '!Y19/100/3.6*1000000</f>
        <v>1897.4799956430954</v>
      </c>
      <c r="O9" s="33"/>
      <c r="P9" s="33"/>
      <c r="R9" s="32"/>
    </row>
    <row r="10" spans="1:18">
      <c r="A10" s="6" t="s">
        <v>41</v>
      </c>
      <c r="B10" s="37">
        <f t="shared" si="0"/>
        <v>1956.3432851</v>
      </c>
      <c r="C10" s="33"/>
      <c r="D10" s="37">
        <f>IF( ISERROR(IND_voed_gas_kWh/1000),0,IND_voed_gas_kWh/1000)*0.902</f>
        <v>1840.1729327894</v>
      </c>
      <c r="E10" s="33">
        <f>C32*'E Balans VL '!I20/100/3.6*1000000</f>
        <v>49.732932586708507</v>
      </c>
      <c r="F10" s="33">
        <f>C32*'E Balans VL '!L20/100/3.6*1000000+C32*'E Balans VL '!N20/100/3.6*1000000</f>
        <v>442.69111817278787</v>
      </c>
      <c r="G10" s="34"/>
      <c r="H10" s="33"/>
      <c r="I10" s="33"/>
      <c r="J10" s="40">
        <f>C32*'E Balans VL '!D20/100/3.6*1000000+C32*'E Balans VL '!E20/100/3.6*1000000</f>
        <v>0</v>
      </c>
      <c r="K10" s="33"/>
      <c r="L10" s="33"/>
      <c r="M10" s="33"/>
      <c r="N10" s="33">
        <f>C32*'E Balans VL '!Y20/100/3.6*1000000</f>
        <v>733.68176068305831</v>
      </c>
      <c r="O10" s="33"/>
      <c r="P10" s="33"/>
      <c r="R10" s="32"/>
    </row>
    <row r="11" spans="1:18">
      <c r="A11" s="6" t="s">
        <v>40</v>
      </c>
      <c r="B11" s="37">
        <f t="shared" si="0"/>
        <v>91.975612075000001</v>
      </c>
      <c r="C11" s="33"/>
      <c r="D11" s="37">
        <f>IF( ISERROR(IND_textiel_gas_kWh/1000),0,IND_textiel_gas_kWh/1000)*0.902</f>
        <v>97.126558897720003</v>
      </c>
      <c r="E11" s="33">
        <f>C33*'E Balans VL '!I21/100/3.6*1000000</f>
        <v>0.25249778948962176</v>
      </c>
      <c r="F11" s="33">
        <f>C33*'E Balans VL '!L21/100/3.6*1000000+C33*'E Balans VL '!N21/100/3.6*1000000</f>
        <v>4.8761636404497493</v>
      </c>
      <c r="G11" s="34"/>
      <c r="H11" s="33"/>
      <c r="I11" s="33"/>
      <c r="J11" s="40">
        <f>C33*'E Balans VL '!D21/100/3.6*1000000+C33*'E Balans VL '!E21/100/3.6*1000000</f>
        <v>0</v>
      </c>
      <c r="K11" s="33"/>
      <c r="L11" s="33"/>
      <c r="M11" s="33"/>
      <c r="N11" s="33">
        <f>C33*'E Balans VL '!Y21/100/3.6*1000000</f>
        <v>0.18485575990675174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63.402000824000005</v>
      </c>
      <c r="C13" s="33"/>
      <c r="D13" s="37">
        <f>IF( ISERROR(IND_papier_gas_kWh/1000),0,IND_papier_gas_kWh/1000)*0.902</f>
        <v>137.79880940935999</v>
      </c>
      <c r="E13" s="33">
        <f>C35*'E Balans VL '!I23/100/3.6*1000000</f>
        <v>0.27191273676458233</v>
      </c>
      <c r="F13" s="33">
        <f>C35*'E Balans VL '!L23/100/3.6*1000000+C35*'E Balans VL '!N23/100/3.6*1000000</f>
        <v>1.5934890679901907</v>
      </c>
      <c r="G13" s="34"/>
      <c r="H13" s="33"/>
      <c r="I13" s="33"/>
      <c r="J13" s="40">
        <f>C35*'E Balans VL '!D23/100/3.6*1000000+C35*'E Balans VL '!E23/100/3.6*1000000</f>
        <v>4.2444162094971327</v>
      </c>
      <c r="K13" s="33"/>
      <c r="L13" s="33"/>
      <c r="M13" s="33"/>
      <c r="N13" s="33">
        <f>C35*'E Balans VL '!Y23/100/3.6*1000000</f>
        <v>115.40671907072098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3983.9446181000003</v>
      </c>
      <c r="C15" s="33"/>
      <c r="D15" s="37">
        <f>IF( ISERROR(IND_rest_gas_kWh/1000),0,IND_rest_gas_kWh/1000)*0.902</f>
        <v>1994.6916937199999</v>
      </c>
      <c r="E15" s="33">
        <f>C37*'E Balans VL '!I15/100/3.6*1000000</f>
        <v>216.22018788013492</v>
      </c>
      <c r="F15" s="33">
        <f>C37*'E Balans VL '!L15/100/3.6*1000000+C37*'E Balans VL '!N15/100/3.6*1000000</f>
        <v>868.31571631377233</v>
      </c>
      <c r="G15" s="34"/>
      <c r="H15" s="33"/>
      <c r="I15" s="33"/>
      <c r="J15" s="40">
        <f>C37*'E Balans VL '!D15/100/3.6*1000000+C37*'E Balans VL '!E15/100/3.6*1000000</f>
        <v>32.298299367936849</v>
      </c>
      <c r="K15" s="33"/>
      <c r="L15" s="33"/>
      <c r="M15" s="33"/>
      <c r="N15" s="33">
        <f>C37*'E Balans VL '!Y15/100/3.6*1000000</f>
        <v>802.23773502383335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12340.712136689002</v>
      </c>
      <c r="C18" s="21">
        <f>C5+C16</f>
        <v>0</v>
      </c>
      <c r="D18" s="21">
        <f>MAX((D5+D16),0)</f>
        <v>10520.111975871763</v>
      </c>
      <c r="E18" s="21">
        <f>MAX((E5+E16),0)</f>
        <v>1821.1303518942889</v>
      </c>
      <c r="F18" s="21">
        <f>MAX((F5+F16),0)</f>
        <v>6618.6192483032492</v>
      </c>
      <c r="G18" s="21"/>
      <c r="H18" s="21"/>
      <c r="I18" s="21"/>
      <c r="J18" s="21">
        <f>MAX((J5+J16),0)</f>
        <v>36.542715577433981</v>
      </c>
      <c r="K18" s="21"/>
      <c r="L18" s="21">
        <f>MAX((L5+L16),0)</f>
        <v>0</v>
      </c>
      <c r="M18" s="21"/>
      <c r="N18" s="21">
        <f>MAX((N5+N16),0)</f>
        <v>3557.8951984447408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0.21727154047649272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2681.2855365153696</v>
      </c>
      <c r="C22" s="23">
        <f ca="1">C18*C20</f>
        <v>0</v>
      </c>
      <c r="D22" s="23">
        <f>D18*D20</f>
        <v>2125.0626191260963</v>
      </c>
      <c r="E22" s="23">
        <f>E18*E20</f>
        <v>413.3965898800036</v>
      </c>
      <c r="F22" s="23">
        <f>F18*F20</f>
        <v>1767.1713392969675</v>
      </c>
      <c r="G22" s="23"/>
      <c r="H22" s="23"/>
      <c r="I22" s="23"/>
      <c r="J22" s="23">
        <f>J18*J20</f>
        <v>12.936121314411629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177.65867908999999</v>
      </c>
      <c r="C30" s="39">
        <f>IF(ISERROR(B30*3.6/1000000/'E Balans VL '!Z18*100),0,B30*3.6/1000000/'E Balans VL '!Z18*100)</f>
        <v>3.7642065197476975E-2</v>
      </c>
      <c r="D30" s="237" t="s">
        <v>660</v>
      </c>
    </row>
    <row r="31" spans="1:18">
      <c r="A31" s="6" t="s">
        <v>33</v>
      </c>
      <c r="B31" s="37">
        <f>IF( ISERROR(IND_ander_ele_kWh/1000),0,IND_ander_ele_kWh/1000)</f>
        <v>6067.3879415000001</v>
      </c>
      <c r="C31" s="39">
        <f>IF(ISERROR(B31*3.6/1000000/'E Balans VL '!Z19*100),0,B31*3.6/1000000/'E Balans VL '!Z19*100)</f>
        <v>0.25539013546400158</v>
      </c>
      <c r="D31" s="237" t="s">
        <v>660</v>
      </c>
    </row>
    <row r="32" spans="1:18">
      <c r="A32" s="171" t="s">
        <v>41</v>
      </c>
      <c r="B32" s="37">
        <f>IF( ISERROR(IND_voed_ele_kWh/1000),0,IND_voed_ele_kWh/1000)</f>
        <v>1956.3432851</v>
      </c>
      <c r="C32" s="39">
        <f>IF(ISERROR(B32*3.6/1000000/'E Balans VL '!Z20*100),0,B32*3.6/1000000/'E Balans VL '!Z20*100)</f>
        <v>0.32682928027788855</v>
      </c>
      <c r="D32" s="237" t="s">
        <v>660</v>
      </c>
    </row>
    <row r="33" spans="1:5">
      <c r="A33" s="171" t="s">
        <v>40</v>
      </c>
      <c r="B33" s="37">
        <f>IF( ISERROR(IND_textiel_ele_kWh/1000),0,IND_textiel_ele_kWh/1000)</f>
        <v>91.975612075000001</v>
      </c>
      <c r="C33" s="39">
        <f>IF(ISERROR(B33*3.6/1000000/'E Balans VL '!Z21*100),0,B33*3.6/1000000/'E Balans VL '!Z21*100)</f>
        <v>5.369811471510581E-3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63.402000824000005</v>
      </c>
      <c r="C35" s="39">
        <f>IF(ISERROR(B35*3.6/1000000/'E Balans VL '!Z22*100),0,B35*3.6/1000000/'E Balans VL '!Z22*100)</f>
        <v>8.0365455304225782E-3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3983.9446181000003</v>
      </c>
      <c r="C37" s="39">
        <f>IF(ISERROR(B37*3.6/1000000/'E Balans VL '!Z15*100),0,B37*3.6/1000000/'E Balans VL '!Z15*100)</f>
        <v>3.2163927555983046E-2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1716.8588344500001</v>
      </c>
      <c r="C5" s="17">
        <f>'Eigen informatie GS &amp; warmtenet'!B60</f>
        <v>0</v>
      </c>
      <c r="D5" s="30">
        <f>IF(ISERROR(SUM(LB_lb_gas_kWh,LB_rest_gas_kWh)/1000),0,SUM(LB_lb_gas_kWh,LB_rest_gas_kWh)/1000)*0.902</f>
        <v>859.75760916121999</v>
      </c>
      <c r="E5" s="17">
        <f>B17*'E Balans VL '!I25/3.6*1000000/100</f>
        <v>44.27119736467089</v>
      </c>
      <c r="F5" s="17">
        <f>B17*('E Balans VL '!L25/3.6*1000000+'E Balans VL '!N25/3.6*1000000)/100</f>
        <v>6275.4459997969961</v>
      </c>
      <c r="G5" s="18"/>
      <c r="H5" s="17"/>
      <c r="I5" s="17"/>
      <c r="J5" s="17">
        <f>('E Balans VL '!D25+'E Balans VL '!E25)/3.6*1000000*landbouw!B17/100</f>
        <v>247.16451466361249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1716.8588344500001</v>
      </c>
      <c r="C8" s="21">
        <f>C5+C6</f>
        <v>0</v>
      </c>
      <c r="D8" s="21">
        <f>MAX((D5+D6),0)</f>
        <v>859.75760916121999</v>
      </c>
      <c r="E8" s="21">
        <f>MAX((E5+E6),0)</f>
        <v>44.27119736467089</v>
      </c>
      <c r="F8" s="21">
        <f>MAX((F5+F6),0)</f>
        <v>6275.4459997969961</v>
      </c>
      <c r="G8" s="21"/>
      <c r="H8" s="21"/>
      <c r="I8" s="21"/>
      <c r="J8" s="21">
        <f>MAX((J5+J6),0)</f>
        <v>247.16451466361249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0.21727154047649272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373.02456374162733</v>
      </c>
      <c r="C12" s="23">
        <f ca="1">C8*C10</f>
        <v>0</v>
      </c>
      <c r="D12" s="23">
        <f>D8*D10</f>
        <v>173.67103705056644</v>
      </c>
      <c r="E12" s="23">
        <f>E8*E10</f>
        <v>10.049561801780293</v>
      </c>
      <c r="F12" s="23">
        <f>F8*F10</f>
        <v>1675.5440819457981</v>
      </c>
      <c r="G12" s="23"/>
      <c r="H12" s="23"/>
      <c r="I12" s="23"/>
      <c r="J12" s="23">
        <f>J8*J10</f>
        <v>87.496238190918817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0.24208846787537164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366.75025074971796</v>
      </c>
      <c r="C26" s="247">
        <f>B26*'GWP N2O_CH4'!B5</f>
        <v>7701.7552657440774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68.234355344438313</v>
      </c>
      <c r="C27" s="247">
        <f>B27*'GWP N2O_CH4'!B5</f>
        <v>1432.9214622332047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5.1465457607129546</v>
      </c>
      <c r="C28" s="247">
        <f>B28*'GWP N2O_CH4'!B4</f>
        <v>1595.4291858210158</v>
      </c>
      <c r="D28" s="50"/>
    </row>
    <row r="29" spans="1:4">
      <c r="A29" s="41" t="s">
        <v>277</v>
      </c>
      <c r="B29" s="247">
        <f>B34*'ha_N2O bodem landbouw'!B4</f>
        <v>22.098174968169371</v>
      </c>
      <c r="C29" s="247">
        <f>B29*'GWP N2O_CH4'!B4</f>
        <v>6850.4342401325048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4.973290217597872E-3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1.2054727002524358E-4</v>
      </c>
      <c r="C5" s="463" t="s">
        <v>211</v>
      </c>
      <c r="D5" s="448">
        <f>SUM(D6:D11)</f>
        <v>2.7764538355754421E-4</v>
      </c>
      <c r="E5" s="448">
        <f>SUM(E6:E11)</f>
        <v>1.0667249624382799E-3</v>
      </c>
      <c r="F5" s="461" t="s">
        <v>211</v>
      </c>
      <c r="G5" s="448">
        <f>SUM(G6:G11)</f>
        <v>0.37240581120657879</v>
      </c>
      <c r="H5" s="448">
        <f>SUM(H6:H11)</f>
        <v>7.4487226081200023E-2</v>
      </c>
      <c r="I5" s="463" t="s">
        <v>211</v>
      </c>
      <c r="J5" s="463" t="s">
        <v>211</v>
      </c>
      <c r="K5" s="463" t="s">
        <v>211</v>
      </c>
      <c r="L5" s="463" t="s">
        <v>211</v>
      </c>
      <c r="M5" s="448">
        <f>SUM(M6:M11)</f>
        <v>1.3964441213005446E-2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9.5655543246761992E-5</v>
      </c>
      <c r="C6" s="449"/>
      <c r="D6" s="892">
        <f>vkm_2011_GW_PW*SUMIFS(TableVerdeelsleutelVkm[CNG],TableVerdeelsleutelVkm[Voertuigtype],"Lichte voertuigen")*SUMIFS(TableECFTransport[EnergieConsumptieFactor (PJ per km)],TableECFTransport[Index],CONCATENATE($A6,"_CNG_CNG"))</f>
        <v>1.900692399849358E-4</v>
      </c>
      <c r="E6" s="892">
        <f>vkm_2011_GW_PW*SUMIFS(TableVerdeelsleutelVkm[LPG],TableVerdeelsleutelVkm[Voertuigtype],"Lichte voertuigen")*SUMIFS(TableECFTransport[EnergieConsumptieFactor (PJ per km)],TableECFTransport[Index],CONCATENATE($A6,"_LPG_LPG"))</f>
        <v>7.4799059405557429E-4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0.17784649821256068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5.1457461370591762E-2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7.1453231229832194E-3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0.10980333625405356</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3.5471167695716932E-5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3.4597351179084745E-3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2.4891726778481584E-5</v>
      </c>
      <c r="C8" s="449"/>
      <c r="D8" s="451">
        <f>vkm_2011_NGW_PW*SUMIFS(TableVerdeelsleutelVkm[CNG],TableVerdeelsleutelVkm[Voertuigtype],"Lichte voertuigen")*SUMIFS(TableECFTransport[EnergieConsumptieFactor (PJ per km)],TableECFTransport[Index],CONCATENATE($A8,"_CNG_CNG"))</f>
        <v>8.7576143572608436E-5</v>
      </c>
      <c r="E8" s="451">
        <f>vkm_2011_NGW_PW*SUMIFS(TableVerdeelsleutelVkm[LPG],TableVerdeelsleutelVkm[Voertuigtype],"Lichte voertuigen")*SUMIFS(TableECFTransport[EnergieConsumptieFactor (PJ per km)],TableECFTransport[Index],CONCATENATE($A8,"_LPG_LPG"))</f>
        <v>3.1873436838270551E-4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7.0767989730267433E-2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2.2990020094275466E-2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2.9186502605201025E-3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1.3987987009697136E-2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4.2734486370779928E-6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4.4073271159364902E-4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33.485352784789882</v>
      </c>
      <c r="C14" s="21"/>
      <c r="D14" s="21">
        <f t="shared" ref="D14:M14" si="0">((D5)*10^9/3600)+D12</f>
        <v>77.123717654873388</v>
      </c>
      <c r="E14" s="21">
        <f t="shared" si="0"/>
        <v>296.3124895661889</v>
      </c>
      <c r="F14" s="21"/>
      <c r="G14" s="21">
        <f t="shared" si="0"/>
        <v>103446.05866849411</v>
      </c>
      <c r="H14" s="21">
        <f t="shared" si="0"/>
        <v>20690.896133666673</v>
      </c>
      <c r="I14" s="21"/>
      <c r="J14" s="21"/>
      <c r="K14" s="21"/>
      <c r="L14" s="21"/>
      <c r="M14" s="21">
        <f t="shared" si="0"/>
        <v>3879.0114480570683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0.21727154047649272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7.2754141829501133</v>
      </c>
      <c r="C18" s="23"/>
      <c r="D18" s="23">
        <f t="shared" ref="D18:M18" si="1">D14*D16</f>
        <v>15.578990966284426</v>
      </c>
      <c r="E18" s="23">
        <f t="shared" si="1"/>
        <v>67.262935131524884</v>
      </c>
      <c r="F18" s="23"/>
      <c r="G18" s="23">
        <f t="shared" si="1"/>
        <v>27620.09766448793</v>
      </c>
      <c r="H18" s="23">
        <f t="shared" si="1"/>
        <v>5152.0331372830015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2.266172545572989E-3</v>
      </c>
      <c r="C50" s="321">
        <f t="shared" ref="C50:P50" si="2">SUM(C51:C52)</f>
        <v>0</v>
      </c>
      <c r="D50" s="321">
        <f t="shared" si="2"/>
        <v>0</v>
      </c>
      <c r="E50" s="321">
        <f t="shared" si="2"/>
        <v>0</v>
      </c>
      <c r="F50" s="321">
        <f t="shared" si="2"/>
        <v>0</v>
      </c>
      <c r="G50" s="321">
        <f t="shared" si="2"/>
        <v>5.7077332259353325E-3</v>
      </c>
      <c r="H50" s="321">
        <f t="shared" si="2"/>
        <v>0</v>
      </c>
      <c r="I50" s="321">
        <f t="shared" si="2"/>
        <v>0</v>
      </c>
      <c r="J50" s="321">
        <f t="shared" si="2"/>
        <v>0</v>
      </c>
      <c r="K50" s="321">
        <f t="shared" si="2"/>
        <v>0</v>
      </c>
      <c r="L50" s="321">
        <f t="shared" si="2"/>
        <v>0</v>
      </c>
      <c r="M50" s="321">
        <f t="shared" si="2"/>
        <v>1.7704111542997711E-4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5.7077332259353325E-3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1.7704111542997711E-4</v>
      </c>
      <c r="N51" s="323"/>
      <c r="O51" s="323"/>
      <c r="P51" s="326"/>
    </row>
    <row r="52" spans="1:18">
      <c r="A52" s="4" t="s">
        <v>330</v>
      </c>
      <c r="B52" s="893">
        <f>vkm_2011_tram*SUMIFS(TableECFTransport[EnergieConsumptieFactor (PJ per km)],TableECFTransport[Index],"Tram_gemiddeld_Electric_Electric")</f>
        <v>2.266172545572989E-3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629.49237377027475</v>
      </c>
      <c r="C54" s="21">
        <f t="shared" ref="C54:P54" si="3">(C50)*10^9/3600</f>
        <v>0</v>
      </c>
      <c r="D54" s="21">
        <f t="shared" si="3"/>
        <v>0</v>
      </c>
      <c r="E54" s="21">
        <f t="shared" si="3"/>
        <v>0</v>
      </c>
      <c r="F54" s="21">
        <f t="shared" si="3"/>
        <v>0</v>
      </c>
      <c r="G54" s="21">
        <f t="shared" si="3"/>
        <v>1585.4814516487036</v>
      </c>
      <c r="H54" s="21">
        <f t="shared" si="3"/>
        <v>0</v>
      </c>
      <c r="I54" s="21">
        <f t="shared" si="3"/>
        <v>0</v>
      </c>
      <c r="J54" s="21">
        <f t="shared" si="3"/>
        <v>0</v>
      </c>
      <c r="K54" s="21">
        <f t="shared" si="3"/>
        <v>0</v>
      </c>
      <c r="L54" s="21">
        <f t="shared" si="3"/>
        <v>0</v>
      </c>
      <c r="M54" s="21">
        <f t="shared" si="3"/>
        <v>49.178087619438081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0.21727154047649272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136.77077776727174</v>
      </c>
      <c r="C58" s="23">
        <f t="shared" ref="C58:P58" ca="1" si="4">C54*C56</f>
        <v>0</v>
      </c>
      <c r="D58" s="23">
        <f t="shared" si="4"/>
        <v>0</v>
      </c>
      <c r="E58" s="23">
        <f t="shared" si="4"/>
        <v>0</v>
      </c>
      <c r="F58" s="23">
        <f t="shared" si="4"/>
        <v>0</v>
      </c>
      <c r="G58" s="23">
        <f t="shared" si="4"/>
        <v>423.32354759020387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95858.940247289967</v>
      </c>
      <c r="D10" s="1012">
        <f ca="1">tertiair!C16</f>
        <v>0</v>
      </c>
      <c r="E10" s="1012">
        <f ca="1">tertiair!D16</f>
        <v>106299.638530008</v>
      </c>
      <c r="F10" s="1012">
        <f>tertiair!E16</f>
        <v>2021.8794151098509</v>
      </c>
      <c r="G10" s="1012">
        <f ca="1">tertiair!F16</f>
        <v>24865.398462779936</v>
      </c>
      <c r="H10" s="1012">
        <f>tertiair!G16</f>
        <v>0</v>
      </c>
      <c r="I10" s="1012">
        <f>tertiair!H16</f>
        <v>0</v>
      </c>
      <c r="J10" s="1012">
        <f>tertiair!I16</f>
        <v>0</v>
      </c>
      <c r="K10" s="1012">
        <f>tertiair!J16</f>
        <v>0</v>
      </c>
      <c r="L10" s="1012">
        <f>tertiair!K16</f>
        <v>0</v>
      </c>
      <c r="M10" s="1012">
        <f ca="1">tertiair!L16</f>
        <v>0</v>
      </c>
      <c r="N10" s="1012">
        <f>tertiair!M16</f>
        <v>0</v>
      </c>
      <c r="O10" s="1012">
        <f ca="1">tertiair!N16</f>
        <v>7477.587492941273</v>
      </c>
      <c r="P10" s="1012">
        <f>tertiair!O16</f>
        <v>1.5633333333333335</v>
      </c>
      <c r="Q10" s="1013">
        <f>tertiair!P16</f>
        <v>76.266666666666666</v>
      </c>
      <c r="R10" s="700">
        <f ca="1">SUM(C10:Q10)</f>
        <v>236601.27414812901</v>
      </c>
      <c r="S10" s="67"/>
    </row>
    <row r="11" spans="1:19" s="473" customFormat="1">
      <c r="A11" s="809" t="s">
        <v>225</v>
      </c>
      <c r="B11" s="814"/>
      <c r="C11" s="1012">
        <f>huishoudens!B8</f>
        <v>68612.930061660823</v>
      </c>
      <c r="D11" s="1012">
        <f>huishoudens!C8</f>
        <v>0</v>
      </c>
      <c r="E11" s="1012">
        <f>huishoudens!D8</f>
        <v>202473.248453343</v>
      </c>
      <c r="F11" s="1012">
        <f>huishoudens!E8</f>
        <v>0</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0</v>
      </c>
      <c r="P11" s="1012">
        <f>huishoudens!O8</f>
        <v>176.65666666666667</v>
      </c>
      <c r="Q11" s="1013">
        <f>huishoudens!P8</f>
        <v>381.33333333333337</v>
      </c>
      <c r="R11" s="700">
        <f>SUM(C11:Q11)</f>
        <v>271644.16851500381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12340.712136689002</v>
      </c>
      <c r="D13" s="1012">
        <f>industrie!C18</f>
        <v>0</v>
      </c>
      <c r="E13" s="1012">
        <f>industrie!D18</f>
        <v>10520.111975871763</v>
      </c>
      <c r="F13" s="1012">
        <f>industrie!E18</f>
        <v>1821.1303518942889</v>
      </c>
      <c r="G13" s="1012">
        <f>industrie!F18</f>
        <v>6618.6192483032492</v>
      </c>
      <c r="H13" s="1012">
        <f>industrie!G18</f>
        <v>0</v>
      </c>
      <c r="I13" s="1012">
        <f>industrie!H18</f>
        <v>0</v>
      </c>
      <c r="J13" s="1012">
        <f>industrie!I18</f>
        <v>0</v>
      </c>
      <c r="K13" s="1012">
        <f>industrie!J18</f>
        <v>36.542715577433981</v>
      </c>
      <c r="L13" s="1012">
        <f>industrie!K18</f>
        <v>0</v>
      </c>
      <c r="M13" s="1012">
        <f>industrie!L18</f>
        <v>0</v>
      </c>
      <c r="N13" s="1012">
        <f>industrie!M18</f>
        <v>0</v>
      </c>
      <c r="O13" s="1012">
        <f>industrie!N18</f>
        <v>3557.8951984447408</v>
      </c>
      <c r="P13" s="1012">
        <f>industrie!O18</f>
        <v>0</v>
      </c>
      <c r="Q13" s="1013">
        <f>industrie!P18</f>
        <v>0</v>
      </c>
      <c r="R13" s="700">
        <f>SUM(C13:Q13)</f>
        <v>34895.011626780477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176812.58244563977</v>
      </c>
      <c r="D16" s="732">
        <f t="shared" ref="D16:R16" ca="1" si="0">SUM(D9:D15)</f>
        <v>0</v>
      </c>
      <c r="E16" s="732">
        <f t="shared" ca="1" si="0"/>
        <v>319292.99895922275</v>
      </c>
      <c r="F16" s="732">
        <f t="shared" si="0"/>
        <v>3843.0097670041396</v>
      </c>
      <c r="G16" s="732">
        <f t="shared" ca="1" si="0"/>
        <v>31484.017711083186</v>
      </c>
      <c r="H16" s="732">
        <f t="shared" si="0"/>
        <v>0</v>
      </c>
      <c r="I16" s="732">
        <f t="shared" si="0"/>
        <v>0</v>
      </c>
      <c r="J16" s="732">
        <f t="shared" si="0"/>
        <v>0</v>
      </c>
      <c r="K16" s="732">
        <f t="shared" si="0"/>
        <v>36.542715577433981</v>
      </c>
      <c r="L16" s="732">
        <f t="shared" si="0"/>
        <v>0</v>
      </c>
      <c r="M16" s="732">
        <f t="shared" ca="1" si="0"/>
        <v>0</v>
      </c>
      <c r="N16" s="732">
        <f t="shared" si="0"/>
        <v>0</v>
      </c>
      <c r="O16" s="732">
        <f t="shared" ca="1" si="0"/>
        <v>11035.482691386014</v>
      </c>
      <c r="P16" s="732">
        <f t="shared" si="0"/>
        <v>178.22</v>
      </c>
      <c r="Q16" s="732">
        <f t="shared" si="0"/>
        <v>457.6</v>
      </c>
      <c r="R16" s="732">
        <f t="shared" ca="1" si="0"/>
        <v>543140.45428991329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629.49237377027475</v>
      </c>
      <c r="D19" s="1012">
        <f>transport!C54</f>
        <v>0</v>
      </c>
      <c r="E19" s="1012">
        <f>transport!D54</f>
        <v>0</v>
      </c>
      <c r="F19" s="1012">
        <f>transport!E54</f>
        <v>0</v>
      </c>
      <c r="G19" s="1012">
        <f>transport!F54</f>
        <v>0</v>
      </c>
      <c r="H19" s="1012">
        <f>transport!G54</f>
        <v>1585.4814516487036</v>
      </c>
      <c r="I19" s="1012">
        <f>transport!H54</f>
        <v>0</v>
      </c>
      <c r="J19" s="1012">
        <f>transport!I54</f>
        <v>0</v>
      </c>
      <c r="K19" s="1012">
        <f>transport!J54</f>
        <v>0</v>
      </c>
      <c r="L19" s="1012">
        <f>transport!K54</f>
        <v>0</v>
      </c>
      <c r="M19" s="1012">
        <f>transport!L54</f>
        <v>0</v>
      </c>
      <c r="N19" s="1012">
        <f>transport!M54</f>
        <v>49.178087619438081</v>
      </c>
      <c r="O19" s="1012">
        <f>transport!N54</f>
        <v>0</v>
      </c>
      <c r="P19" s="1012">
        <f>transport!O54</f>
        <v>0</v>
      </c>
      <c r="Q19" s="1013">
        <f>transport!P54</f>
        <v>0</v>
      </c>
      <c r="R19" s="700">
        <f>SUM(C19:Q19)</f>
        <v>2264.1519130384163</v>
      </c>
      <c r="S19" s="67"/>
    </row>
    <row r="20" spans="1:19" s="473" customFormat="1">
      <c r="A20" s="809" t="s">
        <v>307</v>
      </c>
      <c r="B20" s="814"/>
      <c r="C20" s="1012">
        <f>transport!B14</f>
        <v>33.485352784789882</v>
      </c>
      <c r="D20" s="1012">
        <f>transport!C14</f>
        <v>0</v>
      </c>
      <c r="E20" s="1012">
        <f>transport!D14</f>
        <v>77.123717654873388</v>
      </c>
      <c r="F20" s="1012">
        <f>transport!E14</f>
        <v>296.3124895661889</v>
      </c>
      <c r="G20" s="1012">
        <f>transport!F14</f>
        <v>0</v>
      </c>
      <c r="H20" s="1012">
        <f>transport!G14</f>
        <v>103446.05866849411</v>
      </c>
      <c r="I20" s="1012">
        <f>transport!H14</f>
        <v>20690.896133666673</v>
      </c>
      <c r="J20" s="1012">
        <f>transport!I14</f>
        <v>0</v>
      </c>
      <c r="K20" s="1012">
        <f>transport!J14</f>
        <v>0</v>
      </c>
      <c r="L20" s="1012">
        <f>transport!K14</f>
        <v>0</v>
      </c>
      <c r="M20" s="1012">
        <f>transport!L14</f>
        <v>0</v>
      </c>
      <c r="N20" s="1012">
        <f>transport!M14</f>
        <v>3879.0114480570683</v>
      </c>
      <c r="O20" s="1012">
        <f>transport!N14</f>
        <v>0</v>
      </c>
      <c r="P20" s="1012">
        <f>transport!O14</f>
        <v>0</v>
      </c>
      <c r="Q20" s="1013">
        <f>transport!P14</f>
        <v>0</v>
      </c>
      <c r="R20" s="700">
        <f>SUM(C20:Q20)</f>
        <v>128422.88781022369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662.97772655506469</v>
      </c>
      <c r="D22" s="812">
        <f t="shared" ref="D22:R22" si="1">SUM(D18:D21)</f>
        <v>0</v>
      </c>
      <c r="E22" s="812">
        <f t="shared" si="1"/>
        <v>77.123717654873388</v>
      </c>
      <c r="F22" s="812">
        <f t="shared" si="1"/>
        <v>296.3124895661889</v>
      </c>
      <c r="G22" s="812">
        <f t="shared" si="1"/>
        <v>0</v>
      </c>
      <c r="H22" s="812">
        <f t="shared" si="1"/>
        <v>105031.54012014282</v>
      </c>
      <c r="I22" s="812">
        <f t="shared" si="1"/>
        <v>20690.896133666673</v>
      </c>
      <c r="J22" s="812">
        <f t="shared" si="1"/>
        <v>0</v>
      </c>
      <c r="K22" s="812">
        <f t="shared" si="1"/>
        <v>0</v>
      </c>
      <c r="L22" s="812">
        <f t="shared" si="1"/>
        <v>0</v>
      </c>
      <c r="M22" s="812">
        <f t="shared" si="1"/>
        <v>0</v>
      </c>
      <c r="N22" s="812">
        <f t="shared" si="1"/>
        <v>3928.1895356765062</v>
      </c>
      <c r="O22" s="812">
        <f t="shared" si="1"/>
        <v>0</v>
      </c>
      <c r="P22" s="812">
        <f t="shared" si="1"/>
        <v>0</v>
      </c>
      <c r="Q22" s="812">
        <f t="shared" si="1"/>
        <v>0</v>
      </c>
      <c r="R22" s="812">
        <f t="shared" si="1"/>
        <v>130687.0397232621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1716.8588344500001</v>
      </c>
      <c r="D24" s="1012">
        <f>+landbouw!C8</f>
        <v>0</v>
      </c>
      <c r="E24" s="1012">
        <f>+landbouw!D8</f>
        <v>859.75760916121999</v>
      </c>
      <c r="F24" s="1012">
        <f>+landbouw!E8</f>
        <v>44.27119736467089</v>
      </c>
      <c r="G24" s="1012">
        <f>+landbouw!F8</f>
        <v>6275.4459997969961</v>
      </c>
      <c r="H24" s="1012">
        <f>+landbouw!G8</f>
        <v>0</v>
      </c>
      <c r="I24" s="1012">
        <f>+landbouw!H8</f>
        <v>0</v>
      </c>
      <c r="J24" s="1012">
        <f>+landbouw!I8</f>
        <v>0</v>
      </c>
      <c r="K24" s="1012">
        <f>+landbouw!J8</f>
        <v>247.16451466361249</v>
      </c>
      <c r="L24" s="1012">
        <f>+landbouw!K8</f>
        <v>0</v>
      </c>
      <c r="M24" s="1012">
        <f>+landbouw!L8</f>
        <v>0</v>
      </c>
      <c r="N24" s="1012">
        <f>+landbouw!M8</f>
        <v>0</v>
      </c>
      <c r="O24" s="1012">
        <f>+landbouw!N8</f>
        <v>0</v>
      </c>
      <c r="P24" s="1012">
        <f>+landbouw!O8</f>
        <v>0</v>
      </c>
      <c r="Q24" s="1013">
        <f>+landbouw!P8</f>
        <v>0</v>
      </c>
      <c r="R24" s="700">
        <f>SUM(C24:Q24)</f>
        <v>9143.4981554365004</v>
      </c>
      <c r="S24" s="67"/>
    </row>
    <row r="25" spans="1:19" s="473" customFormat="1" ht="15" thickBot="1">
      <c r="A25" s="831" t="s">
        <v>848</v>
      </c>
      <c r="B25" s="1015"/>
      <c r="C25" s="1016">
        <f>IF(Onbekend_ele_kWh="---",0,Onbekend_ele_kWh)/1000+IF(REST_rest_ele_kWh="---",0,REST_rest_ele_kWh)/1000</f>
        <v>16942.02794</v>
      </c>
      <c r="D25" s="1016"/>
      <c r="E25" s="1016">
        <f>IF(onbekend_gas_kWh="---",0,onbekend_gas_kWh)/1000+IF(REST_rest_gas_kWh="---",0,REST_rest_gas_kWh)/1000</f>
        <v>47125.609347999998</v>
      </c>
      <c r="F25" s="1016"/>
      <c r="G25" s="1016"/>
      <c r="H25" s="1016"/>
      <c r="I25" s="1016"/>
      <c r="J25" s="1016"/>
      <c r="K25" s="1016"/>
      <c r="L25" s="1016"/>
      <c r="M25" s="1016"/>
      <c r="N25" s="1016"/>
      <c r="O25" s="1016"/>
      <c r="P25" s="1016"/>
      <c r="Q25" s="1017"/>
      <c r="R25" s="700">
        <f>SUM(C25:Q25)</f>
        <v>64067.637287999998</v>
      </c>
      <c r="S25" s="67"/>
    </row>
    <row r="26" spans="1:19" s="473" customFormat="1" ht="15.75" thickBot="1">
      <c r="A26" s="705" t="s">
        <v>849</v>
      </c>
      <c r="B26" s="817"/>
      <c r="C26" s="812">
        <f>SUM(C24:C25)</f>
        <v>18658.886774449998</v>
      </c>
      <c r="D26" s="812">
        <f t="shared" ref="D26:R26" si="2">SUM(D24:D25)</f>
        <v>0</v>
      </c>
      <c r="E26" s="812">
        <f t="shared" si="2"/>
        <v>47985.366957161219</v>
      </c>
      <c r="F26" s="812">
        <f t="shared" si="2"/>
        <v>44.27119736467089</v>
      </c>
      <c r="G26" s="812">
        <f t="shared" si="2"/>
        <v>6275.4459997969961</v>
      </c>
      <c r="H26" s="812">
        <f t="shared" si="2"/>
        <v>0</v>
      </c>
      <c r="I26" s="812">
        <f t="shared" si="2"/>
        <v>0</v>
      </c>
      <c r="J26" s="812">
        <f t="shared" si="2"/>
        <v>0</v>
      </c>
      <c r="K26" s="812">
        <f t="shared" si="2"/>
        <v>247.16451466361249</v>
      </c>
      <c r="L26" s="812">
        <f t="shared" si="2"/>
        <v>0</v>
      </c>
      <c r="M26" s="812">
        <f t="shared" si="2"/>
        <v>0</v>
      </c>
      <c r="N26" s="812">
        <f t="shared" si="2"/>
        <v>0</v>
      </c>
      <c r="O26" s="812">
        <f t="shared" si="2"/>
        <v>0</v>
      </c>
      <c r="P26" s="812">
        <f t="shared" si="2"/>
        <v>0</v>
      </c>
      <c r="Q26" s="812">
        <f t="shared" si="2"/>
        <v>0</v>
      </c>
      <c r="R26" s="812">
        <f t="shared" si="2"/>
        <v>73211.135443436506</v>
      </c>
      <c r="S26" s="67"/>
    </row>
    <row r="27" spans="1:19" s="473" customFormat="1" ht="17.25" thickTop="1" thickBot="1">
      <c r="A27" s="706" t="s">
        <v>116</v>
      </c>
      <c r="B27" s="805"/>
      <c r="C27" s="707">
        <f ca="1">C22+C16+C26</f>
        <v>196134.44694664481</v>
      </c>
      <c r="D27" s="707">
        <f t="shared" ref="D27:R27" ca="1" si="3">D22+D16+D26</f>
        <v>0</v>
      </c>
      <c r="E27" s="707">
        <f t="shared" ca="1" si="3"/>
        <v>367355.48963403882</v>
      </c>
      <c r="F27" s="707">
        <f t="shared" si="3"/>
        <v>4183.5934539349992</v>
      </c>
      <c r="G27" s="707">
        <f t="shared" ca="1" si="3"/>
        <v>37759.463710880183</v>
      </c>
      <c r="H27" s="707">
        <f t="shared" si="3"/>
        <v>105031.54012014282</v>
      </c>
      <c r="I27" s="707">
        <f t="shared" si="3"/>
        <v>20690.896133666673</v>
      </c>
      <c r="J27" s="707">
        <f t="shared" si="3"/>
        <v>0</v>
      </c>
      <c r="K27" s="707">
        <f t="shared" si="3"/>
        <v>283.70723024104649</v>
      </c>
      <c r="L27" s="707">
        <f t="shared" si="3"/>
        <v>0</v>
      </c>
      <c r="M27" s="707">
        <f t="shared" ca="1" si="3"/>
        <v>0</v>
      </c>
      <c r="N27" s="707">
        <f t="shared" si="3"/>
        <v>3928.1895356765062</v>
      </c>
      <c r="O27" s="707">
        <f t="shared" ca="1" si="3"/>
        <v>11035.482691386014</v>
      </c>
      <c r="P27" s="707">
        <f t="shared" si="3"/>
        <v>178.22</v>
      </c>
      <c r="Q27" s="707">
        <f t="shared" si="3"/>
        <v>457.6</v>
      </c>
      <c r="R27" s="707">
        <f t="shared" ca="1" si="3"/>
        <v>747038.62945661182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20827.419615972762</v>
      </c>
      <c r="D40" s="1012">
        <f ca="1">tertiair!C20</f>
        <v>0</v>
      </c>
      <c r="E40" s="1012">
        <f ca="1">tertiair!D20</f>
        <v>21472.526983061616</v>
      </c>
      <c r="F40" s="1012">
        <f>tertiair!E20</f>
        <v>458.96662722993619</v>
      </c>
      <c r="G40" s="1012">
        <f ca="1">tertiair!F20</f>
        <v>6639.0613895622437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49397.974615826555</v>
      </c>
    </row>
    <row r="41" spans="1:18">
      <c r="A41" s="822" t="s">
        <v>225</v>
      </c>
      <c r="B41" s="829"/>
      <c r="C41" s="1012">
        <f ca="1">huishoudens!B12</f>
        <v>14907.637011102905</v>
      </c>
      <c r="D41" s="1012">
        <f ca="1">huishoudens!C12</f>
        <v>0</v>
      </c>
      <c r="E41" s="1012">
        <f>huishoudens!D12</f>
        <v>40899.596187575291</v>
      </c>
      <c r="F41" s="1012">
        <f>huishoudens!E12</f>
        <v>0</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55807.233198678194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2681.2855365153696</v>
      </c>
      <c r="D43" s="1012">
        <f ca="1">industrie!C22</f>
        <v>0</v>
      </c>
      <c r="E43" s="1012">
        <f>industrie!D22</f>
        <v>2125.0626191260963</v>
      </c>
      <c r="F43" s="1012">
        <f>industrie!E22</f>
        <v>413.3965898800036</v>
      </c>
      <c r="G43" s="1012">
        <f>industrie!F22</f>
        <v>1767.1713392969675</v>
      </c>
      <c r="H43" s="1012">
        <f>industrie!G22</f>
        <v>0</v>
      </c>
      <c r="I43" s="1012">
        <f>industrie!H22</f>
        <v>0</v>
      </c>
      <c r="J43" s="1012">
        <f>industrie!I22</f>
        <v>0</v>
      </c>
      <c r="K43" s="1012">
        <f>industrie!J22</f>
        <v>12.936121314411629</v>
      </c>
      <c r="L43" s="1012">
        <f>industrie!K22</f>
        <v>0</v>
      </c>
      <c r="M43" s="1012">
        <f>industrie!L22</f>
        <v>0</v>
      </c>
      <c r="N43" s="1012">
        <f>industrie!M22</f>
        <v>0</v>
      </c>
      <c r="O43" s="1012">
        <f>industrie!N22</f>
        <v>0</v>
      </c>
      <c r="P43" s="1012">
        <f>industrie!O22</f>
        <v>0</v>
      </c>
      <c r="Q43" s="774">
        <f>industrie!P22</f>
        <v>0</v>
      </c>
      <c r="R43" s="849">
        <f t="shared" ca="1" si="4"/>
        <v>6999.8522061328495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38416.342163591034</v>
      </c>
      <c r="D46" s="732">
        <f t="shared" ref="D46:Q46" ca="1" si="5">SUM(D39:D45)</f>
        <v>0</v>
      </c>
      <c r="E46" s="732">
        <f t="shared" ca="1" si="5"/>
        <v>64497.185789763003</v>
      </c>
      <c r="F46" s="732">
        <f t="shared" si="5"/>
        <v>872.3632171099398</v>
      </c>
      <c r="G46" s="732">
        <f t="shared" ca="1" si="5"/>
        <v>8406.2327288592114</v>
      </c>
      <c r="H46" s="732">
        <f t="shared" si="5"/>
        <v>0</v>
      </c>
      <c r="I46" s="732">
        <f t="shared" si="5"/>
        <v>0</v>
      </c>
      <c r="J46" s="732">
        <f t="shared" si="5"/>
        <v>0</v>
      </c>
      <c r="K46" s="732">
        <f t="shared" si="5"/>
        <v>12.936121314411629</v>
      </c>
      <c r="L46" s="732">
        <f t="shared" si="5"/>
        <v>0</v>
      </c>
      <c r="M46" s="732">
        <f t="shared" ca="1" si="5"/>
        <v>0</v>
      </c>
      <c r="N46" s="732">
        <f t="shared" si="5"/>
        <v>0</v>
      </c>
      <c r="O46" s="732">
        <f t="shared" ca="1" si="5"/>
        <v>0</v>
      </c>
      <c r="P46" s="732">
        <f t="shared" si="5"/>
        <v>0</v>
      </c>
      <c r="Q46" s="732">
        <f t="shared" si="5"/>
        <v>0</v>
      </c>
      <c r="R46" s="732">
        <f ca="1">SUM(R39:R45)</f>
        <v>112205.0600206376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136.77077776727174</v>
      </c>
      <c r="D49" s="1012">
        <f ca="1">transport!C58</f>
        <v>0</v>
      </c>
      <c r="E49" s="1012">
        <f>transport!D58</f>
        <v>0</v>
      </c>
      <c r="F49" s="1012">
        <f>transport!E58</f>
        <v>0</v>
      </c>
      <c r="G49" s="1012">
        <f>transport!F58</f>
        <v>0</v>
      </c>
      <c r="H49" s="1012">
        <f>transport!G58</f>
        <v>423.32354759020387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560.09432535747555</v>
      </c>
    </row>
    <row r="50" spans="1:18">
      <c r="A50" s="825" t="s">
        <v>307</v>
      </c>
      <c r="B50" s="835"/>
      <c r="C50" s="703">
        <f ca="1">transport!B18</f>
        <v>7.2754141829501133</v>
      </c>
      <c r="D50" s="703">
        <f>transport!C18</f>
        <v>0</v>
      </c>
      <c r="E50" s="703">
        <f>transport!D18</f>
        <v>15.578990966284426</v>
      </c>
      <c r="F50" s="703">
        <f>transport!E18</f>
        <v>67.262935131524884</v>
      </c>
      <c r="G50" s="703">
        <f>transport!F18</f>
        <v>0</v>
      </c>
      <c r="H50" s="703">
        <f>transport!G18</f>
        <v>27620.09766448793</v>
      </c>
      <c r="I50" s="703">
        <f>transport!H18</f>
        <v>5152.0331372830015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32862.248142051692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144.04619195022184</v>
      </c>
      <c r="D52" s="732">
        <f t="shared" ref="D52:Q52" ca="1" si="6">SUM(D48:D51)</f>
        <v>0</v>
      </c>
      <c r="E52" s="732">
        <f t="shared" si="6"/>
        <v>15.578990966284426</v>
      </c>
      <c r="F52" s="732">
        <f t="shared" si="6"/>
        <v>67.262935131524884</v>
      </c>
      <c r="G52" s="732">
        <f t="shared" si="6"/>
        <v>0</v>
      </c>
      <c r="H52" s="732">
        <f t="shared" si="6"/>
        <v>28043.421212078134</v>
      </c>
      <c r="I52" s="732">
        <f t="shared" si="6"/>
        <v>5152.0331372830015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33422.342467409166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373.02456374162733</v>
      </c>
      <c r="D54" s="703">
        <f ca="1">+landbouw!C12</f>
        <v>0</v>
      </c>
      <c r="E54" s="703">
        <f>+landbouw!D12</f>
        <v>173.67103705056644</v>
      </c>
      <c r="F54" s="703">
        <f>+landbouw!E12</f>
        <v>10.049561801780293</v>
      </c>
      <c r="G54" s="703">
        <f>+landbouw!F12</f>
        <v>1675.5440819457981</v>
      </c>
      <c r="H54" s="703">
        <f>+landbouw!G12</f>
        <v>0</v>
      </c>
      <c r="I54" s="703">
        <f>+landbouw!H12</f>
        <v>0</v>
      </c>
      <c r="J54" s="703">
        <f>+landbouw!I12</f>
        <v>0</v>
      </c>
      <c r="K54" s="703">
        <f>+landbouw!J12</f>
        <v>87.496238190918817</v>
      </c>
      <c r="L54" s="703">
        <f>+landbouw!K12</f>
        <v>0</v>
      </c>
      <c r="M54" s="703">
        <f>+landbouw!L12</f>
        <v>0</v>
      </c>
      <c r="N54" s="703">
        <f>+landbouw!M12</f>
        <v>0</v>
      </c>
      <c r="O54" s="703">
        <f>+landbouw!N12</f>
        <v>0</v>
      </c>
      <c r="P54" s="703">
        <f>+landbouw!O12</f>
        <v>0</v>
      </c>
      <c r="Q54" s="704">
        <f>+landbouw!P12</f>
        <v>0</v>
      </c>
      <c r="R54" s="731">
        <f ca="1">SUM(C54:Q54)</f>
        <v>2319.785482730691</v>
      </c>
    </row>
    <row r="55" spans="1:18" ht="15" thickBot="1">
      <c r="A55" s="825" t="s">
        <v>848</v>
      </c>
      <c r="B55" s="835"/>
      <c r="C55" s="703">
        <f ca="1">C25*'EF ele_warmte'!B12</f>
        <v>3681.0205093195805</v>
      </c>
      <c r="D55" s="703"/>
      <c r="E55" s="703">
        <f>E25*EF_CO2_aardgas</f>
        <v>9519.3730882960008</v>
      </c>
      <c r="F55" s="703"/>
      <c r="G55" s="703"/>
      <c r="H55" s="703"/>
      <c r="I55" s="703"/>
      <c r="J55" s="703"/>
      <c r="K55" s="703"/>
      <c r="L55" s="703"/>
      <c r="M55" s="703"/>
      <c r="N55" s="703"/>
      <c r="O55" s="703"/>
      <c r="P55" s="703"/>
      <c r="Q55" s="704"/>
      <c r="R55" s="731">
        <f ca="1">SUM(C55:Q55)</f>
        <v>13200.393597615581</v>
      </c>
    </row>
    <row r="56" spans="1:18" ht="15.75" thickBot="1">
      <c r="A56" s="823" t="s">
        <v>849</v>
      </c>
      <c r="B56" s="836"/>
      <c r="C56" s="732">
        <f ca="1">SUM(C54:C55)</f>
        <v>4054.0450730612079</v>
      </c>
      <c r="D56" s="732">
        <f t="shared" ref="D56:Q56" ca="1" si="7">SUM(D54:D55)</f>
        <v>0</v>
      </c>
      <c r="E56" s="732">
        <f t="shared" si="7"/>
        <v>9693.0441253465669</v>
      </c>
      <c r="F56" s="732">
        <f t="shared" si="7"/>
        <v>10.049561801780293</v>
      </c>
      <c r="G56" s="732">
        <f t="shared" si="7"/>
        <v>1675.5440819457981</v>
      </c>
      <c r="H56" s="732">
        <f t="shared" si="7"/>
        <v>0</v>
      </c>
      <c r="I56" s="732">
        <f t="shared" si="7"/>
        <v>0</v>
      </c>
      <c r="J56" s="732">
        <f t="shared" si="7"/>
        <v>0</v>
      </c>
      <c r="K56" s="732">
        <f t="shared" si="7"/>
        <v>87.496238190918817</v>
      </c>
      <c r="L56" s="732">
        <f t="shared" si="7"/>
        <v>0</v>
      </c>
      <c r="M56" s="732">
        <f t="shared" si="7"/>
        <v>0</v>
      </c>
      <c r="N56" s="732">
        <f t="shared" si="7"/>
        <v>0</v>
      </c>
      <c r="O56" s="732">
        <f t="shared" si="7"/>
        <v>0</v>
      </c>
      <c r="P56" s="732">
        <f t="shared" si="7"/>
        <v>0</v>
      </c>
      <c r="Q56" s="733">
        <f t="shared" si="7"/>
        <v>0</v>
      </c>
      <c r="R56" s="734">
        <f ca="1">SUM(R54:R55)</f>
        <v>15520.179080346272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42614.43342860246</v>
      </c>
      <c r="D61" s="740">
        <f t="shared" ref="D61:Q61" ca="1" si="8">D46+D52+D56</f>
        <v>0</v>
      </c>
      <c r="E61" s="740">
        <f t="shared" ca="1" si="8"/>
        <v>74205.80890607585</v>
      </c>
      <c r="F61" s="740">
        <f t="shared" si="8"/>
        <v>949.67571404324497</v>
      </c>
      <c r="G61" s="740">
        <f t="shared" ca="1" si="8"/>
        <v>10081.77681080501</v>
      </c>
      <c r="H61" s="740">
        <f t="shared" si="8"/>
        <v>28043.421212078134</v>
      </c>
      <c r="I61" s="740">
        <f t="shared" si="8"/>
        <v>5152.0331372830015</v>
      </c>
      <c r="J61" s="740">
        <f t="shared" si="8"/>
        <v>0</v>
      </c>
      <c r="K61" s="740">
        <f t="shared" si="8"/>
        <v>100.43235950533045</v>
      </c>
      <c r="L61" s="740">
        <f t="shared" si="8"/>
        <v>0</v>
      </c>
      <c r="M61" s="740">
        <f t="shared" ca="1" si="8"/>
        <v>0</v>
      </c>
      <c r="N61" s="740">
        <f t="shared" si="8"/>
        <v>0</v>
      </c>
      <c r="O61" s="740">
        <f t="shared" ca="1" si="8"/>
        <v>0</v>
      </c>
      <c r="P61" s="740">
        <f t="shared" si="8"/>
        <v>0</v>
      </c>
      <c r="Q61" s="740">
        <f t="shared" si="8"/>
        <v>0</v>
      </c>
      <c r="R61" s="740">
        <f ca="1">R46+R52+R56</f>
        <v>161147.58156839304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0.21727154047649277</v>
      </c>
      <c r="D63" s="781">
        <f t="shared" ca="1" si="9"/>
        <v>0</v>
      </c>
      <c r="E63" s="1023">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3308.9563194843872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3308.9563194843872</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3308.9563194843872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3308.9563194843872</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68612.930061660823</v>
      </c>
      <c r="C4" s="477">
        <f>huishoudens!C8</f>
        <v>0</v>
      </c>
      <c r="D4" s="477">
        <f>huishoudens!D8</f>
        <v>202473.248453343</v>
      </c>
      <c r="E4" s="477">
        <f>huishoudens!E8</f>
        <v>0</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0</v>
      </c>
      <c r="O4" s="477">
        <f>huishoudens!O8</f>
        <v>176.65666666666667</v>
      </c>
      <c r="P4" s="478">
        <f>huishoudens!P8</f>
        <v>381.33333333333337</v>
      </c>
      <c r="Q4" s="479">
        <f>SUM(B4:P4)</f>
        <v>271644.16851500381</v>
      </c>
    </row>
    <row r="5" spans="1:17">
      <c r="A5" s="476" t="s">
        <v>156</v>
      </c>
      <c r="B5" s="477">
        <f ca="1">tertiair!B16</f>
        <v>92762.703247289974</v>
      </c>
      <c r="C5" s="477">
        <f ca="1">tertiair!C16</f>
        <v>0</v>
      </c>
      <c r="D5" s="477">
        <f ca="1">tertiair!D16</f>
        <v>106299.638530008</v>
      </c>
      <c r="E5" s="477">
        <f>tertiair!E16</f>
        <v>2021.8794151098509</v>
      </c>
      <c r="F5" s="477">
        <f ca="1">tertiair!F16</f>
        <v>24865.398462779936</v>
      </c>
      <c r="G5" s="477">
        <f>tertiair!G16</f>
        <v>0</v>
      </c>
      <c r="H5" s="477">
        <f>tertiair!H16</f>
        <v>0</v>
      </c>
      <c r="I5" s="477">
        <f>tertiair!I16</f>
        <v>0</v>
      </c>
      <c r="J5" s="477">
        <f>tertiair!J16</f>
        <v>0</v>
      </c>
      <c r="K5" s="477">
        <f>tertiair!K16</f>
        <v>0</v>
      </c>
      <c r="L5" s="477">
        <f ca="1">tertiair!L16</f>
        <v>0</v>
      </c>
      <c r="M5" s="477">
        <f>tertiair!M16</f>
        <v>0</v>
      </c>
      <c r="N5" s="477">
        <f ca="1">tertiair!N16</f>
        <v>7477.587492941273</v>
      </c>
      <c r="O5" s="477">
        <f>tertiair!O16</f>
        <v>1.5633333333333335</v>
      </c>
      <c r="P5" s="478">
        <f>tertiair!P16</f>
        <v>76.266666666666666</v>
      </c>
      <c r="Q5" s="476">
        <f t="shared" ref="Q5:Q14" ca="1" si="0">SUM(B5:P5)</f>
        <v>233505.03714812899</v>
      </c>
    </row>
    <row r="6" spans="1:17">
      <c r="A6" s="476" t="s">
        <v>194</v>
      </c>
      <c r="B6" s="477">
        <f>'openbare verlichting'!B8</f>
        <v>3096.2370000000001</v>
      </c>
      <c r="C6" s="477"/>
      <c r="D6" s="477"/>
      <c r="E6" s="477"/>
      <c r="F6" s="477"/>
      <c r="G6" s="477"/>
      <c r="H6" s="477"/>
      <c r="I6" s="477"/>
      <c r="J6" s="477"/>
      <c r="K6" s="477"/>
      <c r="L6" s="477"/>
      <c r="M6" s="477"/>
      <c r="N6" s="477"/>
      <c r="O6" s="477"/>
      <c r="P6" s="478"/>
      <c r="Q6" s="476">
        <f t="shared" si="0"/>
        <v>3096.2370000000001</v>
      </c>
    </row>
    <row r="7" spans="1:17">
      <c r="A7" s="476" t="s">
        <v>112</v>
      </c>
      <c r="B7" s="477">
        <f>landbouw!B8</f>
        <v>1716.8588344500001</v>
      </c>
      <c r="C7" s="477">
        <f>landbouw!C8</f>
        <v>0</v>
      </c>
      <c r="D7" s="477">
        <f>landbouw!D8</f>
        <v>859.75760916121999</v>
      </c>
      <c r="E7" s="477">
        <f>landbouw!E8</f>
        <v>44.27119736467089</v>
      </c>
      <c r="F7" s="477">
        <f>landbouw!F8</f>
        <v>6275.4459997969961</v>
      </c>
      <c r="G7" s="477">
        <f>landbouw!G8</f>
        <v>0</v>
      </c>
      <c r="H7" s="477">
        <f>landbouw!H8</f>
        <v>0</v>
      </c>
      <c r="I7" s="477">
        <f>landbouw!I8</f>
        <v>0</v>
      </c>
      <c r="J7" s="477">
        <f>landbouw!J8</f>
        <v>247.16451466361249</v>
      </c>
      <c r="K7" s="477">
        <f>landbouw!K8</f>
        <v>0</v>
      </c>
      <c r="L7" s="477">
        <f>landbouw!L8</f>
        <v>0</v>
      </c>
      <c r="M7" s="477">
        <f>landbouw!M8</f>
        <v>0</v>
      </c>
      <c r="N7" s="477">
        <f>landbouw!N8</f>
        <v>0</v>
      </c>
      <c r="O7" s="477">
        <f>landbouw!O8</f>
        <v>0</v>
      </c>
      <c r="P7" s="478">
        <f>landbouw!P8</f>
        <v>0</v>
      </c>
      <c r="Q7" s="476">
        <f t="shared" si="0"/>
        <v>9143.4981554365004</v>
      </c>
    </row>
    <row r="8" spans="1:17">
      <c r="A8" s="476" t="s">
        <v>638</v>
      </c>
      <c r="B8" s="477">
        <f>industrie!B18</f>
        <v>12340.712136689002</v>
      </c>
      <c r="C8" s="477">
        <f>industrie!C18</f>
        <v>0</v>
      </c>
      <c r="D8" s="477">
        <f>industrie!D18</f>
        <v>10520.111975871763</v>
      </c>
      <c r="E8" s="477">
        <f>industrie!E18</f>
        <v>1821.1303518942889</v>
      </c>
      <c r="F8" s="477">
        <f>industrie!F18</f>
        <v>6618.6192483032492</v>
      </c>
      <c r="G8" s="477">
        <f>industrie!G18</f>
        <v>0</v>
      </c>
      <c r="H8" s="477">
        <f>industrie!H18</f>
        <v>0</v>
      </c>
      <c r="I8" s="477">
        <f>industrie!I18</f>
        <v>0</v>
      </c>
      <c r="J8" s="477">
        <f>industrie!J18</f>
        <v>36.542715577433981</v>
      </c>
      <c r="K8" s="477">
        <f>industrie!K18</f>
        <v>0</v>
      </c>
      <c r="L8" s="477">
        <f>industrie!L18</f>
        <v>0</v>
      </c>
      <c r="M8" s="477">
        <f>industrie!M18</f>
        <v>0</v>
      </c>
      <c r="N8" s="477">
        <f>industrie!N18</f>
        <v>3557.8951984447408</v>
      </c>
      <c r="O8" s="477">
        <f>industrie!O18</f>
        <v>0</v>
      </c>
      <c r="P8" s="478">
        <f>industrie!P18</f>
        <v>0</v>
      </c>
      <c r="Q8" s="476">
        <f t="shared" si="0"/>
        <v>34895.011626780477</v>
      </c>
    </row>
    <row r="9" spans="1:17" s="482" customFormat="1">
      <c r="A9" s="480" t="s">
        <v>564</v>
      </c>
      <c r="B9" s="481">
        <f>transport!B14</f>
        <v>33.485352784789882</v>
      </c>
      <c r="C9" s="481">
        <f>transport!C14</f>
        <v>0</v>
      </c>
      <c r="D9" s="481">
        <f>transport!D14</f>
        <v>77.123717654873388</v>
      </c>
      <c r="E9" s="481">
        <f>transport!E14</f>
        <v>296.3124895661889</v>
      </c>
      <c r="F9" s="481">
        <f>transport!F14</f>
        <v>0</v>
      </c>
      <c r="G9" s="481">
        <f>transport!G14</f>
        <v>103446.05866849411</v>
      </c>
      <c r="H9" s="481">
        <f>transport!H14</f>
        <v>20690.896133666673</v>
      </c>
      <c r="I9" s="481">
        <f>transport!I14</f>
        <v>0</v>
      </c>
      <c r="J9" s="481">
        <f>transport!J14</f>
        <v>0</v>
      </c>
      <c r="K9" s="481">
        <f>transport!K14</f>
        <v>0</v>
      </c>
      <c r="L9" s="481">
        <f>transport!L14</f>
        <v>0</v>
      </c>
      <c r="M9" s="481">
        <f>transport!M14</f>
        <v>3879.0114480570683</v>
      </c>
      <c r="N9" s="481">
        <f>transport!N14</f>
        <v>0</v>
      </c>
      <c r="O9" s="481">
        <f>transport!O14</f>
        <v>0</v>
      </c>
      <c r="P9" s="481">
        <f>transport!P14</f>
        <v>0</v>
      </c>
      <c r="Q9" s="480">
        <f>SUM(B9:P9)</f>
        <v>128422.88781022369</v>
      </c>
    </row>
    <row r="10" spans="1:17">
      <c r="A10" s="476" t="s">
        <v>554</v>
      </c>
      <c r="B10" s="477">
        <f>transport!B54</f>
        <v>629.49237377027475</v>
      </c>
      <c r="C10" s="477">
        <f>transport!C54</f>
        <v>0</v>
      </c>
      <c r="D10" s="477">
        <f>transport!D54</f>
        <v>0</v>
      </c>
      <c r="E10" s="477">
        <f>transport!E54</f>
        <v>0</v>
      </c>
      <c r="F10" s="477">
        <f>transport!F54</f>
        <v>0</v>
      </c>
      <c r="G10" s="477">
        <f>transport!G54</f>
        <v>1585.4814516487036</v>
      </c>
      <c r="H10" s="477">
        <f>transport!H54</f>
        <v>0</v>
      </c>
      <c r="I10" s="477">
        <f>transport!I54</f>
        <v>0</v>
      </c>
      <c r="J10" s="477">
        <f>transport!J54</f>
        <v>0</v>
      </c>
      <c r="K10" s="477">
        <f>transport!K54</f>
        <v>0</v>
      </c>
      <c r="L10" s="477">
        <f>transport!L54</f>
        <v>0</v>
      </c>
      <c r="M10" s="477">
        <f>transport!M54</f>
        <v>49.178087619438081</v>
      </c>
      <c r="N10" s="477">
        <f>transport!N54</f>
        <v>0</v>
      </c>
      <c r="O10" s="477">
        <f>transport!O54</f>
        <v>0</v>
      </c>
      <c r="P10" s="478">
        <f>transport!P54</f>
        <v>0</v>
      </c>
      <c r="Q10" s="476">
        <f t="shared" si="0"/>
        <v>2264.1519130384163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16942.02794</v>
      </c>
      <c r="C14" s="484"/>
      <c r="D14" s="484">
        <f>'SEAP template'!E25</f>
        <v>47125.609347999998</v>
      </c>
      <c r="E14" s="484"/>
      <c r="F14" s="484"/>
      <c r="G14" s="484"/>
      <c r="H14" s="484"/>
      <c r="I14" s="484"/>
      <c r="J14" s="484"/>
      <c r="K14" s="484"/>
      <c r="L14" s="484"/>
      <c r="M14" s="484"/>
      <c r="N14" s="484"/>
      <c r="O14" s="484"/>
      <c r="P14" s="485"/>
      <c r="Q14" s="476">
        <f t="shared" si="0"/>
        <v>64067.637287999998</v>
      </c>
    </row>
    <row r="15" spans="1:17" s="486" customFormat="1">
      <c r="A15" s="1038" t="s">
        <v>558</v>
      </c>
      <c r="B15" s="978">
        <f ca="1">SUM(B4:B14)</f>
        <v>196134.44694664486</v>
      </c>
      <c r="C15" s="978">
        <f t="shared" ref="C15:Q15" ca="1" si="1">SUM(C4:C14)</f>
        <v>0</v>
      </c>
      <c r="D15" s="978">
        <f t="shared" ca="1" si="1"/>
        <v>367355.48963403876</v>
      </c>
      <c r="E15" s="978">
        <f t="shared" si="1"/>
        <v>4183.5934539349992</v>
      </c>
      <c r="F15" s="978">
        <f t="shared" ca="1" si="1"/>
        <v>37759.463710880183</v>
      </c>
      <c r="G15" s="978">
        <f t="shared" si="1"/>
        <v>105031.54012014282</v>
      </c>
      <c r="H15" s="978">
        <f t="shared" si="1"/>
        <v>20690.896133666673</v>
      </c>
      <c r="I15" s="978">
        <f t="shared" si="1"/>
        <v>0</v>
      </c>
      <c r="J15" s="978">
        <f t="shared" si="1"/>
        <v>283.70723024104649</v>
      </c>
      <c r="K15" s="978">
        <f t="shared" si="1"/>
        <v>0</v>
      </c>
      <c r="L15" s="978">
        <f t="shared" ca="1" si="1"/>
        <v>0</v>
      </c>
      <c r="M15" s="978">
        <f t="shared" si="1"/>
        <v>3928.1895356765062</v>
      </c>
      <c r="N15" s="978">
        <f t="shared" ca="1" si="1"/>
        <v>11035.482691386014</v>
      </c>
      <c r="O15" s="978">
        <f t="shared" si="1"/>
        <v>178.22</v>
      </c>
      <c r="P15" s="978">
        <f t="shared" si="1"/>
        <v>457.6</v>
      </c>
      <c r="Q15" s="978">
        <f t="shared" ca="1" si="1"/>
        <v>747038.62945661193</v>
      </c>
    </row>
    <row r="17" spans="1:17">
      <c r="A17" s="487" t="s">
        <v>559</v>
      </c>
      <c r="B17" s="786">
        <f ca="1">huishoudens!B10</f>
        <v>0.21727154047649272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14907.637011102905</v>
      </c>
      <c r="C22" s="477">
        <f t="shared" ref="C22:C32" ca="1" si="3">C4*$C$17</f>
        <v>0</v>
      </c>
      <c r="D22" s="477">
        <f t="shared" ref="D22:D32" si="4">D4*$D$17</f>
        <v>40899.596187575291</v>
      </c>
      <c r="E22" s="477">
        <f t="shared" ref="E22:E32" si="5">E4*$E$17</f>
        <v>0</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55807.233198678194</v>
      </c>
    </row>
    <row r="23" spans="1:17">
      <c r="A23" s="476" t="s">
        <v>156</v>
      </c>
      <c r="B23" s="477">
        <f t="shared" ca="1" si="2"/>
        <v>20154.695433302448</v>
      </c>
      <c r="C23" s="477">
        <f t="shared" ca="1" si="3"/>
        <v>0</v>
      </c>
      <c r="D23" s="477">
        <f t="shared" ca="1" si="4"/>
        <v>21472.526983061616</v>
      </c>
      <c r="E23" s="477">
        <f t="shared" si="5"/>
        <v>458.96662722993619</v>
      </c>
      <c r="F23" s="477">
        <f t="shared" ca="1" si="6"/>
        <v>6639.0613895622437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48725.250433156245</v>
      </c>
    </row>
    <row r="24" spans="1:17">
      <c r="A24" s="476" t="s">
        <v>194</v>
      </c>
      <c r="B24" s="477">
        <f t="shared" ca="1" si="2"/>
        <v>672.72418267031435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672.72418267031435</v>
      </c>
    </row>
    <row r="25" spans="1:17">
      <c r="A25" s="476" t="s">
        <v>112</v>
      </c>
      <c r="B25" s="477">
        <f t="shared" ca="1" si="2"/>
        <v>373.02456374162733</v>
      </c>
      <c r="C25" s="477">
        <f t="shared" ca="1" si="3"/>
        <v>0</v>
      </c>
      <c r="D25" s="477">
        <f t="shared" si="4"/>
        <v>173.67103705056644</v>
      </c>
      <c r="E25" s="477">
        <f t="shared" si="5"/>
        <v>10.049561801780293</v>
      </c>
      <c r="F25" s="477">
        <f t="shared" si="6"/>
        <v>1675.5440819457981</v>
      </c>
      <c r="G25" s="477">
        <f t="shared" si="7"/>
        <v>0</v>
      </c>
      <c r="H25" s="477">
        <f t="shared" si="8"/>
        <v>0</v>
      </c>
      <c r="I25" s="477">
        <f t="shared" si="9"/>
        <v>0</v>
      </c>
      <c r="J25" s="477">
        <f t="shared" si="10"/>
        <v>87.496238190918817</v>
      </c>
      <c r="K25" s="477">
        <f t="shared" si="11"/>
        <v>0</v>
      </c>
      <c r="L25" s="477">
        <f t="shared" si="12"/>
        <v>0</v>
      </c>
      <c r="M25" s="477">
        <f t="shared" si="13"/>
        <v>0</v>
      </c>
      <c r="N25" s="477">
        <f t="shared" si="14"/>
        <v>0</v>
      </c>
      <c r="O25" s="477">
        <f t="shared" si="15"/>
        <v>0</v>
      </c>
      <c r="P25" s="478">
        <f t="shared" si="16"/>
        <v>0</v>
      </c>
      <c r="Q25" s="476">
        <f t="shared" ca="1" si="17"/>
        <v>2319.785482730691</v>
      </c>
    </row>
    <row r="26" spans="1:17">
      <c r="A26" s="476" t="s">
        <v>638</v>
      </c>
      <c r="B26" s="477">
        <f t="shared" ca="1" si="2"/>
        <v>2681.2855365153696</v>
      </c>
      <c r="C26" s="477">
        <f t="shared" ca="1" si="3"/>
        <v>0</v>
      </c>
      <c r="D26" s="477">
        <f t="shared" si="4"/>
        <v>2125.0626191260963</v>
      </c>
      <c r="E26" s="477">
        <f t="shared" si="5"/>
        <v>413.3965898800036</v>
      </c>
      <c r="F26" s="477">
        <f t="shared" si="6"/>
        <v>1767.1713392969675</v>
      </c>
      <c r="G26" s="477">
        <f t="shared" si="7"/>
        <v>0</v>
      </c>
      <c r="H26" s="477">
        <f t="shared" si="8"/>
        <v>0</v>
      </c>
      <c r="I26" s="477">
        <f t="shared" si="9"/>
        <v>0</v>
      </c>
      <c r="J26" s="477">
        <f t="shared" si="10"/>
        <v>12.936121314411629</v>
      </c>
      <c r="K26" s="477">
        <f t="shared" si="11"/>
        <v>0</v>
      </c>
      <c r="L26" s="477">
        <f t="shared" si="12"/>
        <v>0</v>
      </c>
      <c r="M26" s="477">
        <f t="shared" si="13"/>
        <v>0</v>
      </c>
      <c r="N26" s="477">
        <f t="shared" si="14"/>
        <v>0</v>
      </c>
      <c r="O26" s="477">
        <f t="shared" si="15"/>
        <v>0</v>
      </c>
      <c r="P26" s="478">
        <f t="shared" si="16"/>
        <v>0</v>
      </c>
      <c r="Q26" s="476">
        <f t="shared" ca="1" si="17"/>
        <v>6999.8522061328495</v>
      </c>
    </row>
    <row r="27" spans="1:17" s="482" customFormat="1">
      <c r="A27" s="480" t="s">
        <v>564</v>
      </c>
      <c r="B27" s="780">
        <f t="shared" ca="1" si="2"/>
        <v>7.2754141829501133</v>
      </c>
      <c r="C27" s="481">
        <f t="shared" ca="1" si="3"/>
        <v>0</v>
      </c>
      <c r="D27" s="481">
        <f t="shared" si="4"/>
        <v>15.578990966284426</v>
      </c>
      <c r="E27" s="481">
        <f t="shared" si="5"/>
        <v>67.262935131524884</v>
      </c>
      <c r="F27" s="481">
        <f t="shared" si="6"/>
        <v>0</v>
      </c>
      <c r="G27" s="481">
        <f t="shared" si="7"/>
        <v>27620.09766448793</v>
      </c>
      <c r="H27" s="481">
        <f t="shared" si="8"/>
        <v>5152.0331372830015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32862.248142051692</v>
      </c>
    </row>
    <row r="28" spans="1:17">
      <c r="A28" s="476" t="s">
        <v>554</v>
      </c>
      <c r="B28" s="477">
        <f t="shared" ca="1" si="2"/>
        <v>136.77077776727174</v>
      </c>
      <c r="C28" s="477">
        <f t="shared" ca="1" si="3"/>
        <v>0</v>
      </c>
      <c r="D28" s="477">
        <f t="shared" si="4"/>
        <v>0</v>
      </c>
      <c r="E28" s="477">
        <f t="shared" si="5"/>
        <v>0</v>
      </c>
      <c r="F28" s="477">
        <f t="shared" si="6"/>
        <v>0</v>
      </c>
      <c r="G28" s="477">
        <f t="shared" si="7"/>
        <v>423.32354759020387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560.09432535747555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3681.0205093195805</v>
      </c>
      <c r="C32" s="477">
        <f t="shared" ca="1" si="3"/>
        <v>0</v>
      </c>
      <c r="D32" s="477">
        <f t="shared" si="4"/>
        <v>9519.3730882960008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13200.393597615581</v>
      </c>
    </row>
    <row r="33" spans="1:17" s="486" customFormat="1">
      <c r="A33" s="1038" t="s">
        <v>558</v>
      </c>
      <c r="B33" s="978">
        <f ca="1">SUM(B22:B32)</f>
        <v>42614.433428602468</v>
      </c>
      <c r="C33" s="978">
        <f t="shared" ref="C33:Q33" ca="1" si="18">SUM(C22:C32)</f>
        <v>0</v>
      </c>
      <c r="D33" s="978">
        <f t="shared" ca="1" si="18"/>
        <v>74205.808906075865</v>
      </c>
      <c r="E33" s="978">
        <f t="shared" si="18"/>
        <v>949.67571404324497</v>
      </c>
      <c r="F33" s="978">
        <f t="shared" ca="1" si="18"/>
        <v>10081.77681080501</v>
      </c>
      <c r="G33" s="978">
        <f t="shared" si="18"/>
        <v>28043.421212078134</v>
      </c>
      <c r="H33" s="978">
        <f t="shared" si="18"/>
        <v>5152.0331372830015</v>
      </c>
      <c r="I33" s="978">
        <f t="shared" si="18"/>
        <v>0</v>
      </c>
      <c r="J33" s="978">
        <f t="shared" si="18"/>
        <v>100.43235950533045</v>
      </c>
      <c r="K33" s="978">
        <f t="shared" si="18"/>
        <v>0</v>
      </c>
      <c r="L33" s="978">
        <f t="shared" ca="1" si="18"/>
        <v>0</v>
      </c>
      <c r="M33" s="978">
        <f t="shared" si="18"/>
        <v>0</v>
      </c>
      <c r="N33" s="978">
        <f t="shared" ca="1" si="18"/>
        <v>0</v>
      </c>
      <c r="O33" s="978">
        <f t="shared" si="18"/>
        <v>0</v>
      </c>
      <c r="P33" s="978">
        <f t="shared" si="18"/>
        <v>0</v>
      </c>
      <c r="Q33" s="978">
        <f t="shared" ca="1" si="18"/>
        <v>161147.58156839304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3308.9563194843872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3308.9563194843872</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0.21727154047649272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0.21727154047649272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2019-08-12T08:24:13Z</dcterms:modified>
</cp:coreProperties>
</file>