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C19"/>
  <c r="D89" i="14" s="1"/>
  <c r="D19" i="59" s="1"/>
  <c r="B19" i="18"/>
  <c r="N18"/>
  <c r="L88" i="14" s="1"/>
  <c r="M18" i="18"/>
  <c r="K88" i="14" s="1"/>
  <c r="K18" i="59" s="1"/>
  <c r="L18" i="18"/>
  <c r="K18"/>
  <c r="J18"/>
  <c r="J88" i="14" s="1"/>
  <c r="J18" i="59" s="1"/>
  <c r="I18" i="18"/>
  <c r="H18"/>
  <c r="G18"/>
  <c r="F18"/>
  <c r="F20" s="1"/>
  <c r="E18"/>
  <c r="F88" i="14" s="1"/>
  <c r="F18" i="59" s="1"/>
  <c r="D18" i="18"/>
  <c r="C18"/>
  <c r="B18"/>
  <c r="L9"/>
  <c r="K9"/>
  <c r="I9"/>
  <c r="I77" i="14" s="1"/>
  <c r="I9" i="59" s="1"/>
  <c r="G9" i="18"/>
  <c r="H77" i="14" s="1"/>
  <c r="H9" i="59" s="1"/>
  <c r="F9" i="18"/>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N6" i="17" s="1"/>
  <c r="U61" i="18"/>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M58"/>
  <c r="G22"/>
  <c r="F22"/>
  <c r="E22"/>
  <c r="D22"/>
  <c r="C22"/>
  <c r="L20"/>
  <c r="K20"/>
  <c r="G12"/>
  <c r="F12"/>
  <c r="E12"/>
  <c r="D12"/>
  <c r="C12"/>
  <c r="K10"/>
  <c r="G10"/>
  <c r="F10"/>
  <c r="B6"/>
  <c r="B74" i="14" s="1"/>
  <c r="B6" i="59" s="1"/>
  <c r="B5" i="18"/>
  <c r="B73" i="14" s="1"/>
  <c r="B5" i="59" s="1"/>
  <c r="B4" i="18"/>
  <c r="L6" i="17"/>
  <c r="D6"/>
  <c r="D5"/>
  <c r="B19" i="6"/>
  <c r="B18"/>
  <c r="B5"/>
  <c r="C29" i="14" s="1"/>
  <c r="B6" i="6"/>
  <c r="D14" i="48"/>
  <c r="P7"/>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H87"/>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P26" s="1"/>
  <c r="N24"/>
  <c r="L24"/>
  <c r="J24"/>
  <c r="J26" s="1"/>
  <c r="I24"/>
  <c r="H24"/>
  <c r="H26" s="1"/>
  <c r="Q50"/>
  <c r="P50"/>
  <c r="O50"/>
  <c r="M50"/>
  <c r="L50"/>
  <c r="K50"/>
  <c r="J50"/>
  <c r="G50"/>
  <c r="D50"/>
  <c r="Q49"/>
  <c r="P49"/>
  <c r="Q20"/>
  <c r="P20"/>
  <c r="O20"/>
  <c r="M20"/>
  <c r="L20"/>
  <c r="K20"/>
  <c r="J20"/>
  <c r="G20"/>
  <c r="G22" s="1"/>
  <c r="D20"/>
  <c r="Q19"/>
  <c r="P19"/>
  <c r="O19"/>
  <c r="M19"/>
  <c r="L19"/>
  <c r="K19"/>
  <c r="J19"/>
  <c r="I19"/>
  <c r="G19"/>
  <c r="F19"/>
  <c r="E19"/>
  <c r="D19"/>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H56"/>
  <c r="I56"/>
  <c r="Q52"/>
  <c r="R44"/>
  <c r="E25"/>
  <c r="E55" s="1"/>
  <c r="C25"/>
  <c r="Q26"/>
  <c r="N26"/>
  <c r="L26"/>
  <c r="I26"/>
  <c r="L22"/>
  <c r="D22"/>
  <c r="P22"/>
  <c r="O22"/>
  <c r="R12"/>
  <c r="P32" i="48" l="1"/>
  <c r="P25"/>
  <c r="P31"/>
  <c r="N19" i="59"/>
  <c r="N90" i="14"/>
  <c r="K17" i="59"/>
  <c r="K90" i="14"/>
  <c r="B98" i="18"/>
  <c r="G102" s="1"/>
  <c r="B17"/>
  <c r="B20" s="1"/>
  <c r="L18" i="59"/>
  <c r="L20" s="1"/>
  <c r="L90" i="14"/>
  <c r="L78"/>
  <c r="L8" i="59"/>
  <c r="L10" s="1"/>
  <c r="B14" i="48"/>
  <c r="Q14" s="1"/>
  <c r="R25" i="14"/>
  <c r="D10" i="18"/>
  <c r="E77" i="14"/>
  <c r="E9" i="59" s="1"/>
  <c r="O77" i="14"/>
  <c r="L10" i="18"/>
  <c r="D20"/>
  <c r="E89" i="14"/>
  <c r="E19" i="59" s="1"/>
  <c r="E20" s="1"/>
  <c r="P29" i="48"/>
  <c r="P27"/>
  <c r="H78" i="14"/>
  <c r="H8" i="59"/>
  <c r="H10" s="1"/>
  <c r="C98" i="18"/>
  <c r="G101" s="1"/>
  <c r="D13" i="15"/>
  <c r="O90" i="14"/>
  <c r="G20" i="18"/>
  <c r="C13" i="15"/>
  <c r="H90" i="14"/>
  <c r="H18" i="59"/>
  <c r="H20" s="1"/>
  <c r="K10"/>
  <c r="O29" i="48"/>
  <c r="E10" i="59"/>
  <c r="N20"/>
  <c r="K20"/>
  <c r="G78" i="14"/>
  <c r="N10" i="59"/>
  <c r="B8" i="18"/>
  <c r="B10" s="1"/>
  <c r="O19"/>
  <c r="L13" i="15"/>
  <c r="N13"/>
  <c r="O9" i="18"/>
  <c r="O18"/>
  <c r="B89" i="14"/>
  <c r="B19" i="59" s="1"/>
  <c r="G88" i="14"/>
  <c r="F89"/>
  <c r="I101" i="18"/>
  <c r="H8" s="1"/>
  <c r="E101"/>
  <c r="E8" s="1"/>
  <c r="H101"/>
  <c r="C101"/>
  <c r="F101"/>
  <c r="B101"/>
  <c r="C8" s="1"/>
  <c r="I102"/>
  <c r="H17" s="1"/>
  <c r="E102"/>
  <c r="E17" s="1"/>
  <c r="H102"/>
  <c r="D102"/>
  <c r="C102"/>
  <c r="F102"/>
  <c r="B102"/>
  <c r="C17" s="1"/>
  <c r="O24" i="48"/>
  <c r="O30"/>
  <c r="P24"/>
  <c r="P30"/>
  <c r="E78" i="14"/>
  <c r="N78"/>
  <c r="O78" l="1"/>
  <c r="O9" i="59"/>
  <c r="O10" s="1"/>
  <c r="G90" i="14"/>
  <c r="G18" i="59"/>
  <c r="G20" s="1"/>
  <c r="C89" i="14"/>
  <c r="C19" i="59" s="1"/>
  <c r="F19"/>
  <c r="Q88" i="14"/>
  <c r="P18" i="59" s="1"/>
  <c r="B88" i="14"/>
  <c r="B18" i="59" s="1"/>
  <c r="E90" i="14"/>
  <c r="B77"/>
  <c r="B9" i="59" s="1"/>
  <c r="Q77" i="14"/>
  <c r="P9" i="59" s="1"/>
  <c r="C77" i="14"/>
  <c r="C9" i="59" s="1"/>
  <c r="D101" i="18"/>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9"/>
  <c r="I26"/>
  <c r="I25"/>
  <c r="I30"/>
  <c r="I31"/>
  <c r="I28"/>
  <c r="I22"/>
  <c r="I24"/>
  <c r="D4"/>
  <c r="D22" s="1"/>
  <c r="E11" i="14"/>
  <c r="H32" i="48"/>
  <c r="H25"/>
  <c r="H28"/>
  <c r="H29"/>
  <c r="H22"/>
  <c r="H30"/>
  <c r="H24"/>
  <c r="H26"/>
  <c r="H23"/>
  <c r="D11" i="14"/>
  <c r="C4" i="48"/>
  <c r="G32"/>
  <c r="G25"/>
  <c r="G29"/>
  <c r="G26"/>
  <c r="G24"/>
  <c r="G22"/>
  <c r="G30"/>
  <c r="G23"/>
  <c r="B4"/>
  <c r="C11" i="14"/>
  <c r="F32" i="48"/>
  <c r="F27"/>
  <c r="F29"/>
  <c r="F24"/>
  <c r="F31"/>
  <c r="F28"/>
  <c r="F30"/>
  <c r="N32"/>
  <c r="N27"/>
  <c r="N24"/>
  <c r="N28"/>
  <c r="N30"/>
  <c r="N31"/>
  <c r="N29"/>
  <c r="B10"/>
  <c r="C19" i="14"/>
  <c r="E31" i="48"/>
  <c r="E28"/>
  <c r="E32"/>
  <c r="E30"/>
  <c r="E29"/>
  <c r="E24"/>
  <c r="M32"/>
  <c r="M26"/>
  <c r="M30"/>
  <c r="M25"/>
  <c r="M29"/>
  <c r="M24"/>
  <c r="M22"/>
  <c r="M23"/>
  <c r="L10" i="14"/>
  <c r="L16" s="1"/>
  <c r="L27" s="1"/>
  <c r="K5" i="48"/>
  <c r="D29"/>
  <c r="D28"/>
  <c r="D30"/>
  <c r="D32"/>
  <c r="D24"/>
  <c r="D31"/>
  <c r="L29"/>
  <c r="L28"/>
  <c r="L32"/>
  <c r="L31"/>
  <c r="L22"/>
  <c r="L30"/>
  <c r="L27"/>
  <c r="L24"/>
  <c r="P5"/>
  <c r="P23" s="1"/>
  <c r="Q10" i="14"/>
  <c r="K28" i="48"/>
  <c r="K27"/>
  <c r="K32"/>
  <c r="K25"/>
  <c r="K31"/>
  <c r="K29"/>
  <c r="K22"/>
  <c r="K30"/>
  <c r="K26"/>
  <c r="K24"/>
  <c r="C24" i="14"/>
  <c r="C26" s="1"/>
  <c r="B7" i="48"/>
  <c r="J28"/>
  <c r="J27"/>
  <c r="J32"/>
  <c r="J31"/>
  <c r="J29"/>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O22"/>
  <c r="M12" i="22"/>
  <c r="M13" i="48"/>
  <c r="M31" s="1"/>
  <c r="N18" i="14"/>
  <c r="H18"/>
  <c r="G13" i="48"/>
  <c r="H13"/>
  <c r="H31" s="1"/>
  <c r="I18" i="14"/>
  <c r="K15" i="48"/>
  <c r="K23"/>
  <c r="C22" i="14"/>
  <c r="P8" i="48"/>
  <c r="P26" s="1"/>
  <c r="Q13" i="14"/>
  <c r="F20"/>
  <c r="F22" s="1"/>
  <c r="E9" i="48"/>
  <c r="E27" s="1"/>
  <c r="E20" i="14"/>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H19"/>
  <c r="G10" i="48"/>
  <c r="R18" i="14"/>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J63"/>
  <c r="P15" i="48"/>
  <c r="P3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G9"/>
  <c r="H20" i="14"/>
  <c r="R20" s="1"/>
  <c r="R22" s="1"/>
  <c r="J22" i="48"/>
  <c r="R11" i="14"/>
  <c r="P63"/>
  <c r="R19"/>
  <c r="R24"/>
  <c r="R26"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K13"/>
  <c r="K16" s="1"/>
  <c r="K27" s="1"/>
  <c r="J8" i="48"/>
  <c r="E8"/>
  <c r="F13" i="14"/>
  <c r="K46"/>
  <c r="K61" s="1"/>
  <c r="F16"/>
  <c r="F27" s="1"/>
  <c r="F46"/>
  <c r="F61" s="1"/>
  <c r="N8" i="48"/>
  <c r="N26" s="1"/>
  <c r="O13" i="14"/>
  <c r="N22" i="16"/>
  <c r="O43" i="14" s="1"/>
  <c r="G13"/>
  <c r="R13" s="1"/>
  <c r="F8" i="48"/>
  <c r="J26" l="1"/>
  <c r="J33" s="1"/>
  <c r="J15"/>
  <c r="E26"/>
  <c r="E33" s="1"/>
  <c r="E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<sst xmlns="http://schemas.openxmlformats.org/spreadsheetml/2006/main" count="2392" uniqueCount="890">
  <si>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</si>
  <si>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</si>
  <si>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</si>
  <si>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</si>
  <si>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</si>
  <si>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</si>
  <si>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</si>
  <si>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</si>
  <si>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</si>
  <si>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</si>
  <si>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</si>
  <si>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</si>
  <si>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</si>
  <si>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</si>
  <si>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</si>
  <si>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</si>
  <si>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</si>
  <si>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</si>
  <si>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</si>
  <si>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</si>
  <si>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</si>
  <si>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</si>
  <si>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</si>
  <si>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</si>
  <si>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</si>
  <si>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</si>
  <si>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</si>
  <si>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</si>
  <si>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</si>
  <si>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</si>
  <si>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</si>
  <si>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</si>
  <si>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</si>
  <si>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</si>
  <si>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</si>
  <si>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</si>
  <si>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</si>
  <si>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</si>
  <si>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</si>
  <si>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</si>
  <si>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</si>
  <si>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</si>
  <si>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</si>
  <si>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</si>
  <si>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</si>
  <si>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</si>
  <si>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</si>
  <si>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</si>
  <si>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</si>
  <si>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</si>
  <si>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</si>
  <si>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</si>
  <si>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</si>
  <si>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</si>
  <si>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</si>
  <si>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</si>
  <si>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</si>
  <si>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</si>
  <si>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</si>
  <si>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</si>
  <si>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</si>
  <si>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</si>
  <si>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</si>
  <si>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</si>
  <si>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</si>
  <si>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</si>
  <si>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</si>
  <si>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</si>
  <si>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</si>
  <si>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</si>
  <si>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</si>
  <si>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</si>
  <si>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</si>
  <si>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</si>
  <si>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</si>
  <si>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</si>
  <si>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</si>
  <si>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</si>
  <si>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</si>
  <si>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</si>
  <si>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</si>
  <si>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</si>
  <si>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</si>
  <si>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</si>
  <si>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</si>
  <si>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</si>
  <si>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</si>
  <si>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</si>
  <si>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</si>
  <si>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</si>
  <si>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</si>
  <si>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</si>
  <si>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</si>
  <si>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</si>
  <si>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</si>
  <si>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</si>
  <si>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</si>
  <si>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</si>
  <si>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</si>
  <si>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</si>
  <si>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</si>
  <si>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</si>
  <si>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</si>
  <si>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</si>
  <si>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</si>
  <si>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</si>
  <si>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</si>
  <si>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</si>
  <si>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</si>
  <si>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</si>
  <si>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</si>
  <si>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</si>
  <si>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</si>
  <si>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</si>
  <si>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</si>
  <si>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</si>
  <si>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</si>
  <si>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</si>
  <si>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</si>
  <si>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</si>
  <si>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</si>
  <si>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</si>
  <si>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</si>
  <si>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</si>
  <si>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</si>
  <si>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</si>
  <si>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</si>
  <si>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</si>
  <si>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</si>
  <si>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</si>
  <si>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</si>
  <si>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</si>
  <si>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</si>
  <si>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</si>
  <si>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</si>
  <si>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</si>
  <si>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</si>
  <si>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</si>
  <si>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</si>
  <si>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</si>
  <si>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</si>
  <si>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</si>
  <si>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</si>
  <si>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</si>
  <si>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</si>
  <si>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</si>
  <si>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</si>
  <si>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</si>
  <si>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</si>
  <si>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</si>
  <si>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</si>
  <si>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</si>
  <si>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</si>
  <si>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</si>
  <si>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</si>
  <si>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</si>
  <si>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</si>
  <si>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</si>
  <si>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</si>
  <si>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</si>
  <si>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</si>
  <si>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</si>
  <si>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</si>
  <si>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</si>
  <si>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</si>
  <si>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</si>
  <si>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</si>
  <si>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</si>
  <si>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</si>
  <si>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</si>
  <si>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</si>
  <si>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</si>
  <si>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</si>
  <si>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</si>
  <si>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</si>
  <si>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</si>
  <si>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</si>
  <si>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</si>
  <si>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</si>
  <si>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</si>
  <si>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</si>
  <si>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</si>
  <si>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</si>
  <si>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</si>
  <si>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</si>
  <si>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</si>
  <si>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</si>
  <si>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</si>
  <si>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</si>
  <si>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</si>
  <si>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</si>
  <si>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</si>
  <si>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</si>
  <si>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</si>
  <si>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</si>
  <si>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</si>
  <si>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</si>
  <si>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</si>
  <si>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</si>
  <si>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</si>
  <si>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</si>
  <si>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</si>
  <si>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</si>
  <si>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</si>
  <si>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</si>
  <si>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</si>
  <si>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</si>
  <si>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</si>
  <si>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</si>
  <si>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</si>
  <si>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</si>
  <si>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</si>
  <si>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</si>
  <si>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</si>
  <si>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</si>
  <si>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</si>
  <si>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</si>
  <si>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</si>
  <si>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</si>
  <si>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</si>
  <si>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</si>
  <si>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</si>
  <si>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</si>
  <si>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</si>
  <si>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</si>
  <si>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</si>
  <si>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</si>
  <si>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</si>
  <si>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</si>
  <si>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</si>
  <si>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</si>
  <si>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</si>
  <si>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</si>
  <si>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</si>
  <si>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</si>
  <si>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</si>
  <si>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</si>
  <si>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</si>
  <si>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</si>
  <si>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</si>
  <si>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</si>
  <si>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</si>
  <si>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</si>
  <si>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</si>
  <si>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</si>
  <si>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</si>
  <si>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</si>
  <si>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</si>
  <si>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</si>
  <si>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</si>
  <si>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</si>
  <si>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</si>
  <si>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</si>
  <si>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</si>
  <si>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</si>
  <si>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</si>
  <si>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</si>
  <si>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</si>
  <si>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</si>
  <si>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</si>
  <si>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</si>
  <si>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</si>
  <si>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</si>
  <si>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</si>
  <si>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</si>
  <si>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</si>
  <si>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</si>
  <si>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</si>
  <si>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</si>
  <si>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</si>
  <si>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</si>
  <si>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</si>
  <si>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</si>
  <si>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</si>
  <si>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</si>
  <si>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</si>
  <si>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</si>
  <si>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</si>
  <si>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</si>
  <si>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</si>
  <si>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</si>
  <si>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</si>
  <si>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</si>
  <si>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</si>
  <si>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</si>
  <si>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</si>
  <si>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</si>
  <si>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</si>
  <si>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</si>
  <si>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</si>
  <si>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</si>
  <si>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</si>
  <si>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</si>
  <si>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</si>
  <si>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</si>
  <si>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</si>
  <si>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</si>
  <si>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</si>
  <si>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</si>
  <si>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</si>
  <si>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</si>
  <si>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</si>
  <si>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</si>
  <si>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</si>
  <si>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</si>
  <si>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</si>
  <si>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</si>
  <si>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</si>
  <si>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</si>
  <si>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</si>
  <si>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</si>
  <si>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</si>
  <si>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</si>
  <si>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</si>
  <si>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</si>
  <si>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</si>
  <si>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</si>
  <si>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</si>
  <si>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</si>
  <si>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</si>
  <si>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</si>
  <si>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</si>
  <si>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</si>
  <si>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</si>
  <si>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</si>
  <si>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</si>
  <si>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</si>
  <si>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</si>
  <si>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</si>
  <si>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</si>
  <si>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</si>
  <si>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</si>
  <si>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</si>
  <si>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</si>
  <si>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</si>
  <si>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</si>
  <si>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</si>
  <si>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</si>
  <si>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</si>
  <si>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</si>
  <si>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</si>
  <si>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</si>
  <si>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</si>
  <si>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</si>
  <si>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</si>
  <si>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</si>
  <si>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</si>
  <si>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</si>
  <si>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</si>
  <si>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</si>
  <si>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</si>
  <si>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</si>
  <si>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</si>
  <si>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</si>
  <si>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</si>
  <si>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</si>
  <si>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</si>
  <si>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</si>
  <si>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</si>
  <si>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</si>
  <si>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</si>
  <si>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</si>
  <si>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</si>
  <si>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</si>
  <si>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</si>
  <si>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</si>
  <si>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</si>
  <si>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</si>
  <si>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</si>
  <si>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</si>
  <si>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</si>
  <si>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</si>
  <si>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</si>
  <si>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</si>
  <si>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</si>
  <si>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</si>
  <si>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</si>
  <si>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</si>
  <si>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</si>
  <si>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</si>
  <si>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</si>
  <si>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</si>
  <si>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</si>
  <si>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</si>
  <si>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</si>
  <si>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</si>
  <si>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</si>
  <si>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</si>
  <si>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</si>
  <si>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</si>
  <si>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</si>
  <si>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</si>
  <si>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</si>
  <si>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</si>
  <si>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</si>
  <si>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</si>
  <si>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</si>
  <si>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</si>
  <si>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</si>
  <si>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</si>
  <si>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</si>
  <si>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</si>
  <si>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</si>
  <si>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</si>
  <si>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</si>
  <si>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</si>
  <si>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</si>
  <si>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</si>
  <si>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</si>
  <si>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</si>
  <si>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</si>
  <si>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</si>
  <si>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</si>
  <si>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</si>
  <si>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</si>
  <si>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</si>
  <si>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</si>
  <si>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</si>
  <si>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</si>
  <si>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</si>
  <si>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</si>
  <si>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</si>
  <si>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</si>
  <si>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</si>
  <si>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</si>
  <si>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</si>
  <si>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</si>
  <si>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</si>
  <si>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</si>
  <si>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</si>
  <si>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</si>
  <si>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</si>
  <si>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</si>
  <si>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</si>
  <si>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</si>
  <si>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</si>
  <si>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</si>
  <si>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</si>
  <si>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</si>
  <si>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</si>
  <si>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</si>
  <si>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</si>
  <si>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</si>
  <si>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</si>
  <si>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</si>
  <si>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</si>
  <si>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</si>
  <si>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</si>
  <si>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</si>
  <si>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</si>
  <si>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</si>
  <si>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</si>
  <si>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</si>
  <si>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</si>
  <si>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</si>
  <si>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</si>
  <si>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</si>
  <si>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</si>
  <si>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</si>
  <si>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</si>
  <si>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</si>
  <si>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</si>
  <si>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</si>
  <si>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</si>
  <si>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</si>
  <si>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</si>
  <si>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</si>
  <si>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</si>
  <si>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</si>
  <si>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</si>
  <si>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</si>
  <si>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</si>
  <si>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</si>
  <si>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</si>
  <si>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</si>
  <si>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</si>
  <si>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</si>
  <si>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</si>
  <si>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</si>
  <si>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</si>
  <si>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</si>
  <si>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</si>
  <si>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</si>
  <si>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</si>
  <si>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</si>
  <si>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</si>
  <si>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</si>
  <si>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</si>
  <si>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</si>
  <si>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</si>
  <si>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</si>
  <si>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</si>
  <si>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</si>
  <si>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</si>
  <si>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</si>
  <si>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</si>
  <si>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</si>
  <si>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</si>
  <si>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</si>
  <si>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</si>
  <si>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</si>
  <si>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</si>
  <si>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</si>
  <si>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</si>
  <si>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</si>
  <si>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</si>
  <si>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</si>
  <si>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</si>
  <si>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</si>
  <si>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</si>
  <si>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</si>
  <si>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</si>
  <si>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</si>
  <si>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</si>
  <si>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</si>
  <si>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</si>
  <si>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</si>
  <si>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</si>
  <si>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</si>
  <si>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</si>
  <si>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</si>
  <si>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</si>
  <si>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</si>
  <si>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</si>
  <si>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</si>
  <si>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</si>
  <si>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</si>
  <si>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</si>
  <si>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</si>
  <si>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</si>
  <si>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</si>
  <si>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</si>
  <si>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</si>
  <si>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</si>
  <si>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</si>
  <si>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</si>
  <si>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</si>
  <si>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</si>
  <si>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</si>
  <si>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</si>
  <si>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</si>
  <si>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</si>
  <si>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</si>
  <si>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</si>
  <si>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</si>
  <si>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</si>
  <si>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</si>
  <si>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</si>
  <si>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</si>
  <si>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</si>
  <si>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</si>
  <si>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</si>
  <si>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</si>
  <si>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</si>
  <si>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</si>
  <si>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</si>
  <si>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</si>
  <si>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</si>
  <si>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</si>
  <si>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</si>
  <si>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</si>
  <si>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</si>
  <si>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</si>
  <si>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</si>
  <si>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</si>
  <si>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</si>
  <si>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</si>
  <si>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</si>
  <si>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</si>
  <si>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</si>
  <si>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</si>
  <si>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</si>
  <si>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</si>
  <si>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</si>
  <si>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</si>
  <si>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</si>
  <si>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</si>
  <si>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</si>
  <si>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</si>
  <si>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</si>
  <si>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</si>
  <si>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</si>
  <si>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</si>
  <si>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</si>
  <si>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</si>
  <si>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</si>
  <si>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</si>
  <si>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</si>
  <si>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</si>
  <si>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</si>
  <si>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</si>
  <si>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</si>
  <si>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</si>
  <si>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</si>
  <si>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</si>
  <si>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</si>
  <si>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</si>
  <si>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</si>
  <si>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</si>
  <si>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</si>
  <si>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</si>
  <si>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</si>
  <si>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</si>
  <si>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</si>
  <si>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</si>
  <si>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</si>
  <si>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</si>
  <si>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</si>
  <si>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</si>
  <si>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</si>
  <si>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</si>
  <si>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</si>
  <si>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</si>
  <si>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</si>
  <si>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</si>
  <si>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</si>
  <si>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</si>
  <si>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</si>
  <si>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</si>
  <si>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</si>
  <si>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</si>
  <si>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</si>
  <si>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</si>
  <si>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</si>
  <si>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</si>
  <si>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</si>
  <si>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</si>
  <si>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</si>
  <si>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</si>
  <si>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</si>
  <si>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</si>
  <si>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</si>
  <si>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</si>
  <si>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</si>
  <si>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</si>
  <si>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</si>
  <si>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</si>
  <si>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</si>
  <si>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</si>
  <si>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</si>
  <si>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</si>
  <si>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</si>
  <si>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</si>
  <si>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</si>
  <si>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</si>
  <si>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</si>
  <si>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</si>
  <si>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</si>
  <si>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</si>
  <si>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</si>
  <si>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</si>
  <si>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</si>
  <si>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</si>
  <si>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</si>
  <si>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</si>
  <si>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</si>
  <si>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</si>
  <si>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</si>
  <si>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</si>
  <si>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</si>
  <si>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</si>
  <si>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</si>
  <si>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</si>
  <si>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</si>
  <si>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</si>
  <si>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</si>
  <si>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</si>
  <si>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</si>
  <si>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</si>
  <si>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</si>
  <si>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</si>
  <si>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</si>
  <si>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</si>
  <si>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</si>
  <si>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</si>
  <si>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</si>
  <si>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</si>
  <si>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</si>
  <si>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</si>
  <si>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</si>
  <si>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</si>
  <si>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</si>
  <si>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</si>
  <si>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</si>
  <si>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</si>
  <si>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</si>
  <si>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</si>
  <si>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</si>
  <si>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</si>
  <si>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</si>
  <si>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</si>
  <si>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</si>
  <si>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</si>
  <si>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</si>
  <si>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</si>
  <si>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</si>
  <si>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</si>
  <si>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</si>
  <si>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</si>
  <si>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</si>
  <si>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</si>
  <si>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</si>
  <si>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</si>
  <si>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</si>
  <si>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</si>
  <si>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</si>
  <si>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</si>
  <si>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</si>
  <si>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</si>
  <si>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</si>
  <si>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</si>
  <si>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</si>
  <si>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</si>
  <si>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</si>
  <si>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</si>
  <si>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</si>
  <si>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</si>
  <si>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</si>
  <si>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</si>
  <si>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</si>
  <si>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</si>
  <si>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</si>
  <si>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</si>
  <si>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</si>
  <si>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</si>
  <si>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</si>
  <si>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</si>
  <si>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</si>
  <si>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</si>
  <si>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</si>
  <si>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</si>
  <si>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</si>
  <si>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</si>
  <si>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</si>
  <si>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</si>
  <si>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</si>
  <si>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</si>
  <si>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</si>
  <si>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</si>
  <si>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</si>
  <si>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</si>
  <si>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</si>
  <si>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</si>
  <si>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</si>
  <si>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</si>
  <si>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</si>
  <si>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</si>
  <si>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</si>
  <si>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</si>
  <si>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</si>
  <si>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</si>
  <si>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</si>
  <si>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</si>
  <si>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</si>
  <si>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</si>
  <si>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</si>
  <si>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</si>
  <si>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</si>
  <si>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</si>
  <si>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</si>
  <si>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</si>
  <si>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</si>
  <si>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</si>
  <si>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</si>
  <si>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</si>
  <si>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</si>
  <si>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</si>
  <si>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</si>
  <si>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</si>
  <si>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</si>
  <si>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</si>
  <si>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</si>
  <si>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</si>
  <si>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</si>
  <si>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</si>
  <si>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</si>
  <si>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</si>
  <si>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</si>
  <si>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</si>
  <si>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</si>
  <si>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</si>
  <si>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</si>
  <si>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</si>
  <si>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</si>
  <si>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</si>
  <si>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</si>
  <si>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</si>
  <si>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</si>
  <si>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</si>
  <si>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</si>
  <si>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</si>
  <si>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</si>
  <si>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</si>
  <si>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</si>
  <si>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</si>
  <si>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</si>
  <si>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</si>
  <si>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</si>
  <si>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</si>
  <si>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</si>
  <si>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</si>
  <si>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</si>
  <si>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</si>
  <si>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</si>
  <si>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</si>
  <si>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</si>
  <si>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</si>
  <si>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</si>
  <si>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</si>
  <si>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</si>
  <si>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</si>
  <si>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</si>
  <si>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</si>
  <si>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</si>
  <si>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</si>
  <si>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</si>
  <si>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</si>
  <si>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</si>
  <si>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</si>
  <si>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</si>
  <si>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</si>
  <si>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</si>
  <si>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</si>
  <si>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</si>
  <si>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</si>
  <si>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</si>
  <si>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</si>
  <si>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</si>
  <si>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</si>
  <si>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</si>
  <si>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</si>
  <si>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</si>
  <si>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</si>
  <si>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</si>
  <si>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</si>
  <si>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</si>
  <si>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</si>
  <si>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</si>
  <si>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</si>
  <si>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</si>
  <si>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</si>
  <si>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</si>
  <si>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</si>
  <si>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</si>
  <si>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</si>
  <si>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</si>
  <si>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</si>
  <si>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</si>
  <si>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</si>
  <si>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</si>
  <si>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</si>
  <si>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</si>
  <si>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</si>
  <si>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</si>
  <si>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</si>
  <si>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</si>
  <si>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</si>
  <si>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</si>
  <si>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</si>
  <si>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</si>
  <si>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</si>
  <si>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</si>
  <si>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</si>
  <si>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</si>
  <si>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</si>
  <si>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</si>
  <si>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</si>
  <si>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</si>
  <si>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</si>
  <si>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</si>
  <si>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</si>
  <si>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</si>
  <si>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</si>
  <si>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</si>
  <si>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</si>
  <si>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</si>
  <si>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</si>
  <si>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</si>
  <si>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</si>
  <si>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</si>
  <si>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</si>
  <si>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</si>
  <si>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31033</t>
  </si>
  <si>
    <t>TORHOUT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</si>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</sst>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156374.90886846272</c:v>
                </c:pt>
                <c:pt idx="1">
                  <c:v>70480.635710410381</c:v>
                </c:pt>
                <c:pt idx="2">
                  <c:v>1292.6020000000001</c:v>
                </c:pt>
                <c:pt idx="3">
                  <c:v>16828.399784311991</c:v>
                </c:pt>
                <c:pt idx="4">
                  <c:v>36708.048981193286</c:v>
                </c:pt>
                <c:pt idx="5">
                  <c:v>99327.220076251295</c:v>
                </c:pt>
                <c:pt idx="6">
                  <c:v>1181.5972736032327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156374.90886846272</c:v>
                </c:pt>
                <c:pt idx="1">
                  <c:v>70480.635710410381</c:v>
                </c:pt>
                <c:pt idx="2">
                  <c:v>1292.6020000000001</c:v>
                </c:pt>
                <c:pt idx="3">
                  <c:v>16828.399784311991</c:v>
                </c:pt>
                <c:pt idx="4">
                  <c:v>36708.048981193286</c:v>
                </c:pt>
                <c:pt idx="5">
                  <c:v>99327.220076251295</c:v>
                </c:pt>
                <c:pt idx="6">
                  <c:v>1181.5972736032327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28706.074964680509</c:v>
                </c:pt>
                <c:pt idx="2">
                  <c:v>14512.8754334389</c:v>
                </c:pt>
                <c:pt idx="3">
                  <c:v>266.52592771007198</c:v>
                </c:pt>
                <c:pt idx="4">
                  <c:v>4300.961178559648</c:v>
                </c:pt>
                <c:pt idx="5">
                  <c:v>6720.6888659751939</c:v>
                </c:pt>
                <c:pt idx="6">
                  <c:v>25440.923477800672</c:v>
                </c:pt>
                <c:pt idx="7">
                  <c:v>305.99518595081781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28706.074964680509</c:v>
                </c:pt>
                <c:pt idx="2">
                  <c:v>14512.8754334389</c:v>
                </c:pt>
                <c:pt idx="3">
                  <c:v>266.52592771007198</c:v>
                </c:pt>
                <c:pt idx="4">
                  <c:v>4300.961178559648</c:v>
                </c:pt>
                <c:pt idx="5">
                  <c:v>6720.6888659751939</c:v>
                </c:pt>
                <c:pt idx="6">
                  <c:v>25440.923477800672</c:v>
                </c:pt>
                <c:pt idx="7">
                  <c:v>305.99518595081781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31033</v>
      </c>
      <c r="B6" s="415"/>
      <c r="C6" s="416"/>
    </row>
    <row r="7" spans="1:7" s="413" customFormat="1" ht="15.75" customHeight="1">
      <c r="A7" s="417" t="str">
        <f>txtMunicipality</f>
        <v>TORHOUT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0.20619334312500828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0.20619334312500828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8666</v>
      </c>
      <c r="C9" s="342">
        <v>9220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2769.75</v>
      </c>
    </row>
    <row r="15" spans="1:6">
      <c r="A15" s="348" t="s">
        <v>184</v>
      </c>
      <c r="B15" s="334">
        <v>38</v>
      </c>
    </row>
    <row r="16" spans="1:6">
      <c r="A16" s="348" t="s">
        <v>6</v>
      </c>
      <c r="B16" s="334">
        <v>1216</v>
      </c>
    </row>
    <row r="17" spans="1:6">
      <c r="A17" s="348" t="s">
        <v>7</v>
      </c>
      <c r="B17" s="334">
        <v>1337</v>
      </c>
    </row>
    <row r="18" spans="1:6">
      <c r="A18" s="348" t="s">
        <v>8</v>
      </c>
      <c r="B18" s="334">
        <v>1762</v>
      </c>
    </row>
    <row r="19" spans="1:6">
      <c r="A19" s="348" t="s">
        <v>9</v>
      </c>
      <c r="B19" s="334">
        <v>1591</v>
      </c>
    </row>
    <row r="20" spans="1:6">
      <c r="A20" s="348" t="s">
        <v>10</v>
      </c>
      <c r="B20" s="334">
        <v>1041</v>
      </c>
    </row>
    <row r="21" spans="1:6">
      <c r="A21" s="348" t="s">
        <v>11</v>
      </c>
      <c r="B21" s="334">
        <v>18289</v>
      </c>
    </row>
    <row r="22" spans="1:6">
      <c r="A22" s="348" t="s">
        <v>12</v>
      </c>
      <c r="B22" s="334">
        <v>79905</v>
      </c>
    </row>
    <row r="23" spans="1:6">
      <c r="A23" s="348" t="s">
        <v>13</v>
      </c>
      <c r="B23" s="334">
        <v>658</v>
      </c>
    </row>
    <row r="24" spans="1:6">
      <c r="A24" s="348" t="s">
        <v>14</v>
      </c>
      <c r="B24" s="334">
        <v>22</v>
      </c>
    </row>
    <row r="25" spans="1:6">
      <c r="A25" s="348" t="s">
        <v>15</v>
      </c>
      <c r="B25" s="334">
        <v>3385</v>
      </c>
    </row>
    <row r="26" spans="1:6">
      <c r="A26" s="348" t="s">
        <v>16</v>
      </c>
      <c r="B26" s="334">
        <v>407</v>
      </c>
    </row>
    <row r="27" spans="1:6">
      <c r="A27" s="348" t="s">
        <v>17</v>
      </c>
      <c r="B27" s="334">
        <v>11</v>
      </c>
    </row>
    <row r="28" spans="1:6" s="356" customFormat="1">
      <c r="A28" s="355" t="s">
        <v>18</v>
      </c>
      <c r="B28" s="355">
        <v>51082</v>
      </c>
    </row>
    <row r="29" spans="1:6">
      <c r="A29" s="355" t="s">
        <v>884</v>
      </c>
      <c r="B29" s="355">
        <v>300</v>
      </c>
      <c r="C29" s="356"/>
      <c r="D29" s="356"/>
      <c r="E29" s="356"/>
      <c r="F29" s="356"/>
    </row>
    <row r="30" spans="1:6">
      <c r="A30" s="355" t="s">
        <v>885</v>
      </c>
      <c r="B30" s="341">
        <v>60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838068</v>
      </c>
      <c r="E35" s="334">
        <v>0</v>
      </c>
      <c r="F35" s="334">
        <v>0</v>
      </c>
    </row>
    <row r="36" spans="1:6">
      <c r="A36" s="348" t="s">
        <v>25</v>
      </c>
      <c r="B36" s="348" t="s">
        <v>27</v>
      </c>
      <c r="C36" s="334">
        <v>0</v>
      </c>
      <c r="D36" s="334">
        <v>0</v>
      </c>
      <c r="E36" s="334">
        <v>8</v>
      </c>
      <c r="F36" s="334">
        <v>2846950</v>
      </c>
    </row>
    <row r="37" spans="1:6">
      <c r="A37" s="348" t="s">
        <v>25</v>
      </c>
      <c r="B37" s="348" t="s">
        <v>28</v>
      </c>
      <c r="C37" s="334">
        <v>0</v>
      </c>
      <c r="D37" s="334">
        <v>0</v>
      </c>
      <c r="E37" s="334">
        <v>0</v>
      </c>
      <c r="F37" s="334">
        <v>0</v>
      </c>
    </row>
    <row r="38" spans="1:6">
      <c r="A38" s="348" t="s">
        <v>25</v>
      </c>
      <c r="B38" s="348" t="s">
        <v>29</v>
      </c>
      <c r="C38" s="334">
        <v>0</v>
      </c>
      <c r="D38" s="334">
        <v>0</v>
      </c>
      <c r="E38" s="334">
        <v>0</v>
      </c>
      <c r="F38" s="334">
        <v>42296</v>
      </c>
    </row>
    <row r="39" spans="1:6">
      <c r="A39" s="348" t="s">
        <v>30</v>
      </c>
      <c r="B39" s="348" t="s">
        <v>31</v>
      </c>
      <c r="C39" s="334">
        <v>5249</v>
      </c>
      <c r="D39" s="334">
        <v>76508172</v>
      </c>
      <c r="E39" s="334">
        <v>8543</v>
      </c>
      <c r="F39" s="334">
        <v>39368405</v>
      </c>
    </row>
    <row r="40" spans="1:6">
      <c r="A40" s="348" t="s">
        <v>30</v>
      </c>
      <c r="B40" s="348" t="s">
        <v>29</v>
      </c>
      <c r="C40" s="334">
        <v>0</v>
      </c>
      <c r="D40" s="334">
        <v>0</v>
      </c>
      <c r="E40" s="334">
        <v>0</v>
      </c>
      <c r="F40" s="334">
        <v>0</v>
      </c>
    </row>
    <row r="41" spans="1:6">
      <c r="A41" s="348" t="s">
        <v>32</v>
      </c>
      <c r="B41" s="348" t="s">
        <v>33</v>
      </c>
      <c r="C41" s="334">
        <v>81</v>
      </c>
      <c r="D41" s="334">
        <v>1503969</v>
      </c>
      <c r="E41" s="334">
        <v>229</v>
      </c>
      <c r="F41" s="334">
        <v>1769199</v>
      </c>
    </row>
    <row r="42" spans="1:6">
      <c r="A42" s="348" t="s">
        <v>32</v>
      </c>
      <c r="B42" s="348" t="s">
        <v>34</v>
      </c>
      <c r="C42" s="334">
        <v>0</v>
      </c>
      <c r="D42" s="334">
        <v>0</v>
      </c>
      <c r="E42" s="334">
        <v>5</v>
      </c>
      <c r="F42" s="334">
        <v>112274</v>
      </c>
    </row>
    <row r="43" spans="1:6">
      <c r="A43" s="348" t="s">
        <v>32</v>
      </c>
      <c r="B43" s="348" t="s">
        <v>35</v>
      </c>
      <c r="C43" s="334">
        <v>0</v>
      </c>
      <c r="D43" s="334">
        <v>0</v>
      </c>
      <c r="E43" s="334">
        <v>0</v>
      </c>
      <c r="F43" s="334">
        <v>0</v>
      </c>
    </row>
    <row r="44" spans="1:6">
      <c r="A44" s="348" t="s">
        <v>32</v>
      </c>
      <c r="B44" s="348" t="s">
        <v>36</v>
      </c>
      <c r="C44" s="334">
        <v>14</v>
      </c>
      <c r="D44" s="334">
        <v>332265</v>
      </c>
      <c r="E44" s="334">
        <v>36</v>
      </c>
      <c r="F44" s="334">
        <v>719713</v>
      </c>
    </row>
    <row r="45" spans="1:6">
      <c r="A45" s="348" t="s">
        <v>32</v>
      </c>
      <c r="B45" s="348" t="s">
        <v>37</v>
      </c>
      <c r="C45" s="334">
        <v>4</v>
      </c>
      <c r="D45" s="334">
        <v>147271</v>
      </c>
      <c r="E45" s="334">
        <v>7</v>
      </c>
      <c r="F45" s="334">
        <v>503577</v>
      </c>
    </row>
    <row r="46" spans="1:6">
      <c r="A46" s="348" t="s">
        <v>32</v>
      </c>
      <c r="B46" s="348" t="s">
        <v>38</v>
      </c>
      <c r="C46" s="334">
        <v>0</v>
      </c>
      <c r="D46" s="334">
        <v>0</v>
      </c>
      <c r="E46" s="334">
        <v>0</v>
      </c>
      <c r="F46" s="334">
        <v>0</v>
      </c>
    </row>
    <row r="47" spans="1:6">
      <c r="A47" s="348" t="s">
        <v>32</v>
      </c>
      <c r="B47" s="348" t="s">
        <v>39</v>
      </c>
      <c r="C47" s="334">
        <v>13</v>
      </c>
      <c r="D47" s="334">
        <v>3077839</v>
      </c>
      <c r="E47" s="334">
        <v>8</v>
      </c>
      <c r="F47" s="334">
        <v>207997</v>
      </c>
    </row>
    <row r="48" spans="1:6">
      <c r="A48" s="348" t="s">
        <v>32</v>
      </c>
      <c r="B48" s="348" t="s">
        <v>29</v>
      </c>
      <c r="C48" s="334">
        <v>0</v>
      </c>
      <c r="D48" s="334">
        <v>15733</v>
      </c>
      <c r="E48" s="334">
        <v>0</v>
      </c>
      <c r="F48" s="334">
        <v>0</v>
      </c>
    </row>
    <row r="49" spans="1:6">
      <c r="A49" s="348" t="s">
        <v>32</v>
      </c>
      <c r="B49" s="348" t="s">
        <v>40</v>
      </c>
      <c r="C49" s="334">
        <v>3</v>
      </c>
      <c r="D49" s="334">
        <v>65547</v>
      </c>
      <c r="E49" s="334">
        <v>4</v>
      </c>
      <c r="F49" s="334">
        <v>78247</v>
      </c>
    </row>
    <row r="50" spans="1:6">
      <c r="A50" s="348" t="s">
        <v>32</v>
      </c>
      <c r="B50" s="348" t="s">
        <v>41</v>
      </c>
      <c r="C50" s="334">
        <v>15</v>
      </c>
      <c r="D50" s="334">
        <v>7090832</v>
      </c>
      <c r="E50" s="334">
        <v>24</v>
      </c>
      <c r="F50" s="334">
        <v>11604984</v>
      </c>
    </row>
    <row r="51" spans="1:6">
      <c r="A51" s="348" t="s">
        <v>42</v>
      </c>
      <c r="B51" s="348" t="s">
        <v>43</v>
      </c>
      <c r="C51" s="334">
        <v>18</v>
      </c>
      <c r="D51" s="334">
        <v>409359</v>
      </c>
      <c r="E51" s="334">
        <v>167</v>
      </c>
      <c r="F51" s="334">
        <v>3411267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120</v>
      </c>
      <c r="F54" s="334">
        <v>1292602</v>
      </c>
    </row>
    <row r="55" spans="1:6">
      <c r="A55" s="348" t="s">
        <v>46</v>
      </c>
      <c r="B55" s="348" t="s">
        <v>29</v>
      </c>
      <c r="C55" s="334">
        <v>0</v>
      </c>
      <c r="D55" s="334">
        <v>0</v>
      </c>
      <c r="E55" s="334">
        <v>0</v>
      </c>
      <c r="F55" s="334">
        <v>0</v>
      </c>
    </row>
    <row r="56" spans="1:6">
      <c r="A56" s="348" t="s">
        <v>48</v>
      </c>
      <c r="B56" s="348" t="s">
        <v>29</v>
      </c>
      <c r="C56" s="334">
        <v>162</v>
      </c>
      <c r="D56" s="334">
        <v>25718680</v>
      </c>
      <c r="E56" s="334">
        <v>176</v>
      </c>
      <c r="F56" s="334">
        <v>739218</v>
      </c>
    </row>
    <row r="57" spans="1:6">
      <c r="A57" s="348" t="s">
        <v>49</v>
      </c>
      <c r="B57" s="348" t="s">
        <v>50</v>
      </c>
      <c r="C57" s="334">
        <v>73</v>
      </c>
      <c r="D57" s="334">
        <v>6516134</v>
      </c>
      <c r="E57" s="334">
        <v>116</v>
      </c>
      <c r="F57" s="334">
        <v>1607503</v>
      </c>
    </row>
    <row r="58" spans="1:6">
      <c r="A58" s="348" t="s">
        <v>49</v>
      </c>
      <c r="B58" s="348" t="s">
        <v>51</v>
      </c>
      <c r="C58" s="334">
        <v>35</v>
      </c>
      <c r="D58" s="334">
        <v>8099375</v>
      </c>
      <c r="E58" s="334">
        <v>73</v>
      </c>
      <c r="F58" s="334">
        <v>5693268</v>
      </c>
    </row>
    <row r="59" spans="1:6">
      <c r="A59" s="348" t="s">
        <v>49</v>
      </c>
      <c r="B59" s="348" t="s">
        <v>52</v>
      </c>
      <c r="C59" s="334">
        <v>185</v>
      </c>
      <c r="D59" s="334">
        <v>6175048</v>
      </c>
      <c r="E59" s="334">
        <v>350</v>
      </c>
      <c r="F59" s="334">
        <v>9203824</v>
      </c>
    </row>
    <row r="60" spans="1:6">
      <c r="A60" s="348" t="s">
        <v>49</v>
      </c>
      <c r="B60" s="348" t="s">
        <v>53</v>
      </c>
      <c r="C60" s="334">
        <v>64</v>
      </c>
      <c r="D60" s="334">
        <v>2642455</v>
      </c>
      <c r="E60" s="334">
        <v>90</v>
      </c>
      <c r="F60" s="334">
        <v>2504338</v>
      </c>
    </row>
    <row r="61" spans="1:6">
      <c r="A61" s="348" t="s">
        <v>49</v>
      </c>
      <c r="B61" s="348" t="s">
        <v>54</v>
      </c>
      <c r="C61" s="334">
        <v>120</v>
      </c>
      <c r="D61" s="334">
        <v>5326740</v>
      </c>
      <c r="E61" s="334">
        <v>389</v>
      </c>
      <c r="F61" s="334">
        <v>5887937</v>
      </c>
    </row>
    <row r="62" spans="1:6">
      <c r="A62" s="348" t="s">
        <v>49</v>
      </c>
      <c r="B62" s="348" t="s">
        <v>55</v>
      </c>
      <c r="C62" s="334">
        <v>32</v>
      </c>
      <c r="D62" s="334">
        <v>10380919</v>
      </c>
      <c r="E62" s="334">
        <v>29</v>
      </c>
      <c r="F62" s="334">
        <v>1706636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10616</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3</v>
      </c>
      <c r="F67" s="334">
        <v>79231</v>
      </c>
    </row>
    <row r="68" spans="1:6">
      <c r="A68" s="341" t="s">
        <v>56</v>
      </c>
      <c r="B68" s="341" t="s">
        <v>60</v>
      </c>
      <c r="C68" s="334">
        <v>4</v>
      </c>
      <c r="D68" s="334">
        <v>91043</v>
      </c>
      <c r="E68" s="334">
        <v>19</v>
      </c>
      <c r="F68" s="334">
        <v>158538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53436796</v>
      </c>
      <c r="E73" s="475">
        <v>48796442.709502451</v>
      </c>
    </row>
    <row r="74" spans="1:6">
      <c r="A74" s="348" t="s">
        <v>64</v>
      </c>
      <c r="B74" s="348" t="s">
        <v>667</v>
      </c>
      <c r="C74" s="1294" t="s">
        <v>669</v>
      </c>
      <c r="D74" s="475">
        <v>7954560.5405648462</v>
      </c>
      <c r="E74" s="475">
        <v>7503853.4433143977</v>
      </c>
    </row>
    <row r="75" spans="1:6">
      <c r="A75" s="348" t="s">
        <v>65</v>
      </c>
      <c r="B75" s="348" t="s">
        <v>666</v>
      </c>
      <c r="C75" s="1294" t="s">
        <v>670</v>
      </c>
      <c r="D75" s="475">
        <v>25140358</v>
      </c>
      <c r="E75" s="475">
        <v>22393277.37081283</v>
      </c>
    </row>
    <row r="76" spans="1:6">
      <c r="A76" s="348" t="s">
        <v>65</v>
      </c>
      <c r="B76" s="348" t="s">
        <v>667</v>
      </c>
      <c r="C76" s="1294" t="s">
        <v>671</v>
      </c>
      <c r="D76" s="475">
        <v>1357162.5405648467</v>
      </c>
      <c r="E76" s="475">
        <v>1247059.424532203</v>
      </c>
    </row>
    <row r="77" spans="1:6">
      <c r="A77" s="348" t="s">
        <v>66</v>
      </c>
      <c r="B77" s="348" t="s">
        <v>666</v>
      </c>
      <c r="C77" s="1294" t="s">
        <v>672</v>
      </c>
      <c r="D77" s="475">
        <v>18081315</v>
      </c>
      <c r="E77" s="475">
        <v>19581591.323113818</v>
      </c>
    </row>
    <row r="78" spans="1:6">
      <c r="A78" s="341" t="s">
        <v>66</v>
      </c>
      <c r="B78" s="341" t="s">
        <v>667</v>
      </c>
      <c r="C78" s="341" t="s">
        <v>673</v>
      </c>
      <c r="D78" s="1295">
        <v>2492566</v>
      </c>
      <c r="E78" s="1295">
        <v>2545423.6526673525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317360.91887030663</v>
      </c>
      <c r="C83" s="475">
        <v>317360.91887030663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4681.9821678462085</v>
      </c>
    </row>
    <row r="92" spans="1:6">
      <c r="A92" s="341" t="s">
        <v>69</v>
      </c>
      <c r="B92" s="342">
        <v>1422.6230166650976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236</v>
      </c>
    </row>
    <row r="130" spans="1:6">
      <c r="A130" s="348" t="s">
        <v>295</v>
      </c>
      <c r="B130" s="334">
        <v>7</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91115.621653639027</v>
      </c>
      <c r="C3" s="43" t="s">
        <v>170</v>
      </c>
      <c r="D3" s="43"/>
      <c r="E3" s="154"/>
      <c r="F3" s="43"/>
      <c r="G3" s="43"/>
      <c r="H3" s="43"/>
      <c r="I3" s="43"/>
      <c r="J3" s="43"/>
      <c r="K3" s="96"/>
    </row>
    <row r="4" spans="1:11">
      <c r="A4" s="383" t="s">
        <v>171</v>
      </c>
      <c r="B4" s="49">
        <f>IF(ISERROR('SEAP template'!B78+'SEAP template'!C78),0,'SEAP template'!B78+'SEAP template'!C78)</f>
        <v>6104.6051845113061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0.20619334312500828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1292.6020000000001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1292.6020000000001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0.20619334312500828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266.52592771007198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39368.404999999999</v>
      </c>
      <c r="C5" s="17">
        <f>IF(ISERROR('Eigen informatie GS &amp; warmtenet'!B57),0,'Eigen informatie GS &amp; warmtenet'!B57)</f>
        <v>0</v>
      </c>
      <c r="D5" s="30">
        <f>(SUM(HH_hh_gas_kWh,HH_rest_gas_kWh)/1000)*0.902</f>
        <v>69010.371144000004</v>
      </c>
      <c r="E5" s="17">
        <f>B46*B57</f>
        <v>6221.0758404960125</v>
      </c>
      <c r="F5" s="17">
        <f>B51*B62</f>
        <v>15868.650282719254</v>
      </c>
      <c r="G5" s="18"/>
      <c r="H5" s="17"/>
      <c r="I5" s="17"/>
      <c r="J5" s="17">
        <f>B50*B61+C50*C61</f>
        <v>95.959198374858545</v>
      </c>
      <c r="K5" s="17"/>
      <c r="L5" s="17"/>
      <c r="M5" s="17"/>
      <c r="N5" s="17">
        <f>B48*B59+C48*C59</f>
        <v>19722.715235026404</v>
      </c>
      <c r="O5" s="17">
        <f>B69*B70*B71</f>
        <v>414.28333333333336</v>
      </c>
      <c r="P5" s="17">
        <f>B77*B78*B79/1000-B77*B78*B79/1000/B80</f>
        <v>991.4666666666667</v>
      </c>
    </row>
    <row r="6" spans="1:16">
      <c r="A6" s="16" t="s">
        <v>624</v>
      </c>
      <c r="B6" s="788">
        <f>kWh_PV_kleiner_dan_10kW</f>
        <v>4681.9821678462085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44050.387167846209</v>
      </c>
      <c r="C8" s="21">
        <f>C5</f>
        <v>0</v>
      </c>
      <c r="D8" s="21">
        <f>D5</f>
        <v>69010.371144000004</v>
      </c>
      <c r="E8" s="21">
        <f>E5</f>
        <v>6221.0758404960125</v>
      </c>
      <c r="F8" s="21">
        <f>F5</f>
        <v>15868.650282719254</v>
      </c>
      <c r="G8" s="21"/>
      <c r="H8" s="21"/>
      <c r="I8" s="21"/>
      <c r="J8" s="21">
        <f>J5</f>
        <v>95.959198374858545</v>
      </c>
      <c r="K8" s="21"/>
      <c r="L8" s="21">
        <f>L5</f>
        <v>0</v>
      </c>
      <c r="M8" s="21">
        <f>M5</f>
        <v>0</v>
      </c>
      <c r="N8" s="21">
        <f>N5</f>
        <v>19722.715235026404</v>
      </c>
      <c r="O8" s="21">
        <f>O5</f>
        <v>414.28333333333336</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0.20619334312500828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9082.8965960891746</v>
      </c>
      <c r="C12" s="23">
        <f ca="1">C10*C8</f>
        <v>0</v>
      </c>
      <c r="D12" s="23">
        <f>D8*D10</f>
        <v>13940.094971088001</v>
      </c>
      <c r="E12" s="23">
        <f>E10*E8</f>
        <v>1412.1842157925948</v>
      </c>
      <c r="F12" s="23">
        <f>F10*F8</f>
        <v>4236.929625486041</v>
      </c>
      <c r="G12" s="23"/>
      <c r="H12" s="23"/>
      <c r="I12" s="23"/>
      <c r="J12" s="23">
        <f>J10*J8</f>
        <v>33.969556224699922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8666</v>
      </c>
      <c r="C28" s="36"/>
      <c r="D28" s="228"/>
    </row>
    <row r="29" spans="1:7" s="15" customFormat="1">
      <c r="A29" s="230" t="s">
        <v>699</v>
      </c>
      <c r="B29" s="37">
        <f>SUM(HH_hh_gas_aantal,HH_rest_gas_aantal)</f>
        <v>5249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5249</v>
      </c>
      <c r="C32" s="167">
        <f>IF(ISERROR(B32/SUM($B$32,$B$34,$B$35,$B$36,$B$38,$B$39)*100),0,B32/SUM($B$32,$B$34,$B$35,$B$36,$B$38,$B$39)*100)</f>
        <v>60.935686092407707</v>
      </c>
      <c r="D32" s="233"/>
      <c r="G32" s="15"/>
    </row>
    <row r="33" spans="1:7">
      <c r="A33" s="171" t="s">
        <v>72</v>
      </c>
      <c r="B33" s="34" t="s">
        <v>111</v>
      </c>
      <c r="C33" s="167"/>
      <c r="D33" s="233"/>
      <c r="G33" s="15"/>
    </row>
    <row r="34" spans="1:7">
      <c r="A34" s="171" t="s">
        <v>73</v>
      </c>
      <c r="B34" s="33">
        <f>IF((($B$28-$B$32-$B$39-$B$77-$B$38)*C20/100)&lt;0,0,($B$28-$B$32-$B$39-$B$77-$B$38)*C20/100)</f>
        <v>275.051140833989</v>
      </c>
      <c r="C34" s="167">
        <f>IF(ISERROR(B34/SUM($B$32,$B$34,$B$35,$B$36,$B$38,$B$39)*100),0,B34/SUM($B$32,$B$34,$B$35,$B$36,$B$38,$B$39)*100)</f>
        <v>3.1930710568143601</v>
      </c>
      <c r="D34" s="233"/>
      <c r="G34" s="15"/>
    </row>
    <row r="35" spans="1:7">
      <c r="A35" s="171" t="s">
        <v>74</v>
      </c>
      <c r="B35" s="33">
        <f>IF((($B$28-$B$32-$B$39-$B$77-$B$38)*C21/100)&lt;0,0,($B$28-$B$32-$B$39-$B$77-$B$38)*C21/100)</f>
        <v>2127.9150275373722</v>
      </c>
      <c r="C35" s="167">
        <f>IF(ISERROR(B35/SUM($B$32,$B$34,$B$35,$B$36,$B$38,$B$39)*100),0,B35/SUM($B$32,$B$34,$B$35,$B$36,$B$38,$B$39)*100)</f>
        <v>24.702983834889391</v>
      </c>
      <c r="D35" s="233"/>
      <c r="G35" s="15"/>
    </row>
    <row r="36" spans="1:7">
      <c r="A36" s="171" t="s">
        <v>75</v>
      </c>
      <c r="B36" s="33">
        <f>IF((($B$28-$B$32-$B$39-$B$77-$B$38)*C22/100)&lt;0,0,($B$28-$B$32-$B$39-$B$77-$B$38)*C22/100)</f>
        <v>307.03383162863889</v>
      </c>
      <c r="C36" s="167">
        <f>IF(ISERROR(B36/SUM($B$32,$B$34,$B$35,$B$36,$B$38,$B$39)*100),0,B36/SUM($B$32,$B$34,$B$35,$B$36,$B$38,$B$39)*100)</f>
        <v>3.5643583890020767</v>
      </c>
      <c r="D36" s="233"/>
      <c r="G36" s="15"/>
    </row>
    <row r="37" spans="1:7">
      <c r="A37" s="171" t="s">
        <v>76</v>
      </c>
      <c r="B37" s="34" t="s">
        <v>111</v>
      </c>
      <c r="C37" s="167"/>
      <c r="D37" s="173"/>
      <c r="G37" s="15"/>
    </row>
    <row r="38" spans="1:7">
      <c r="A38" s="171" t="s">
        <v>77</v>
      </c>
      <c r="B38" s="33">
        <f>IF((B24-(B29-B18)*0.1)&lt;0,0,B24-(B29-B18)*0.1)</f>
        <v>3.0999999999999943</v>
      </c>
      <c r="C38" s="167">
        <f>IF(ISERROR(B38/SUM($B$32,$B$34,$B$35,$B$36,$B$38,$B$39)*100),0,B38/SUM($B$32,$B$34,$B$35,$B$36,$B$38,$B$39)*100)</f>
        <v>3.5987926631065641E-2</v>
      </c>
      <c r="D38" s="234"/>
      <c r="G38" s="15"/>
    </row>
    <row r="39" spans="1:7">
      <c r="A39" s="171" t="s">
        <v>78</v>
      </c>
      <c r="B39" s="33">
        <f>IF((B25-(B29-B18))&lt;0,0,B25-(B29-B18)*0.9)</f>
        <v>651.90000000000009</v>
      </c>
      <c r="C39" s="167">
        <f>IF(ISERROR(B39/SUM($B$32,$B$34,$B$35,$B$36,$B$38,$B$39)*100),0,B39/SUM($B$32,$B$34,$B$35,$B$36,$B$38,$B$39)*100)</f>
        <v>7.5679127002554001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5249</v>
      </c>
      <c r="C44" s="34" t="s">
        <v>111</v>
      </c>
      <c r="D44" s="174"/>
    </row>
    <row r="45" spans="1:7">
      <c r="A45" s="171" t="s">
        <v>72</v>
      </c>
      <c r="B45" s="33" t="str">
        <f t="shared" si="0"/>
        <v>-</v>
      </c>
      <c r="C45" s="34" t="s">
        <v>111</v>
      </c>
      <c r="D45" s="174"/>
    </row>
    <row r="46" spans="1:7">
      <c r="A46" s="171" t="s">
        <v>73</v>
      </c>
      <c r="B46" s="33">
        <f t="shared" si="0"/>
        <v>275.051140833989</v>
      </c>
      <c r="C46" s="34" t="s">
        <v>111</v>
      </c>
      <c r="D46" s="174"/>
    </row>
    <row r="47" spans="1:7">
      <c r="A47" s="171" t="s">
        <v>74</v>
      </c>
      <c r="B47" s="33">
        <f t="shared" si="0"/>
        <v>2127.9150275373722</v>
      </c>
      <c r="C47" s="34" t="s">
        <v>111</v>
      </c>
      <c r="D47" s="174"/>
    </row>
    <row r="48" spans="1:7">
      <c r="A48" s="171" t="s">
        <v>75</v>
      </c>
      <c r="B48" s="33">
        <f t="shared" si="0"/>
        <v>307.03383162863889</v>
      </c>
      <c r="C48" s="33">
        <f>B48*10</f>
        <v>3070.3383162863888</v>
      </c>
      <c r="D48" s="234"/>
    </row>
    <row r="49" spans="1:6">
      <c r="A49" s="171" t="s">
        <v>76</v>
      </c>
      <c r="B49" s="33" t="str">
        <f t="shared" si="0"/>
        <v>-</v>
      </c>
      <c r="C49" s="34" t="s">
        <v>111</v>
      </c>
      <c r="D49" s="234"/>
    </row>
    <row r="50" spans="1:6">
      <c r="A50" s="171" t="s">
        <v>77</v>
      </c>
      <c r="B50" s="33">
        <f t="shared" si="0"/>
        <v>3.0999999999999943</v>
      </c>
      <c r="C50" s="33">
        <f>B50*2</f>
        <v>6.1999999999999886</v>
      </c>
      <c r="D50" s="234"/>
    </row>
    <row r="51" spans="1:6">
      <c r="A51" s="171" t="s">
        <v>78</v>
      </c>
      <c r="B51" s="33">
        <f t="shared" si="0"/>
        <v>651.90000000000009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26603.506000000001</v>
      </c>
      <c r="C5" s="17">
        <f>IF(ISERROR('Eigen informatie GS &amp; warmtenet'!B58),0,'Eigen informatie GS &amp; warmtenet'!B58)</f>
        <v>0</v>
      </c>
      <c r="D5" s="30">
        <f>SUM(D6:D12)</f>
        <v>35304.885242000004</v>
      </c>
      <c r="E5" s="17">
        <f>SUM(E6:E12)</f>
        <v>456.59719145518824</v>
      </c>
      <c r="F5" s="17">
        <f>SUM(F6:F12)</f>
        <v>6712.2667082709831</v>
      </c>
      <c r="G5" s="18"/>
      <c r="H5" s="17"/>
      <c r="I5" s="17"/>
      <c r="J5" s="17">
        <f>SUM(J6:J12)</f>
        <v>0</v>
      </c>
      <c r="K5" s="17"/>
      <c r="L5" s="17"/>
      <c r="M5" s="17"/>
      <c r="N5" s="17">
        <f>SUM(N6:N12)</f>
        <v>1354.3039020175556</v>
      </c>
      <c r="O5" s="17">
        <f>B38*B39*B40</f>
        <v>10.943333333333335</v>
      </c>
      <c r="P5" s="17">
        <f>B46*B47*B48/1000-B46*B47*B48/1000/B49</f>
        <v>38.133333333333333</v>
      </c>
      <c r="R5" s="32"/>
    </row>
    <row r="6" spans="1:18">
      <c r="A6" s="32" t="s">
        <v>54</v>
      </c>
      <c r="B6" s="37">
        <f>B26</f>
        <v>5887.9369999999999</v>
      </c>
      <c r="C6" s="33"/>
      <c r="D6" s="37">
        <f>IF(ISERROR(TER_kantoor_gas_kWh/1000),0,TER_kantoor_gas_kWh/1000)*0.902</f>
        <v>4804.7194799999997</v>
      </c>
      <c r="E6" s="33">
        <f>$C$26*'E Balans VL '!I12/100/3.6*1000000</f>
        <v>77.080348216686247</v>
      </c>
      <c r="F6" s="33">
        <f>$C$26*('E Balans VL '!L12+'E Balans VL '!N12)/100/3.6*1000000</f>
        <v>1501.3630913318511</v>
      </c>
      <c r="G6" s="34"/>
      <c r="H6" s="33"/>
      <c r="I6" s="33"/>
      <c r="J6" s="33">
        <f>$C$26*('E Balans VL '!D12+'E Balans VL '!E12)/100/3.6*1000000</f>
        <v>0</v>
      </c>
      <c r="K6" s="33"/>
      <c r="L6" s="33"/>
      <c r="M6" s="33"/>
      <c r="N6" s="33">
        <f>$C$26*'E Balans VL '!Y12/100/3.6*1000000</f>
        <v>5.9077643124730521</v>
      </c>
      <c r="O6" s="33"/>
      <c r="P6" s="33"/>
      <c r="R6" s="32"/>
    </row>
    <row r="7" spans="1:18">
      <c r="A7" s="32" t="s">
        <v>53</v>
      </c>
      <c r="B7" s="37">
        <f t="shared" ref="B7:B12" si="0">B27</f>
        <v>2504.3380000000002</v>
      </c>
      <c r="C7" s="33"/>
      <c r="D7" s="37">
        <f>IF(ISERROR(TER_horeca_gas_kWh/1000),0,TER_horeca_gas_kWh/1000)*0.902</f>
        <v>2383.4944099999998</v>
      </c>
      <c r="E7" s="33">
        <f>$C$27*'E Balans VL '!I9/100/3.6*1000000</f>
        <v>82.87835442296398</v>
      </c>
      <c r="F7" s="33">
        <f>$C$27*('E Balans VL '!L9+'E Balans VL '!N9)/100/3.6*1000000</f>
        <v>1076.8557422142212</v>
      </c>
      <c r="G7" s="34"/>
      <c r="H7" s="33"/>
      <c r="I7" s="33"/>
      <c r="J7" s="33">
        <f>$C$27*('E Balans VL '!D9+'E Balans VL '!E9)/100/3.6*1000000</f>
        <v>0</v>
      </c>
      <c r="K7" s="33"/>
      <c r="L7" s="33"/>
      <c r="M7" s="33"/>
      <c r="N7" s="33">
        <f>$C$27*'E Balans VL '!Y9/100/3.6*1000000</f>
        <v>0.60283052357870426</v>
      </c>
      <c r="O7" s="33"/>
      <c r="P7" s="33"/>
      <c r="R7" s="32"/>
    </row>
    <row r="8" spans="1:18">
      <c r="A8" s="6" t="s">
        <v>52</v>
      </c>
      <c r="B8" s="37">
        <f t="shared" si="0"/>
        <v>9203.8240000000005</v>
      </c>
      <c r="C8" s="33"/>
      <c r="D8" s="37">
        <f>IF(ISERROR(TER_handel_gas_kWh/1000),0,TER_handel_gas_kWh/1000)*0.902</f>
        <v>5569.8932960000002</v>
      </c>
      <c r="E8" s="33">
        <f>$C$28*'E Balans VL '!I13/100/3.6*1000000</f>
        <v>290.48674846446374</v>
      </c>
      <c r="F8" s="33">
        <f>$C$28*('E Balans VL '!L13+'E Balans VL '!N13)/100/3.6*1000000</f>
        <v>1805.0319556784871</v>
      </c>
      <c r="G8" s="34"/>
      <c r="H8" s="33"/>
      <c r="I8" s="33"/>
      <c r="J8" s="33">
        <f>$C$28*('E Balans VL '!D13+'E Balans VL '!E13)/100/3.6*1000000</f>
        <v>0</v>
      </c>
      <c r="K8" s="33"/>
      <c r="L8" s="33"/>
      <c r="M8" s="33"/>
      <c r="N8" s="33">
        <f>$C$28*'E Balans VL '!Y13/100/3.6*1000000</f>
        <v>10.923152187507222</v>
      </c>
      <c r="O8" s="33"/>
      <c r="P8" s="33"/>
      <c r="R8" s="32"/>
    </row>
    <row r="9" spans="1:18">
      <c r="A9" s="32" t="s">
        <v>51</v>
      </c>
      <c r="B9" s="37">
        <f t="shared" si="0"/>
        <v>5693.268</v>
      </c>
      <c r="C9" s="33"/>
      <c r="D9" s="37">
        <f>IF(ISERROR(TER_gezond_gas_kWh/1000),0,TER_gezond_gas_kWh/1000)*0.902</f>
        <v>7305.6362500000005</v>
      </c>
      <c r="E9" s="33">
        <f>$C$29*'E Balans VL '!I10/100/3.6*1000000</f>
        <v>0.7289048568598443</v>
      </c>
      <c r="F9" s="33">
        <f>$C$29*('E Balans VL '!L10+'E Balans VL '!N10)/100/3.6*1000000</f>
        <v>1186.1463511304407</v>
      </c>
      <c r="G9" s="34"/>
      <c r="H9" s="33"/>
      <c r="I9" s="33"/>
      <c r="J9" s="33">
        <f>$C$29*('E Balans VL '!D10+'E Balans VL '!E10)/100/3.6*1000000</f>
        <v>0</v>
      </c>
      <c r="K9" s="33"/>
      <c r="L9" s="33"/>
      <c r="M9" s="33"/>
      <c r="N9" s="33">
        <f>$C$29*'E Balans VL '!Y10/100/3.6*1000000</f>
        <v>66.870123652230319</v>
      </c>
      <c r="O9" s="33"/>
      <c r="P9" s="33"/>
      <c r="R9" s="32"/>
    </row>
    <row r="10" spans="1:18">
      <c r="A10" s="32" t="s">
        <v>50</v>
      </c>
      <c r="B10" s="37">
        <f t="shared" si="0"/>
        <v>1607.5029999999999</v>
      </c>
      <c r="C10" s="33"/>
      <c r="D10" s="37">
        <f>IF(ISERROR(TER_ander_gas_kWh/1000),0,TER_ander_gas_kWh/1000)*0.902</f>
        <v>5877.5528679999998</v>
      </c>
      <c r="E10" s="33">
        <f>$C$30*'E Balans VL '!I14/100/3.6*1000000</f>
        <v>2.4173064826119206</v>
      </c>
      <c r="F10" s="33">
        <f>$C$30*('E Balans VL '!L14+'E Balans VL '!N14)/100/3.6*1000000</f>
        <v>354.88484518863874</v>
      </c>
      <c r="G10" s="34"/>
      <c r="H10" s="33"/>
      <c r="I10" s="33"/>
      <c r="J10" s="33">
        <f>$C$30*('E Balans VL '!D14+'E Balans VL '!E14)/100/3.6*1000000</f>
        <v>0</v>
      </c>
      <c r="K10" s="33"/>
      <c r="L10" s="33"/>
      <c r="M10" s="33"/>
      <c r="N10" s="33">
        <f>$C$30*'E Balans VL '!Y14/100/3.6*1000000</f>
        <v>1266.8205448730748</v>
      </c>
      <c r="O10" s="33"/>
      <c r="P10" s="33"/>
      <c r="R10" s="32"/>
    </row>
    <row r="11" spans="1:18">
      <c r="A11" s="32" t="s">
        <v>55</v>
      </c>
      <c r="B11" s="37">
        <f t="shared" si="0"/>
        <v>1706.636</v>
      </c>
      <c r="C11" s="33"/>
      <c r="D11" s="37">
        <f>IF(ISERROR(TER_onderwijs_gas_kWh/1000),0,TER_onderwijs_gas_kWh/1000)*0.902</f>
        <v>9363.5889380000008</v>
      </c>
      <c r="E11" s="33">
        <f>$C$31*'E Balans VL '!I11/100/3.6*1000000</f>
        <v>3.0055290116024462</v>
      </c>
      <c r="F11" s="33">
        <f>$C$31*('E Balans VL '!L11+'E Balans VL '!N11)/100/3.6*1000000</f>
        <v>787.98472272734421</v>
      </c>
      <c r="G11" s="34"/>
      <c r="H11" s="33"/>
      <c r="I11" s="33"/>
      <c r="J11" s="33">
        <f>$C$31*('E Balans VL '!D11+'E Balans VL '!E11)/100/3.6*1000000</f>
        <v>0</v>
      </c>
      <c r="K11" s="33"/>
      <c r="L11" s="33"/>
      <c r="M11" s="33"/>
      <c r="N11" s="33">
        <f>$C$31*'E Balans VL '!Y11/100/3.6*1000000</f>
        <v>3.179486468691584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26603.506000000001</v>
      </c>
      <c r="C16" s="21">
        <f t="shared" ca="1" si="1"/>
        <v>0</v>
      </c>
      <c r="D16" s="21">
        <f t="shared" ca="1" si="1"/>
        <v>35304.885242000004</v>
      </c>
      <c r="E16" s="21">
        <f t="shared" si="1"/>
        <v>456.59719145518824</v>
      </c>
      <c r="F16" s="21">
        <f t="shared" ca="1" si="1"/>
        <v>6712.2667082709831</v>
      </c>
      <c r="G16" s="21">
        <f t="shared" si="1"/>
        <v>0</v>
      </c>
      <c r="H16" s="21">
        <f t="shared" si="1"/>
        <v>0</v>
      </c>
      <c r="I16" s="21">
        <f t="shared" si="1"/>
        <v>0</v>
      </c>
      <c r="J16" s="21">
        <f t="shared" si="1"/>
        <v>0</v>
      </c>
      <c r="K16" s="21">
        <f t="shared" si="1"/>
        <v>0</v>
      </c>
      <c r="L16" s="21">
        <f t="shared" ca="1" si="1"/>
        <v>0</v>
      </c>
      <c r="M16" s="21">
        <f t="shared" si="1"/>
        <v>0</v>
      </c>
      <c r="N16" s="21">
        <f t="shared" ca="1" si="1"/>
        <v>1354.3039020175556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0.20619334312500828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5485.4658409862168</v>
      </c>
      <c r="C20" s="23">
        <f t="shared" ref="C20:P20" ca="1" si="2">C16*C18</f>
        <v>0</v>
      </c>
      <c r="D20" s="23">
        <f t="shared" ca="1" si="2"/>
        <v>7131.5868188840013</v>
      </c>
      <c r="E20" s="23">
        <f t="shared" si="2"/>
        <v>103.64756246032773</v>
      </c>
      <c r="F20" s="23">
        <f t="shared" ca="1" si="2"/>
        <v>1792.1752111083526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5887.9369999999999</v>
      </c>
      <c r="C26" s="39">
        <f>IF(ISERROR(B26*3.6/1000000/'E Balans VL '!Z12*100),0,B26*3.6/1000000/'E Balans VL '!Z12*100)</f>
        <v>0.12612418470013964</v>
      </c>
      <c r="D26" s="237" t="s">
        <v>660</v>
      </c>
      <c r="F26" s="6"/>
    </row>
    <row r="27" spans="1:18">
      <c r="A27" s="231" t="s">
        <v>53</v>
      </c>
      <c r="B27" s="33">
        <f>IF(ISERROR(TER_horeca_ele_kWh/1000),0,TER_horeca_ele_kWh/1000)</f>
        <v>2504.3380000000002</v>
      </c>
      <c r="C27" s="39">
        <f>IF(ISERROR(B27*3.6/1000000/'E Balans VL '!Z9*100),0,B27*3.6/1000000/'E Balans VL '!Z9*100)</f>
        <v>0.2009644195099653</v>
      </c>
      <c r="D27" s="237" t="s">
        <v>660</v>
      </c>
      <c r="F27" s="6"/>
    </row>
    <row r="28" spans="1:18">
      <c r="A28" s="171" t="s">
        <v>52</v>
      </c>
      <c r="B28" s="33">
        <f>IF(ISERROR(TER_handel_ele_kWh/1000),0,TER_handel_ele_kWh/1000)</f>
        <v>9203.8240000000005</v>
      </c>
      <c r="C28" s="39">
        <f>IF(ISERROR(B28*3.6/1000000/'E Balans VL '!Z13*100),0,B28*3.6/1000000/'E Balans VL '!Z13*100)</f>
        <v>0.27146001697119909</v>
      </c>
      <c r="D28" s="237" t="s">
        <v>660</v>
      </c>
      <c r="F28" s="6"/>
    </row>
    <row r="29" spans="1:18">
      <c r="A29" s="231" t="s">
        <v>51</v>
      </c>
      <c r="B29" s="33">
        <f>IF(ISERROR(TER_gezond_ele_kWh/1000),0,TER_gezond_ele_kWh/1000)</f>
        <v>5693.268</v>
      </c>
      <c r="C29" s="39">
        <f>IF(ISERROR(B29*3.6/1000000/'E Balans VL '!Z10*100),0,B29*3.6/1000000/'E Balans VL '!Z10*100)</f>
        <v>0.6078883801608832</v>
      </c>
      <c r="D29" s="237" t="s">
        <v>660</v>
      </c>
      <c r="F29" s="6"/>
    </row>
    <row r="30" spans="1:18">
      <c r="A30" s="231" t="s">
        <v>50</v>
      </c>
      <c r="B30" s="33">
        <f>IF(ISERROR(TER_ander_ele_kWh/1000),0,TER_ander_ele_kWh/1000)</f>
        <v>1607.5029999999999</v>
      </c>
      <c r="C30" s="39">
        <f>IF(ISERROR(B30*3.6/1000000/'E Balans VL '!Z14*100),0,B30*3.6/1000000/'E Balans VL '!Z14*100)</f>
        <v>0.12142101399965938</v>
      </c>
      <c r="D30" s="237" t="s">
        <v>660</v>
      </c>
      <c r="F30" s="6"/>
    </row>
    <row r="31" spans="1:18">
      <c r="A31" s="231" t="s">
        <v>55</v>
      </c>
      <c r="B31" s="33">
        <f>IF(ISERROR(TER_onderwijs_ele_kWh/1000),0,TER_onderwijs_ele_kWh/1000)</f>
        <v>1706.636</v>
      </c>
      <c r="C31" s="39">
        <f>IF(ISERROR(B31*3.6/1000000/'E Balans VL '!Z11*100),0,B31*3.6/1000000/'E Balans VL '!Z11*100)</f>
        <v>0.34462678031100008</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14995.990999999998</v>
      </c>
      <c r="C5" s="17">
        <f>IF(ISERROR('Eigen informatie GS &amp; warmtenet'!B59),0,'Eigen informatie GS &amp; warmtenet'!B59)</f>
        <v>0</v>
      </c>
      <c r="D5" s="30">
        <f>SUM(D6:D15)</f>
        <v>11034.577312000001</v>
      </c>
      <c r="E5" s="17">
        <f>SUM(E6:E15)</f>
        <v>784.44739098301329</v>
      </c>
      <c r="F5" s="17">
        <f>SUM(F6:F15)</f>
        <v>4555.896214078758</v>
      </c>
      <c r="G5" s="18"/>
      <c r="H5" s="17"/>
      <c r="I5" s="17"/>
      <c r="J5" s="17">
        <f>SUM(J6:J15)</f>
        <v>14.510972532447036</v>
      </c>
      <c r="K5" s="17"/>
      <c r="L5" s="17"/>
      <c r="M5" s="17"/>
      <c r="N5" s="17">
        <f>SUM(N6:N15)</f>
        <v>5322.6260915990661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719.71299999999997</v>
      </c>
      <c r="C8" s="33"/>
      <c r="D8" s="37">
        <f>IF( ISERROR(IND_metaal_Gas_kWH/1000),0,IND_metaal_Gas_kWH/1000)*0.902</f>
        <v>299.70303000000001</v>
      </c>
      <c r="E8" s="33">
        <f>C30*'E Balans VL '!I18/100/3.6*1000000</f>
        <v>25.897451019418426</v>
      </c>
      <c r="F8" s="33">
        <f>C30*'E Balans VL '!L18/100/3.6*1000000+C30*'E Balans VL '!N18/100/3.6*1000000</f>
        <v>314.27533651467456</v>
      </c>
      <c r="G8" s="34"/>
      <c r="H8" s="33"/>
      <c r="I8" s="33"/>
      <c r="J8" s="40">
        <f>C30*'E Balans VL '!D18/100/3.6*1000000+C30*'E Balans VL '!E18/100/3.6*1000000</f>
        <v>0</v>
      </c>
      <c r="K8" s="33"/>
      <c r="L8" s="33"/>
      <c r="M8" s="33"/>
      <c r="N8" s="33">
        <f>C30*'E Balans VL '!Y18/100/3.6*1000000</f>
        <v>36.071526463191994</v>
      </c>
      <c r="O8" s="33"/>
      <c r="P8" s="33"/>
      <c r="R8" s="32"/>
    </row>
    <row r="9" spans="1:18">
      <c r="A9" s="6" t="s">
        <v>33</v>
      </c>
      <c r="B9" s="37">
        <f t="shared" si="0"/>
        <v>1769.1990000000001</v>
      </c>
      <c r="C9" s="33"/>
      <c r="D9" s="37">
        <f>IF( ISERROR(IND_andere_gas_kWh/1000),0,IND_andere_gas_kWh/1000)*0.902</f>
        <v>1356.5800380000001</v>
      </c>
      <c r="E9" s="33">
        <f>C31*'E Balans VL '!I19/100/3.6*1000000</f>
        <v>451.45955555144752</v>
      </c>
      <c r="F9" s="33">
        <f>C31*'E Balans VL '!L19/100/3.6*1000000+C31*'E Balans VL '!N19/100/3.6*1000000</f>
        <v>1523.1473608334136</v>
      </c>
      <c r="G9" s="34"/>
      <c r="H9" s="33"/>
      <c r="I9" s="33"/>
      <c r="J9" s="40">
        <f>C31*'E Balans VL '!D19/100/3.6*1000000+C31*'E Balans VL '!E19/100/3.6*1000000</f>
        <v>0</v>
      </c>
      <c r="K9" s="33"/>
      <c r="L9" s="33"/>
      <c r="M9" s="33"/>
      <c r="N9" s="33">
        <f>C31*'E Balans VL '!Y19/100/3.6*1000000</f>
        <v>553.28911603793642</v>
      </c>
      <c r="O9" s="33"/>
      <c r="P9" s="33"/>
      <c r="R9" s="32"/>
    </row>
    <row r="10" spans="1:18">
      <c r="A10" s="6" t="s">
        <v>41</v>
      </c>
      <c r="B10" s="37">
        <f t="shared" si="0"/>
        <v>11604.984</v>
      </c>
      <c r="C10" s="33"/>
      <c r="D10" s="37">
        <f>IF( ISERROR(IND_voed_gas_kWh/1000),0,IND_voed_gas_kWh/1000)*0.902</f>
        <v>6395.930464</v>
      </c>
      <c r="E10" s="33">
        <f>C32*'E Balans VL '!I20/100/3.6*1000000</f>
        <v>295.01462822887413</v>
      </c>
      <c r="F10" s="33">
        <f>C32*'E Balans VL '!L20/100/3.6*1000000+C32*'E Balans VL '!N20/100/3.6*1000000</f>
        <v>2626.0336733666391</v>
      </c>
      <c r="G10" s="34"/>
      <c r="H10" s="33"/>
      <c r="I10" s="33"/>
      <c r="J10" s="40">
        <f>C32*'E Balans VL '!D20/100/3.6*1000000+C32*'E Balans VL '!E20/100/3.6*1000000</f>
        <v>0</v>
      </c>
      <c r="K10" s="33"/>
      <c r="L10" s="33"/>
      <c r="M10" s="33"/>
      <c r="N10" s="33">
        <f>C32*'E Balans VL '!Y20/100/3.6*1000000</f>
        <v>4352.183565464331</v>
      </c>
      <c r="O10" s="33"/>
      <c r="P10" s="33"/>
      <c r="R10" s="32"/>
    </row>
    <row r="11" spans="1:18">
      <c r="A11" s="6" t="s">
        <v>40</v>
      </c>
      <c r="B11" s="37">
        <f t="shared" si="0"/>
        <v>78.247</v>
      </c>
      <c r="C11" s="33"/>
      <c r="D11" s="37">
        <f>IF( ISERROR(IND_textiel_gas_kWh/1000),0,IND_textiel_gas_kWh/1000)*0.902</f>
        <v>59.123393999999998</v>
      </c>
      <c r="E11" s="33">
        <f>C33*'E Balans VL '!I21/100/3.6*1000000</f>
        <v>0.2148090574062585</v>
      </c>
      <c r="F11" s="33">
        <f>C33*'E Balans VL '!L21/100/3.6*1000000+C33*'E Balans VL '!N21/100/3.6*1000000</f>
        <v>4.1483298427320801</v>
      </c>
      <c r="G11" s="34"/>
      <c r="H11" s="33"/>
      <c r="I11" s="33"/>
      <c r="J11" s="40">
        <f>C33*'E Balans VL '!D21/100/3.6*1000000+C33*'E Balans VL '!E21/100/3.6*1000000</f>
        <v>0</v>
      </c>
      <c r="K11" s="33"/>
      <c r="L11" s="33"/>
      <c r="M11" s="33"/>
      <c r="N11" s="33">
        <f>C33*'E Balans VL '!Y21/100/3.6*1000000</f>
        <v>0.15726352148250822</v>
      </c>
      <c r="O11" s="33"/>
      <c r="P11" s="33"/>
      <c r="R11" s="32"/>
    </row>
    <row r="12" spans="1:18">
      <c r="A12" s="6" t="s">
        <v>37</v>
      </c>
      <c r="B12" s="37">
        <f t="shared" si="0"/>
        <v>503.577</v>
      </c>
      <c r="C12" s="33"/>
      <c r="D12" s="37">
        <f>IF( ISERROR(IND_min_gas_kWh/1000),0,IND_min_gas_kWh/1000)*0.902</f>
        <v>132.83844199999999</v>
      </c>
      <c r="E12" s="33">
        <f>C34*'E Balans VL '!I22/100/3.6*1000000</f>
        <v>10.699749174135654</v>
      </c>
      <c r="F12" s="33">
        <f>C34*'E Balans VL '!L22/100/3.6*1000000+C34*'E Balans VL '!N22/100/3.6*1000000</f>
        <v>82.162879082854531</v>
      </c>
      <c r="G12" s="34"/>
      <c r="H12" s="33"/>
      <c r="I12" s="33"/>
      <c r="J12" s="40">
        <f>C34*'E Balans VL '!D22/100/3.6*1000000+C34*'E Balans VL '!E22/100/3.6*1000000</f>
        <v>0.58671419906344657</v>
      </c>
      <c r="K12" s="33"/>
      <c r="L12" s="33"/>
      <c r="M12" s="33"/>
      <c r="N12" s="33">
        <f>C34*'E Balans VL '!Y22/100/3.6*1000000</f>
        <v>0</v>
      </c>
      <c r="O12" s="33"/>
      <c r="P12" s="33"/>
      <c r="R12" s="32"/>
    </row>
    <row r="13" spans="1:18">
      <c r="A13" s="6" t="s">
        <v>39</v>
      </c>
      <c r="B13" s="37">
        <f t="shared" si="0"/>
        <v>207.99700000000001</v>
      </c>
      <c r="C13" s="33"/>
      <c r="D13" s="37">
        <f>IF( ISERROR(IND_papier_gas_kWh/1000),0,IND_papier_gas_kWh/1000)*0.902</f>
        <v>2776.2107780000001</v>
      </c>
      <c r="E13" s="33">
        <f>C35*'E Balans VL '!I23/100/3.6*1000000</f>
        <v>0.89203862297377079</v>
      </c>
      <c r="F13" s="33">
        <f>C35*'E Balans VL '!L23/100/3.6*1000000+C35*'E Balans VL '!N23/100/3.6*1000000</f>
        <v>5.2276101915902498</v>
      </c>
      <c r="G13" s="34"/>
      <c r="H13" s="33"/>
      <c r="I13" s="33"/>
      <c r="J13" s="40">
        <f>C35*'E Balans VL '!D23/100/3.6*1000000+C35*'E Balans VL '!E23/100/3.6*1000000</f>
        <v>13.924258333383589</v>
      </c>
      <c r="K13" s="33"/>
      <c r="L13" s="33"/>
      <c r="M13" s="33"/>
      <c r="N13" s="33">
        <f>C35*'E Balans VL '!Y23/100/3.6*1000000</f>
        <v>378.60400357375255</v>
      </c>
      <c r="O13" s="33"/>
      <c r="P13" s="33"/>
      <c r="R13" s="32"/>
    </row>
    <row r="14" spans="1:18">
      <c r="A14" s="6" t="s">
        <v>34</v>
      </c>
      <c r="B14" s="37">
        <f t="shared" si="0"/>
        <v>112.274</v>
      </c>
      <c r="C14" s="33"/>
      <c r="D14" s="37">
        <f>IF( ISERROR(IND_chemie_gas_kWh/1000),0,IND_chemie_gas_kWh/1000)*0.902</f>
        <v>0</v>
      </c>
      <c r="E14" s="33">
        <f>C36*'E Balans VL '!I24/100/3.6*1000000</f>
        <v>0.26915932875753396</v>
      </c>
      <c r="F14" s="33">
        <f>C36*'E Balans VL '!L24/100/3.6*1000000+C36*'E Balans VL '!N24/100/3.6*1000000</f>
        <v>0.90102424685360794</v>
      </c>
      <c r="G14" s="34"/>
      <c r="H14" s="33"/>
      <c r="I14" s="33"/>
      <c r="J14" s="40">
        <f>C36*'E Balans VL '!D24/100/3.6*1000000+C36*'E Balans VL '!E24/100/3.6*1000000</f>
        <v>0</v>
      </c>
      <c r="K14" s="33"/>
      <c r="L14" s="33"/>
      <c r="M14" s="33"/>
      <c r="N14" s="33">
        <f>C36*'E Balans VL '!Y24/100/3.6*1000000</f>
        <v>2.320616538371449</v>
      </c>
      <c r="O14" s="33"/>
      <c r="P14" s="33"/>
      <c r="R14" s="32"/>
    </row>
    <row r="15" spans="1:18">
      <c r="A15" s="6" t="s">
        <v>270</v>
      </c>
      <c r="B15" s="37">
        <f t="shared" si="0"/>
        <v>0</v>
      </c>
      <c r="C15" s="33"/>
      <c r="D15" s="37">
        <f>IF( ISERROR(IND_rest_gas_kWh/1000),0,IND_rest_gas_kWh/1000)*0.902</f>
        <v>14.191166000000001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14995.990999999998</v>
      </c>
      <c r="C18" s="21">
        <f>C5+C16</f>
        <v>0</v>
      </c>
      <c r="D18" s="21">
        <f>MAX((D5+D16),0)</f>
        <v>11034.577312000001</v>
      </c>
      <c r="E18" s="21">
        <f>MAX((E5+E16),0)</f>
        <v>784.44739098301329</v>
      </c>
      <c r="F18" s="21">
        <f>MAX((F5+F16),0)</f>
        <v>4555.896214078758</v>
      </c>
      <c r="G18" s="21"/>
      <c r="H18" s="21"/>
      <c r="I18" s="21"/>
      <c r="J18" s="21">
        <f>MAX((J5+J16),0)</f>
        <v>14.510972532447036</v>
      </c>
      <c r="K18" s="21"/>
      <c r="L18" s="21">
        <f>MAX((L5+L16),0)</f>
        <v>0</v>
      </c>
      <c r="M18" s="21"/>
      <c r="N18" s="21">
        <f>MAX((N5+N16),0)</f>
        <v>5322.6260915990661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0.20619334312500828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3092.0735177625356</v>
      </c>
      <c r="C22" s="23">
        <f ca="1">C18*C20</f>
        <v>0</v>
      </c>
      <c r="D22" s="23">
        <f>D18*D20</f>
        <v>2228.9846170240003</v>
      </c>
      <c r="E22" s="23">
        <f>E18*E20</f>
        <v>178.06955775314401</v>
      </c>
      <c r="F22" s="23">
        <f>F18*F20</f>
        <v>1216.4242891590284</v>
      </c>
      <c r="G22" s="23"/>
      <c r="H22" s="23"/>
      <c r="I22" s="23"/>
      <c r="J22" s="23">
        <f>J18*J20</f>
        <v>5.136884276486251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719.71299999999997</v>
      </c>
      <c r="C30" s="39">
        <f>IF(ISERROR(B30*3.6/1000000/'E Balans VL '!Z18*100),0,B30*3.6/1000000/'E Balans VL '!Z18*100)</f>
        <v>0.15249175445995233</v>
      </c>
      <c r="D30" s="237" t="s">
        <v>660</v>
      </c>
    </row>
    <row r="31" spans="1:18">
      <c r="A31" s="6" t="s">
        <v>33</v>
      </c>
      <c r="B31" s="37">
        <f>IF( ISERROR(IND_ander_ele_kWh/1000),0,IND_ander_ele_kWh/1000)</f>
        <v>1769.1990000000001</v>
      </c>
      <c r="C31" s="39">
        <f>IF(ISERROR(B31*3.6/1000000/'E Balans VL '!Z19*100),0,B31*3.6/1000000/'E Balans VL '!Z19*100)</f>
        <v>7.4469603168488316E-2</v>
      </c>
      <c r="D31" s="237" t="s">
        <v>660</v>
      </c>
    </row>
    <row r="32" spans="1:18">
      <c r="A32" s="171" t="s">
        <v>41</v>
      </c>
      <c r="B32" s="37">
        <f>IF( ISERROR(IND_voed_ele_kWh/1000),0,IND_voed_ele_kWh/1000)</f>
        <v>11604.984</v>
      </c>
      <c r="C32" s="39">
        <f>IF(ISERROR(B32*3.6/1000000/'E Balans VL '!Z20*100),0,B32*3.6/1000000/'E Balans VL '!Z20*100)</f>
        <v>1.938743878563489</v>
      </c>
      <c r="D32" s="237" t="s">
        <v>660</v>
      </c>
    </row>
    <row r="33" spans="1:5">
      <c r="A33" s="171" t="s">
        <v>40</v>
      </c>
      <c r="B33" s="37">
        <f>IF( ISERROR(IND_textiel_ele_kWh/1000),0,IND_textiel_ele_kWh/1000)</f>
        <v>78.247</v>
      </c>
      <c r="C33" s="39">
        <f>IF(ISERROR(B33*3.6/1000000/'E Balans VL '!Z21*100),0,B33*3.6/1000000/'E Balans VL '!Z21*100)</f>
        <v>4.5682940154686486E-3</v>
      </c>
      <c r="D33" s="237" t="s">
        <v>660</v>
      </c>
    </row>
    <row r="34" spans="1:5">
      <c r="A34" s="171" t="s">
        <v>37</v>
      </c>
      <c r="B34" s="37">
        <f>IF( ISERROR(IND_min_ele_kWh/1000),0,IND_min_ele_kWh/1000)</f>
        <v>503.577</v>
      </c>
      <c r="C34" s="39">
        <f>IF(ISERROR(B34*3.6/1000000/'E Balans VL '!Z22*100),0,B34*3.6/1000000/'E Balans VL '!Z22*100)</f>
        <v>6.3831100532740048E-2</v>
      </c>
      <c r="D34" s="237" t="s">
        <v>660</v>
      </c>
    </row>
    <row r="35" spans="1:5">
      <c r="A35" s="171" t="s">
        <v>39</v>
      </c>
      <c r="B35" s="37">
        <f>IF( ISERROR(IND_papier_ele_kWh/1000),0,IND_papier_ele_kWh/1000)</f>
        <v>207.99700000000001</v>
      </c>
      <c r="C35" s="39">
        <f>IF(ISERROR(B35*3.6/1000000/'E Balans VL '!Z22*100),0,B35*3.6/1000000/'E Balans VL '!Z22*100)</f>
        <v>2.6364741474508034E-2</v>
      </c>
      <c r="D35" s="237" t="s">
        <v>660</v>
      </c>
    </row>
    <row r="36" spans="1:5">
      <c r="A36" s="171" t="s">
        <v>34</v>
      </c>
      <c r="B36" s="37">
        <f>IF( ISERROR(IND_chemie_ele_kWh/1000),0,IND_chemie_ele_kWh/1000)</f>
        <v>112.274</v>
      </c>
      <c r="C36" s="39">
        <f>IF(ISERROR(B36*3.6/1000000/'E Balans VL '!Z24*100),0,B36*3.6/1000000/'E Balans VL '!Z24*100)</f>
        <v>3.6466631405803057E-3</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3411.2669999999998</v>
      </c>
      <c r="C5" s="17">
        <f>'Eigen informatie GS &amp; warmtenet'!B60</f>
        <v>0</v>
      </c>
      <c r="D5" s="30">
        <f>IF(ISERROR(SUM(LB_lb_gas_kWh,LB_rest_gas_kWh)/1000),0,SUM(LB_lb_gas_kWh,LB_rest_gas_kWh)/1000)*0.902</f>
        <v>369.24181799999997</v>
      </c>
      <c r="E5" s="17">
        <f>B17*'E Balans VL '!I25/3.6*1000000/100</f>
        <v>87.963478179013308</v>
      </c>
      <c r="F5" s="17">
        <f>B17*('E Balans VL '!L25/3.6*1000000+'E Balans VL '!N25/3.6*1000000)/100</f>
        <v>12468.830529242294</v>
      </c>
      <c r="G5" s="18"/>
      <c r="H5" s="17"/>
      <c r="I5" s="17"/>
      <c r="J5" s="17">
        <f>('E Balans VL '!D25+'E Balans VL '!E25)/3.6*1000000*landbouw!B17/100</f>
        <v>491.09695889068297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3411.2669999999998</v>
      </c>
      <c r="C8" s="21">
        <f>C5+C6</f>
        <v>0</v>
      </c>
      <c r="D8" s="21">
        <f>MAX((D5+D6),0)</f>
        <v>369.24181799999997</v>
      </c>
      <c r="E8" s="21">
        <f>MAX((E5+E6),0)</f>
        <v>87.963478179013308</v>
      </c>
      <c r="F8" s="21">
        <f>MAX((F5+F6),0)</f>
        <v>12468.830529242294</v>
      </c>
      <c r="G8" s="21"/>
      <c r="H8" s="21"/>
      <c r="I8" s="21"/>
      <c r="J8" s="21">
        <f>MAX((J5+J6),0)</f>
        <v>491.09695889068297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0.20619334312500828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703.38054702201759</v>
      </c>
      <c r="C12" s="23">
        <f ca="1">C8*C10</f>
        <v>0</v>
      </c>
      <c r="D12" s="23">
        <f>D8*D10</f>
        <v>74.586847235999997</v>
      </c>
      <c r="E12" s="23">
        <f>E8*E10</f>
        <v>19.967709546636023</v>
      </c>
      <c r="F12" s="23">
        <f>F8*F10</f>
        <v>3329.1777513076927</v>
      </c>
      <c r="G12" s="23"/>
      <c r="H12" s="23"/>
      <c r="I12" s="23"/>
      <c r="J12" s="23">
        <f>J8*J10</f>
        <v>173.84832344730177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0.48101124272594703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652.2375004277485</v>
      </c>
      <c r="C26" s="247">
        <f>B26*'GWP N2O_CH4'!B5</f>
        <v>13696.987508982718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525.52646422715236</v>
      </c>
      <c r="C27" s="247">
        <f>B27*'GWP N2O_CH4'!B5</f>
        <v>11036.055748770199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9.5359802224013688</v>
      </c>
      <c r="C28" s="247">
        <f>B28*'GWP N2O_CH4'!B4</f>
        <v>2956.1538689444242</v>
      </c>
      <c r="D28" s="50"/>
    </row>
    <row r="29" spans="1:4">
      <c r="A29" s="41" t="s">
        <v>277</v>
      </c>
      <c r="B29" s="247">
        <f>B34*'ha_N2O bodem landbouw'!B4</f>
        <v>18.272264035802451</v>
      </c>
      <c r="C29" s="247">
        <f>B29*'GWP N2O_CH4'!B4</f>
        <v>5664.4018510987598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4.1122523517673889E-3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8.1541748854146225E-5</v>
      </c>
      <c r="C5" s="463" t="s">
        <v>211</v>
      </c>
      <c r="D5" s="448">
        <f>SUM(D6:D11)</f>
        <v>1.9592060464368851E-4</v>
      </c>
      <c r="E5" s="448">
        <f>SUM(E6:E11)</f>
        <v>7.7966759083290653E-4</v>
      </c>
      <c r="F5" s="461" t="s">
        <v>211</v>
      </c>
      <c r="G5" s="448">
        <f>SUM(G6:G11)</f>
        <v>0.29288505930765207</v>
      </c>
      <c r="H5" s="448">
        <f>SUM(H6:H11)</f>
        <v>5.2825862706352332E-2</v>
      </c>
      <c r="I5" s="463" t="s">
        <v>211</v>
      </c>
      <c r="J5" s="463" t="s">
        <v>211</v>
      </c>
      <c r="K5" s="463" t="s">
        <v>211</v>
      </c>
      <c r="L5" s="463" t="s">
        <v>211</v>
      </c>
      <c r="M5" s="448">
        <f>SUM(M6:M11)</f>
        <v>1.0809940316169553E-2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4.5079648416552568E-5</v>
      </c>
      <c r="C6" s="449"/>
      <c r="D6" s="892">
        <f>vkm_2011_GW_PW*SUMIFS(TableVerdeelsleutelVkm[CNG],TableVerdeelsleutelVkm[Voertuigtype],"Lichte voertuigen")*SUMIFS(TableECFTransport[EnergieConsumptieFactor (PJ per km)],TableECFTransport[Index],CONCATENATE($A6,"_CNG_CNG"))</f>
        <v>8.9574051042904949E-5</v>
      </c>
      <c r="E6" s="892">
        <f>vkm_2011_GW_PW*SUMIFS(TableVerdeelsleutelVkm[LPG],TableVerdeelsleutelVkm[Voertuigtype],"Lichte voertuigen")*SUMIFS(TableECFTransport[EnergieConsumptieFactor (PJ per km)],TableECFTransport[Index],CONCATENATE($A6,"_LPG_LPG"))</f>
        <v>3.5250600074402901E-4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8.3813831790753759E-2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2.4250390393064175E-2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3.3673809512095431E-3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7.6222171593926316E-2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2.4623017141157781E-5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2.4016440012041753E-3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2.1208578817230444E-5</v>
      </c>
      <c r="C8" s="449"/>
      <c r="D8" s="451">
        <f>vkm_2011_NGW_PW*SUMIFS(TableVerdeelsleutelVkm[CNG],TableVerdeelsleutelVkm[Voertuigtype],"Lichte voertuigen")*SUMIFS(TableECFTransport[EnergieConsumptieFactor (PJ per km)],TableECFTransport[Index],CONCATENATE($A8,"_CNG_CNG"))</f>
        <v>7.4617786061930127E-5</v>
      </c>
      <c r="E8" s="451">
        <f>vkm_2011_NGW_PW*SUMIFS(TableVerdeelsleutelVkm[LPG],TableVerdeelsleutelVkm[Voertuigtype],"Lichte voertuigen")*SUMIFS(TableECFTransport[EnergieConsumptieFactor (PJ per km)],TableECFTransport[Index],CONCATENATE($A8,"_LPG_LPG"))</f>
        <v>2.7157227916580618E-4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6.029668014951943E-2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1.9588261494203014E-2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2.4867870614618216E-3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1.6599105953405465E-2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5.0711676143334992E-6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5.2300370109030242E-4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1.5253521620363208E-5</v>
      </c>
      <c r="C10" s="449"/>
      <c r="D10" s="451">
        <f>vkm_2011_SW_PW*SUMIFS(TableVerdeelsleutelVkm[CNG],TableVerdeelsleutelVkm[Voertuigtype],"Lichte voertuigen")*SUMIFS(TableECFTransport[EnergieConsumptieFactor (PJ per km)],TableECFTransport[Index],CONCATENATE($A10,"_CNG_CNG"))</f>
        <v>3.1728767538853436E-5</v>
      </c>
      <c r="E10" s="451">
        <f>vkm_2011_SW_PW*SUMIFS(TableVerdeelsleutelVkm[LPG],TableVerdeelsleutelVkm[Voertuigtype],"Lichte voertuigen")*SUMIFS(TableECFTransport[EnergieConsumptieFactor (PJ per km)],TableECFTransport[Index],CONCATENATE($A10,"_LPG_LPG"))</f>
        <v>1.5558931092307128E-4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3.3138736808688077E-2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8.9495758424203205E-3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1.3122564561551958E-3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2.2814533011359033E-2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7.9407919093258498E-6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7.1886814504851151E-4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22.650485792818394</v>
      </c>
      <c r="C14" s="21"/>
      <c r="D14" s="21">
        <f t="shared" ref="D14:M14" si="0">((D5)*10^9/3600)+D12</f>
        <v>54.422390178802367</v>
      </c>
      <c r="E14" s="21">
        <f t="shared" si="0"/>
        <v>216.57433078691849</v>
      </c>
      <c r="F14" s="21"/>
      <c r="G14" s="21">
        <f t="shared" si="0"/>
        <v>81356.960918792232</v>
      </c>
      <c r="H14" s="21">
        <f t="shared" si="0"/>
        <v>14673.850751764536</v>
      </c>
      <c r="I14" s="21"/>
      <c r="J14" s="21"/>
      <c r="K14" s="21"/>
      <c r="L14" s="21"/>
      <c r="M14" s="21">
        <f t="shared" si="0"/>
        <v>3002.7611989359866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0.20619334312500828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4.6703793890267287</v>
      </c>
      <c r="C18" s="23"/>
      <c r="D18" s="23">
        <f t="shared" ref="D18:M18" si="1">D14*D16</f>
        <v>10.993322816118079</v>
      </c>
      <c r="E18" s="23">
        <f t="shared" si="1"/>
        <v>49.162373088630503</v>
      </c>
      <c r="F18" s="23"/>
      <c r="G18" s="23">
        <f t="shared" si="1"/>
        <v>21722.308565317526</v>
      </c>
      <c r="H18" s="23">
        <f t="shared" si="1"/>
        <v>3653.7888371893696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4.1257777881009141E-3</v>
      </c>
      <c r="H50" s="321">
        <f t="shared" si="2"/>
        <v>0</v>
      </c>
      <c r="I50" s="321">
        <f t="shared" si="2"/>
        <v>0</v>
      </c>
      <c r="J50" s="321">
        <f t="shared" si="2"/>
        <v>0</v>
      </c>
      <c r="K50" s="321">
        <f t="shared" si="2"/>
        <v>0</v>
      </c>
      <c r="L50" s="321">
        <f t="shared" si="2"/>
        <v>0</v>
      </c>
      <c r="M50" s="321">
        <f t="shared" si="2"/>
        <v>1.279723968707232E-4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4.1257777881009141E-3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1.279723968707232E-4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1146.0493855835873</v>
      </c>
      <c r="H54" s="21">
        <f t="shared" si="3"/>
        <v>0</v>
      </c>
      <c r="I54" s="21">
        <f t="shared" si="3"/>
        <v>0</v>
      </c>
      <c r="J54" s="21">
        <f t="shared" si="3"/>
        <v>0</v>
      </c>
      <c r="K54" s="21">
        <f t="shared" si="3"/>
        <v>0</v>
      </c>
      <c r="L54" s="21">
        <f t="shared" si="3"/>
        <v>0</v>
      </c>
      <c r="M54" s="21">
        <f t="shared" si="3"/>
        <v>35.547888019645335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0.20619334312500828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305.99518595081781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27896.108</v>
      </c>
      <c r="D10" s="1012">
        <f ca="1">tertiair!C16</f>
        <v>0</v>
      </c>
      <c r="E10" s="1012">
        <f ca="1">tertiair!D16</f>
        <v>35304.885242000004</v>
      </c>
      <c r="F10" s="1012">
        <f>tertiair!E16</f>
        <v>456.59719145518824</v>
      </c>
      <c r="G10" s="1012">
        <f ca="1">tertiair!F16</f>
        <v>6712.2667082709831</v>
      </c>
      <c r="H10" s="1012">
        <f>tertiair!G16</f>
        <v>0</v>
      </c>
      <c r="I10" s="1012">
        <f>tertiair!H16</f>
        <v>0</v>
      </c>
      <c r="J10" s="1012">
        <f>tertiair!I16</f>
        <v>0</v>
      </c>
      <c r="K10" s="1012">
        <f>tertiair!J16</f>
        <v>0</v>
      </c>
      <c r="L10" s="1012">
        <f>tertiair!K16</f>
        <v>0</v>
      </c>
      <c r="M10" s="1012">
        <f ca="1">tertiair!L16</f>
        <v>0</v>
      </c>
      <c r="N10" s="1012">
        <f>tertiair!M16</f>
        <v>0</v>
      </c>
      <c r="O10" s="1012">
        <f ca="1">tertiair!N16</f>
        <v>1354.3039020175556</v>
      </c>
      <c r="P10" s="1012">
        <f>tertiair!O16</f>
        <v>10.943333333333335</v>
      </c>
      <c r="Q10" s="1013">
        <f>tertiair!P16</f>
        <v>38.133333333333333</v>
      </c>
      <c r="R10" s="700">
        <f ca="1">SUM(C10:Q10)</f>
        <v>71773.23771041038</v>
      </c>
      <c r="S10" s="67"/>
    </row>
    <row r="11" spans="1:19" s="473" customFormat="1">
      <c r="A11" s="809" t="s">
        <v>225</v>
      </c>
      <c r="B11" s="814"/>
      <c r="C11" s="1012">
        <f>huishoudens!B8</f>
        <v>44050.387167846209</v>
      </c>
      <c r="D11" s="1012">
        <f>huishoudens!C8</f>
        <v>0</v>
      </c>
      <c r="E11" s="1012">
        <f>huishoudens!D8</f>
        <v>69010.371144000004</v>
      </c>
      <c r="F11" s="1012">
        <f>huishoudens!E8</f>
        <v>6221.0758404960125</v>
      </c>
      <c r="G11" s="1012">
        <f>huishoudens!F8</f>
        <v>15868.650282719254</v>
      </c>
      <c r="H11" s="1012">
        <f>huishoudens!G8</f>
        <v>0</v>
      </c>
      <c r="I11" s="1012">
        <f>huishoudens!H8</f>
        <v>0</v>
      </c>
      <c r="J11" s="1012">
        <f>huishoudens!I8</f>
        <v>0</v>
      </c>
      <c r="K11" s="1012">
        <f>huishoudens!J8</f>
        <v>95.959198374858545</v>
      </c>
      <c r="L11" s="1012">
        <f>huishoudens!K8</f>
        <v>0</v>
      </c>
      <c r="M11" s="1012">
        <f>huishoudens!L8</f>
        <v>0</v>
      </c>
      <c r="N11" s="1012">
        <f>huishoudens!M8</f>
        <v>0</v>
      </c>
      <c r="O11" s="1012">
        <f>huishoudens!N8</f>
        <v>19722.715235026404</v>
      </c>
      <c r="P11" s="1012">
        <f>huishoudens!O8</f>
        <v>414.28333333333336</v>
      </c>
      <c r="Q11" s="1013">
        <f>huishoudens!P8</f>
        <v>991.4666666666667</v>
      </c>
      <c r="R11" s="700">
        <f>SUM(C11:Q11)</f>
        <v>156374.90886846272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14995.990999999998</v>
      </c>
      <c r="D13" s="1012">
        <f>industrie!C18</f>
        <v>0</v>
      </c>
      <c r="E13" s="1012">
        <f>industrie!D18</f>
        <v>11034.577312000001</v>
      </c>
      <c r="F13" s="1012">
        <f>industrie!E18</f>
        <v>784.44739098301329</v>
      </c>
      <c r="G13" s="1012">
        <f>industrie!F18</f>
        <v>4555.896214078758</v>
      </c>
      <c r="H13" s="1012">
        <f>industrie!G18</f>
        <v>0</v>
      </c>
      <c r="I13" s="1012">
        <f>industrie!H18</f>
        <v>0</v>
      </c>
      <c r="J13" s="1012">
        <f>industrie!I18</f>
        <v>0</v>
      </c>
      <c r="K13" s="1012">
        <f>industrie!J18</f>
        <v>14.510972532447036</v>
      </c>
      <c r="L13" s="1012">
        <f>industrie!K18</f>
        <v>0</v>
      </c>
      <c r="M13" s="1012">
        <f>industrie!L18</f>
        <v>0</v>
      </c>
      <c r="N13" s="1012">
        <f>industrie!M18</f>
        <v>0</v>
      </c>
      <c r="O13" s="1012">
        <f>industrie!N18</f>
        <v>5322.6260915990661</v>
      </c>
      <c r="P13" s="1012">
        <f>industrie!O18</f>
        <v>0</v>
      </c>
      <c r="Q13" s="1013">
        <f>industrie!P18</f>
        <v>0</v>
      </c>
      <c r="R13" s="700">
        <f>SUM(C13:Q13)</f>
        <v>36708.048981193286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86942.486167846204</v>
      </c>
      <c r="D16" s="732">
        <f t="shared" ref="D16:R16" ca="1" si="0">SUM(D9:D15)</f>
        <v>0</v>
      </c>
      <c r="E16" s="732">
        <f t="shared" ca="1" si="0"/>
        <v>115349.833698</v>
      </c>
      <c r="F16" s="732">
        <f t="shared" si="0"/>
        <v>7462.1204229342138</v>
      </c>
      <c r="G16" s="732">
        <f t="shared" ca="1" si="0"/>
        <v>27136.813205068996</v>
      </c>
      <c r="H16" s="732">
        <f t="shared" si="0"/>
        <v>0</v>
      </c>
      <c r="I16" s="732">
        <f t="shared" si="0"/>
        <v>0</v>
      </c>
      <c r="J16" s="732">
        <f t="shared" si="0"/>
        <v>0</v>
      </c>
      <c r="K16" s="732">
        <f t="shared" si="0"/>
        <v>110.47017090730559</v>
      </c>
      <c r="L16" s="732">
        <f t="shared" si="0"/>
        <v>0</v>
      </c>
      <c r="M16" s="732">
        <f t="shared" ca="1" si="0"/>
        <v>0</v>
      </c>
      <c r="N16" s="732">
        <f t="shared" si="0"/>
        <v>0</v>
      </c>
      <c r="O16" s="732">
        <f t="shared" ca="1" si="0"/>
        <v>26399.645228643029</v>
      </c>
      <c r="P16" s="732">
        <f t="shared" si="0"/>
        <v>425.22666666666669</v>
      </c>
      <c r="Q16" s="732">
        <f t="shared" si="0"/>
        <v>1029.6000000000001</v>
      </c>
      <c r="R16" s="732">
        <f t="shared" ca="1" si="0"/>
        <v>264856.19556006638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1146.0493855835873</v>
      </c>
      <c r="I19" s="1012">
        <f>transport!H54</f>
        <v>0</v>
      </c>
      <c r="J19" s="1012">
        <f>transport!I54</f>
        <v>0</v>
      </c>
      <c r="K19" s="1012">
        <f>transport!J54</f>
        <v>0</v>
      </c>
      <c r="L19" s="1012">
        <f>transport!K54</f>
        <v>0</v>
      </c>
      <c r="M19" s="1012">
        <f>transport!L54</f>
        <v>0</v>
      </c>
      <c r="N19" s="1012">
        <f>transport!M54</f>
        <v>35.547888019645335</v>
      </c>
      <c r="O19" s="1012">
        <f>transport!N54</f>
        <v>0</v>
      </c>
      <c r="P19" s="1012">
        <f>transport!O54</f>
        <v>0</v>
      </c>
      <c r="Q19" s="1013">
        <f>transport!P54</f>
        <v>0</v>
      </c>
      <c r="R19" s="700">
        <f>SUM(C19:Q19)</f>
        <v>1181.5972736032327</v>
      </c>
      <c r="S19" s="67"/>
    </row>
    <row r="20" spans="1:19" s="473" customFormat="1">
      <c r="A20" s="809" t="s">
        <v>307</v>
      </c>
      <c r="B20" s="814"/>
      <c r="C20" s="1012">
        <f>transport!B14</f>
        <v>22.650485792818394</v>
      </c>
      <c r="D20" s="1012">
        <f>transport!C14</f>
        <v>0</v>
      </c>
      <c r="E20" s="1012">
        <f>transport!D14</f>
        <v>54.422390178802367</v>
      </c>
      <c r="F20" s="1012">
        <f>transport!E14</f>
        <v>216.57433078691849</v>
      </c>
      <c r="G20" s="1012">
        <f>transport!F14</f>
        <v>0</v>
      </c>
      <c r="H20" s="1012">
        <f>transport!G14</f>
        <v>81356.960918792232</v>
      </c>
      <c r="I20" s="1012">
        <f>transport!H14</f>
        <v>14673.850751764536</v>
      </c>
      <c r="J20" s="1012">
        <f>transport!I14</f>
        <v>0</v>
      </c>
      <c r="K20" s="1012">
        <f>transport!J14</f>
        <v>0</v>
      </c>
      <c r="L20" s="1012">
        <f>transport!K14</f>
        <v>0</v>
      </c>
      <c r="M20" s="1012">
        <f>transport!L14</f>
        <v>0</v>
      </c>
      <c r="N20" s="1012">
        <f>transport!M14</f>
        <v>3002.7611989359866</v>
      </c>
      <c r="O20" s="1012">
        <f>transport!N14</f>
        <v>0</v>
      </c>
      <c r="P20" s="1012">
        <f>transport!O14</f>
        <v>0</v>
      </c>
      <c r="Q20" s="1013">
        <f>transport!P14</f>
        <v>0</v>
      </c>
      <c r="R20" s="700">
        <f>SUM(C20:Q20)</f>
        <v>99327.220076251295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22.650485792818394</v>
      </c>
      <c r="D22" s="812">
        <f t="shared" ref="D22:R22" si="1">SUM(D18:D21)</f>
        <v>0</v>
      </c>
      <c r="E22" s="812">
        <f t="shared" si="1"/>
        <v>54.422390178802367</v>
      </c>
      <c r="F22" s="812">
        <f t="shared" si="1"/>
        <v>216.57433078691849</v>
      </c>
      <c r="G22" s="812">
        <f t="shared" si="1"/>
        <v>0</v>
      </c>
      <c r="H22" s="812">
        <f t="shared" si="1"/>
        <v>82503.010304375814</v>
      </c>
      <c r="I22" s="812">
        <f t="shared" si="1"/>
        <v>14673.850751764536</v>
      </c>
      <c r="J22" s="812">
        <f t="shared" si="1"/>
        <v>0</v>
      </c>
      <c r="K22" s="812">
        <f t="shared" si="1"/>
        <v>0</v>
      </c>
      <c r="L22" s="812">
        <f t="shared" si="1"/>
        <v>0</v>
      </c>
      <c r="M22" s="812">
        <f t="shared" si="1"/>
        <v>0</v>
      </c>
      <c r="N22" s="812">
        <f t="shared" si="1"/>
        <v>3038.3090869556318</v>
      </c>
      <c r="O22" s="812">
        <f t="shared" si="1"/>
        <v>0</v>
      </c>
      <c r="P22" s="812">
        <f t="shared" si="1"/>
        <v>0</v>
      </c>
      <c r="Q22" s="812">
        <f t="shared" si="1"/>
        <v>0</v>
      </c>
      <c r="R22" s="812">
        <f t="shared" si="1"/>
        <v>100508.81734985452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3411.2669999999998</v>
      </c>
      <c r="D24" s="1012">
        <f>+landbouw!C8</f>
        <v>0</v>
      </c>
      <c r="E24" s="1012">
        <f>+landbouw!D8</f>
        <v>369.24181799999997</v>
      </c>
      <c r="F24" s="1012">
        <f>+landbouw!E8</f>
        <v>87.963478179013308</v>
      </c>
      <c r="G24" s="1012">
        <f>+landbouw!F8</f>
        <v>12468.830529242294</v>
      </c>
      <c r="H24" s="1012">
        <f>+landbouw!G8</f>
        <v>0</v>
      </c>
      <c r="I24" s="1012">
        <f>+landbouw!H8</f>
        <v>0</v>
      </c>
      <c r="J24" s="1012">
        <f>+landbouw!I8</f>
        <v>0</v>
      </c>
      <c r="K24" s="1012">
        <f>+landbouw!J8</f>
        <v>491.09695889068297</v>
      </c>
      <c r="L24" s="1012">
        <f>+landbouw!K8</f>
        <v>0</v>
      </c>
      <c r="M24" s="1012">
        <f>+landbouw!L8</f>
        <v>0</v>
      </c>
      <c r="N24" s="1012">
        <f>+landbouw!M8</f>
        <v>0</v>
      </c>
      <c r="O24" s="1012">
        <f>+landbouw!N8</f>
        <v>0</v>
      </c>
      <c r="P24" s="1012">
        <f>+landbouw!O8</f>
        <v>0</v>
      </c>
      <c r="Q24" s="1013">
        <f>+landbouw!P8</f>
        <v>0</v>
      </c>
      <c r="R24" s="700">
        <f>SUM(C24:Q24)</f>
        <v>16828.399784311991</v>
      </c>
      <c r="S24" s="67"/>
    </row>
    <row r="25" spans="1:19" s="473" customFormat="1" ht="15" thickBot="1">
      <c r="A25" s="831" t="s">
        <v>848</v>
      </c>
      <c r="B25" s="1015"/>
      <c r="C25" s="1016">
        <f>IF(Onbekend_ele_kWh="---",0,Onbekend_ele_kWh)/1000+IF(REST_rest_ele_kWh="---",0,REST_rest_ele_kWh)/1000</f>
        <v>739.21799999999996</v>
      </c>
      <c r="D25" s="1016"/>
      <c r="E25" s="1016">
        <f>IF(onbekend_gas_kWh="---",0,onbekend_gas_kWh)/1000+IF(REST_rest_gas_kWh="---",0,REST_rest_gas_kWh)/1000</f>
        <v>25718.68</v>
      </c>
      <c r="F25" s="1016"/>
      <c r="G25" s="1016"/>
      <c r="H25" s="1016"/>
      <c r="I25" s="1016"/>
      <c r="J25" s="1016"/>
      <c r="K25" s="1016"/>
      <c r="L25" s="1016"/>
      <c r="M25" s="1016"/>
      <c r="N25" s="1016"/>
      <c r="O25" s="1016"/>
      <c r="P25" s="1016"/>
      <c r="Q25" s="1017"/>
      <c r="R25" s="700">
        <f>SUM(C25:Q25)</f>
        <v>26457.898000000001</v>
      </c>
      <c r="S25" s="67"/>
    </row>
    <row r="26" spans="1:19" s="473" customFormat="1" ht="15.75" thickBot="1">
      <c r="A26" s="705" t="s">
        <v>849</v>
      </c>
      <c r="B26" s="817"/>
      <c r="C26" s="812">
        <f>SUM(C24:C25)</f>
        <v>4150.4849999999997</v>
      </c>
      <c r="D26" s="812">
        <f t="shared" ref="D26:R26" si="2">SUM(D24:D25)</f>
        <v>0</v>
      </c>
      <c r="E26" s="812">
        <f t="shared" si="2"/>
        <v>26087.921817999999</v>
      </c>
      <c r="F26" s="812">
        <f t="shared" si="2"/>
        <v>87.963478179013308</v>
      </c>
      <c r="G26" s="812">
        <f t="shared" si="2"/>
        <v>12468.830529242294</v>
      </c>
      <c r="H26" s="812">
        <f t="shared" si="2"/>
        <v>0</v>
      </c>
      <c r="I26" s="812">
        <f t="shared" si="2"/>
        <v>0</v>
      </c>
      <c r="J26" s="812">
        <f t="shared" si="2"/>
        <v>0</v>
      </c>
      <c r="K26" s="812">
        <f t="shared" si="2"/>
        <v>491.09695889068297</v>
      </c>
      <c r="L26" s="812">
        <f t="shared" si="2"/>
        <v>0</v>
      </c>
      <c r="M26" s="812">
        <f t="shared" si="2"/>
        <v>0</v>
      </c>
      <c r="N26" s="812">
        <f t="shared" si="2"/>
        <v>0</v>
      </c>
      <c r="O26" s="812">
        <f t="shared" si="2"/>
        <v>0</v>
      </c>
      <c r="P26" s="812">
        <f t="shared" si="2"/>
        <v>0</v>
      </c>
      <c r="Q26" s="812">
        <f t="shared" si="2"/>
        <v>0</v>
      </c>
      <c r="R26" s="812">
        <f t="shared" si="2"/>
        <v>43286.297784311988</v>
      </c>
      <c r="S26" s="67"/>
    </row>
    <row r="27" spans="1:19" s="473" customFormat="1" ht="17.25" thickTop="1" thickBot="1">
      <c r="A27" s="706" t="s">
        <v>116</v>
      </c>
      <c r="B27" s="805"/>
      <c r="C27" s="707">
        <f ca="1">C22+C16+C26</f>
        <v>91115.621653639027</v>
      </c>
      <c r="D27" s="707">
        <f t="shared" ref="D27:R27" ca="1" si="3">D22+D16+D26</f>
        <v>0</v>
      </c>
      <c r="E27" s="707">
        <f t="shared" ca="1" si="3"/>
        <v>141492.17790617881</v>
      </c>
      <c r="F27" s="707">
        <f t="shared" si="3"/>
        <v>7766.6582319001463</v>
      </c>
      <c r="G27" s="707">
        <f t="shared" ca="1" si="3"/>
        <v>39605.643734311292</v>
      </c>
      <c r="H27" s="707">
        <f t="shared" si="3"/>
        <v>82503.010304375814</v>
      </c>
      <c r="I27" s="707">
        <f t="shared" si="3"/>
        <v>14673.850751764536</v>
      </c>
      <c r="J27" s="707">
        <f t="shared" si="3"/>
        <v>0</v>
      </c>
      <c r="K27" s="707">
        <f t="shared" si="3"/>
        <v>601.56712979798851</v>
      </c>
      <c r="L27" s="707">
        <f t="shared" si="3"/>
        <v>0</v>
      </c>
      <c r="M27" s="707">
        <f t="shared" ca="1" si="3"/>
        <v>0</v>
      </c>
      <c r="N27" s="707">
        <f t="shared" si="3"/>
        <v>3038.3090869556318</v>
      </c>
      <c r="O27" s="707">
        <f t="shared" ca="1" si="3"/>
        <v>26399.645228643029</v>
      </c>
      <c r="P27" s="707">
        <f t="shared" si="3"/>
        <v>425.22666666666669</v>
      </c>
      <c r="Q27" s="707">
        <f t="shared" si="3"/>
        <v>1029.6000000000001</v>
      </c>
      <c r="R27" s="707">
        <f t="shared" ca="1" si="3"/>
        <v>408651.31069423287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5751.991768696289</v>
      </c>
      <c r="D40" s="1012">
        <f ca="1">tertiair!C20</f>
        <v>0</v>
      </c>
      <c r="E40" s="1012">
        <f ca="1">tertiair!D20</f>
        <v>7131.5868188840013</v>
      </c>
      <c r="F40" s="1012">
        <f>tertiair!E20</f>
        <v>103.64756246032773</v>
      </c>
      <c r="G40" s="1012">
        <f ca="1">tertiair!F20</f>
        <v>1792.1752111083526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14779.401361148972</v>
      </c>
    </row>
    <row r="41" spans="1:18">
      <c r="A41" s="822" t="s">
        <v>225</v>
      </c>
      <c r="B41" s="829"/>
      <c r="C41" s="1012">
        <f ca="1">huishoudens!B12</f>
        <v>9082.8965960891746</v>
      </c>
      <c r="D41" s="1012">
        <f ca="1">huishoudens!C12</f>
        <v>0</v>
      </c>
      <c r="E41" s="1012">
        <f>huishoudens!D12</f>
        <v>13940.094971088001</v>
      </c>
      <c r="F41" s="1012">
        <f>huishoudens!E12</f>
        <v>1412.1842157925948</v>
      </c>
      <c r="G41" s="1012">
        <f>huishoudens!F12</f>
        <v>4236.929625486041</v>
      </c>
      <c r="H41" s="1012">
        <f>huishoudens!G12</f>
        <v>0</v>
      </c>
      <c r="I41" s="1012">
        <f>huishoudens!H12</f>
        <v>0</v>
      </c>
      <c r="J41" s="1012">
        <f>huishoudens!I12</f>
        <v>0</v>
      </c>
      <c r="K41" s="1012">
        <f>huishoudens!J12</f>
        <v>33.969556224699922</v>
      </c>
      <c r="L41" s="1012">
        <f>huishoudens!K12</f>
        <v>0</v>
      </c>
      <c r="M41" s="1012">
        <f>huishoudens!L12</f>
        <v>0</v>
      </c>
      <c r="N41" s="1012">
        <f>huishoudens!M12</f>
        <v>0</v>
      </c>
      <c r="O41" s="1012">
        <f>huishoudens!N12</f>
        <v>0</v>
      </c>
      <c r="P41" s="1012">
        <f>huishoudens!O12</f>
        <v>0</v>
      </c>
      <c r="Q41" s="774">
        <f>huishoudens!P12</f>
        <v>0</v>
      </c>
      <c r="R41" s="850">
        <f t="shared" ca="1" si="4"/>
        <v>28706.074964680509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3092.0735177625356</v>
      </c>
      <c r="D43" s="1012">
        <f ca="1">industrie!C22</f>
        <v>0</v>
      </c>
      <c r="E43" s="1012">
        <f>industrie!D22</f>
        <v>2228.9846170240003</v>
      </c>
      <c r="F43" s="1012">
        <f>industrie!E22</f>
        <v>178.06955775314401</v>
      </c>
      <c r="G43" s="1012">
        <f>industrie!F22</f>
        <v>1216.4242891590284</v>
      </c>
      <c r="H43" s="1012">
        <f>industrie!G22</f>
        <v>0</v>
      </c>
      <c r="I43" s="1012">
        <f>industrie!H22</f>
        <v>0</v>
      </c>
      <c r="J43" s="1012">
        <f>industrie!I22</f>
        <v>0</v>
      </c>
      <c r="K43" s="1012">
        <f>industrie!J22</f>
        <v>5.136884276486251</v>
      </c>
      <c r="L43" s="1012">
        <f>industrie!K22</f>
        <v>0</v>
      </c>
      <c r="M43" s="1012">
        <f>industrie!L22</f>
        <v>0</v>
      </c>
      <c r="N43" s="1012">
        <f>industrie!M22</f>
        <v>0</v>
      </c>
      <c r="O43" s="1012">
        <f>industrie!N22</f>
        <v>0</v>
      </c>
      <c r="P43" s="1012">
        <f>industrie!O22</f>
        <v>0</v>
      </c>
      <c r="Q43" s="774">
        <f>industrie!P22</f>
        <v>0</v>
      </c>
      <c r="R43" s="849">
        <f t="shared" ca="1" si="4"/>
        <v>6720.6888659751939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17926.961882547999</v>
      </c>
      <c r="D46" s="732">
        <f t="shared" ref="D46:Q46" ca="1" si="5">SUM(D39:D45)</f>
        <v>0</v>
      </c>
      <c r="E46" s="732">
        <f t="shared" ca="1" si="5"/>
        <v>23300.666406996006</v>
      </c>
      <c r="F46" s="732">
        <f t="shared" si="5"/>
        <v>1693.9013360060665</v>
      </c>
      <c r="G46" s="732">
        <f t="shared" ca="1" si="5"/>
        <v>7245.5291257534218</v>
      </c>
      <c r="H46" s="732">
        <f t="shared" si="5"/>
        <v>0</v>
      </c>
      <c r="I46" s="732">
        <f t="shared" si="5"/>
        <v>0</v>
      </c>
      <c r="J46" s="732">
        <f t="shared" si="5"/>
        <v>0</v>
      </c>
      <c r="K46" s="732">
        <f t="shared" si="5"/>
        <v>39.106440501186171</v>
      </c>
      <c r="L46" s="732">
        <f t="shared" si="5"/>
        <v>0</v>
      </c>
      <c r="M46" s="732">
        <f t="shared" ca="1" si="5"/>
        <v>0</v>
      </c>
      <c r="N46" s="732">
        <f t="shared" si="5"/>
        <v>0</v>
      </c>
      <c r="O46" s="732">
        <f t="shared" ca="1" si="5"/>
        <v>0</v>
      </c>
      <c r="P46" s="732">
        <f t="shared" si="5"/>
        <v>0</v>
      </c>
      <c r="Q46" s="732">
        <f t="shared" si="5"/>
        <v>0</v>
      </c>
      <c r="R46" s="732">
        <f ca="1">SUM(R39:R45)</f>
        <v>50206.165191804677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305.99518595081781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305.99518595081781</v>
      </c>
    </row>
    <row r="50" spans="1:18">
      <c r="A50" s="825" t="s">
        <v>307</v>
      </c>
      <c r="B50" s="835"/>
      <c r="C50" s="703">
        <f ca="1">transport!B18</f>
        <v>4.6703793890267287</v>
      </c>
      <c r="D50" s="703">
        <f>transport!C18</f>
        <v>0</v>
      </c>
      <c r="E50" s="703">
        <f>transport!D18</f>
        <v>10.993322816118079</v>
      </c>
      <c r="F50" s="703">
        <f>transport!E18</f>
        <v>49.162373088630503</v>
      </c>
      <c r="G50" s="703">
        <f>transport!F18</f>
        <v>0</v>
      </c>
      <c r="H50" s="703">
        <f>transport!G18</f>
        <v>21722.308565317526</v>
      </c>
      <c r="I50" s="703">
        <f>transport!H18</f>
        <v>3653.7888371893696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25440.923477800672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4.6703793890267287</v>
      </c>
      <c r="D52" s="732">
        <f t="shared" ref="D52:Q52" ca="1" si="6">SUM(D48:D51)</f>
        <v>0</v>
      </c>
      <c r="E52" s="732">
        <f t="shared" si="6"/>
        <v>10.993322816118079</v>
      </c>
      <c r="F52" s="732">
        <f t="shared" si="6"/>
        <v>49.162373088630503</v>
      </c>
      <c r="G52" s="732">
        <f t="shared" si="6"/>
        <v>0</v>
      </c>
      <c r="H52" s="732">
        <f t="shared" si="6"/>
        <v>22028.303751268344</v>
      </c>
      <c r="I52" s="732">
        <f t="shared" si="6"/>
        <v>3653.7888371893696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25746.91866375149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703.38054702201759</v>
      </c>
      <c r="D54" s="703">
        <f ca="1">+landbouw!C12</f>
        <v>0</v>
      </c>
      <c r="E54" s="703">
        <f>+landbouw!D12</f>
        <v>74.586847235999997</v>
      </c>
      <c r="F54" s="703">
        <f>+landbouw!E12</f>
        <v>19.967709546636023</v>
      </c>
      <c r="G54" s="703">
        <f>+landbouw!F12</f>
        <v>3329.1777513076927</v>
      </c>
      <c r="H54" s="703">
        <f>+landbouw!G12</f>
        <v>0</v>
      </c>
      <c r="I54" s="703">
        <f>+landbouw!H12</f>
        <v>0</v>
      </c>
      <c r="J54" s="703">
        <f>+landbouw!I12</f>
        <v>0</v>
      </c>
      <c r="K54" s="703">
        <f>+landbouw!J12</f>
        <v>173.84832344730177</v>
      </c>
      <c r="L54" s="703">
        <f>+landbouw!K12</f>
        <v>0</v>
      </c>
      <c r="M54" s="703">
        <f>+landbouw!L12</f>
        <v>0</v>
      </c>
      <c r="N54" s="703">
        <f>+landbouw!M12</f>
        <v>0</v>
      </c>
      <c r="O54" s="703">
        <f>+landbouw!N12</f>
        <v>0</v>
      </c>
      <c r="P54" s="703">
        <f>+landbouw!O12</f>
        <v>0</v>
      </c>
      <c r="Q54" s="704">
        <f>+landbouw!P12</f>
        <v>0</v>
      </c>
      <c r="R54" s="731">
        <f ca="1">SUM(C54:Q54)</f>
        <v>4300.961178559648</v>
      </c>
    </row>
    <row r="55" spans="1:18" ht="15" thickBot="1">
      <c r="A55" s="825" t="s">
        <v>848</v>
      </c>
      <c r="B55" s="835"/>
      <c r="C55" s="703">
        <f ca="1">C25*'EF ele_warmte'!B12</f>
        <v>152.42183071818238</v>
      </c>
      <c r="D55" s="703"/>
      <c r="E55" s="703">
        <f>E25*EF_CO2_aardgas</f>
        <v>5195.1733600000007</v>
      </c>
      <c r="F55" s="703"/>
      <c r="G55" s="703"/>
      <c r="H55" s="703"/>
      <c r="I55" s="703"/>
      <c r="J55" s="703"/>
      <c r="K55" s="703"/>
      <c r="L55" s="703"/>
      <c r="M55" s="703"/>
      <c r="N55" s="703"/>
      <c r="O55" s="703"/>
      <c r="P55" s="703"/>
      <c r="Q55" s="704"/>
      <c r="R55" s="731">
        <f ca="1">SUM(C55:Q55)</f>
        <v>5347.5951907181834</v>
      </c>
    </row>
    <row r="56" spans="1:18" ht="15.75" thickBot="1">
      <c r="A56" s="823" t="s">
        <v>849</v>
      </c>
      <c r="B56" s="836"/>
      <c r="C56" s="732">
        <f ca="1">SUM(C54:C55)</f>
        <v>855.80237774019997</v>
      </c>
      <c r="D56" s="732">
        <f t="shared" ref="D56:Q56" ca="1" si="7">SUM(D54:D55)</f>
        <v>0</v>
      </c>
      <c r="E56" s="732">
        <f t="shared" si="7"/>
        <v>5269.7602072360005</v>
      </c>
      <c r="F56" s="732">
        <f t="shared" si="7"/>
        <v>19.967709546636023</v>
      </c>
      <c r="G56" s="732">
        <f t="shared" si="7"/>
        <v>3329.1777513076927</v>
      </c>
      <c r="H56" s="732">
        <f t="shared" si="7"/>
        <v>0</v>
      </c>
      <c r="I56" s="732">
        <f t="shared" si="7"/>
        <v>0</v>
      </c>
      <c r="J56" s="732">
        <f t="shared" si="7"/>
        <v>0</v>
      </c>
      <c r="K56" s="732">
        <f t="shared" si="7"/>
        <v>173.84832344730177</v>
      </c>
      <c r="L56" s="732">
        <f t="shared" si="7"/>
        <v>0</v>
      </c>
      <c r="M56" s="732">
        <f t="shared" si="7"/>
        <v>0</v>
      </c>
      <c r="N56" s="732">
        <f t="shared" si="7"/>
        <v>0</v>
      </c>
      <c r="O56" s="732">
        <f t="shared" si="7"/>
        <v>0</v>
      </c>
      <c r="P56" s="732">
        <f t="shared" si="7"/>
        <v>0</v>
      </c>
      <c r="Q56" s="733">
        <f t="shared" si="7"/>
        <v>0</v>
      </c>
      <c r="R56" s="734">
        <f ca="1">SUM(R54:R55)</f>
        <v>9648.5563692778305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18787.434639677227</v>
      </c>
      <c r="D61" s="740">
        <f t="shared" ref="D61:Q61" ca="1" si="8">D46+D52+D56</f>
        <v>0</v>
      </c>
      <c r="E61" s="740">
        <f t="shared" ca="1" si="8"/>
        <v>28581.419937048122</v>
      </c>
      <c r="F61" s="740">
        <f t="shared" si="8"/>
        <v>1763.0314186413332</v>
      </c>
      <c r="G61" s="740">
        <f t="shared" ca="1" si="8"/>
        <v>10574.706877061115</v>
      </c>
      <c r="H61" s="740">
        <f t="shared" si="8"/>
        <v>22028.303751268344</v>
      </c>
      <c r="I61" s="740">
        <f t="shared" si="8"/>
        <v>3653.7888371893696</v>
      </c>
      <c r="J61" s="740">
        <f t="shared" si="8"/>
        <v>0</v>
      </c>
      <c r="K61" s="740">
        <f t="shared" si="8"/>
        <v>212.95476394848794</v>
      </c>
      <c r="L61" s="740">
        <f t="shared" si="8"/>
        <v>0</v>
      </c>
      <c r="M61" s="740">
        <f t="shared" ca="1" si="8"/>
        <v>0</v>
      </c>
      <c r="N61" s="740">
        <f t="shared" si="8"/>
        <v>0</v>
      </c>
      <c r="O61" s="740">
        <f t="shared" ca="1" si="8"/>
        <v>0</v>
      </c>
      <c r="P61" s="740">
        <f t="shared" si="8"/>
        <v>0</v>
      </c>
      <c r="Q61" s="740">
        <f t="shared" si="8"/>
        <v>0</v>
      </c>
      <c r="R61" s="740">
        <f ca="1">R46+R52+R56</f>
        <v>85601.640224834002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0.20619334312500828</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6104.6051845113061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6104.6051845113061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6104.6051845113061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6104.6051845113061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44050.387167846209</v>
      </c>
      <c r="C4" s="477">
        <f>huishoudens!C8</f>
        <v>0</v>
      </c>
      <c r="D4" s="477">
        <f>huishoudens!D8</f>
        <v>69010.371144000004</v>
      </c>
      <c r="E4" s="477">
        <f>huishoudens!E8</f>
        <v>6221.0758404960125</v>
      </c>
      <c r="F4" s="477">
        <f>huishoudens!F8</f>
        <v>15868.650282719254</v>
      </c>
      <c r="G4" s="477">
        <f>huishoudens!G8</f>
        <v>0</v>
      </c>
      <c r="H4" s="477">
        <f>huishoudens!H8</f>
        <v>0</v>
      </c>
      <c r="I4" s="477">
        <f>huishoudens!I8</f>
        <v>0</v>
      </c>
      <c r="J4" s="477">
        <f>huishoudens!J8</f>
        <v>95.959198374858545</v>
      </c>
      <c r="K4" s="477">
        <f>huishoudens!K8</f>
        <v>0</v>
      </c>
      <c r="L4" s="477">
        <f>huishoudens!L8</f>
        <v>0</v>
      </c>
      <c r="M4" s="477">
        <f>huishoudens!M8</f>
        <v>0</v>
      </c>
      <c r="N4" s="477">
        <f>huishoudens!N8</f>
        <v>19722.715235026404</v>
      </c>
      <c r="O4" s="477">
        <f>huishoudens!O8</f>
        <v>414.28333333333336</v>
      </c>
      <c r="P4" s="478">
        <f>huishoudens!P8</f>
        <v>991.4666666666667</v>
      </c>
      <c r="Q4" s="479">
        <f>SUM(B4:P4)</f>
        <v>156374.90886846272</v>
      </c>
    </row>
    <row r="5" spans="1:17">
      <c r="A5" s="476" t="s">
        <v>156</v>
      </c>
      <c r="B5" s="477">
        <f ca="1">tertiair!B16</f>
        <v>26603.506000000001</v>
      </c>
      <c r="C5" s="477">
        <f ca="1">tertiair!C16</f>
        <v>0</v>
      </c>
      <c r="D5" s="477">
        <f ca="1">tertiair!D16</f>
        <v>35304.885242000004</v>
      </c>
      <c r="E5" s="477">
        <f>tertiair!E16</f>
        <v>456.59719145518824</v>
      </c>
      <c r="F5" s="477">
        <f ca="1">tertiair!F16</f>
        <v>6712.2667082709831</v>
      </c>
      <c r="G5" s="477">
        <f>tertiair!G16</f>
        <v>0</v>
      </c>
      <c r="H5" s="477">
        <f>tertiair!H16</f>
        <v>0</v>
      </c>
      <c r="I5" s="477">
        <f>tertiair!I16</f>
        <v>0</v>
      </c>
      <c r="J5" s="477">
        <f>tertiair!J16</f>
        <v>0</v>
      </c>
      <c r="K5" s="477">
        <f>tertiair!K16</f>
        <v>0</v>
      </c>
      <c r="L5" s="477">
        <f ca="1">tertiair!L16</f>
        <v>0</v>
      </c>
      <c r="M5" s="477">
        <f>tertiair!M16</f>
        <v>0</v>
      </c>
      <c r="N5" s="477">
        <f ca="1">tertiair!N16</f>
        <v>1354.3039020175556</v>
      </c>
      <c r="O5" s="477">
        <f>tertiair!O16</f>
        <v>10.943333333333335</v>
      </c>
      <c r="P5" s="478">
        <f>tertiair!P16</f>
        <v>38.133333333333333</v>
      </c>
      <c r="Q5" s="476">
        <f t="shared" ref="Q5:Q14" ca="1" si="0">SUM(B5:P5)</f>
        <v>70480.635710410381</v>
      </c>
    </row>
    <row r="6" spans="1:17">
      <c r="A6" s="476" t="s">
        <v>194</v>
      </c>
      <c r="B6" s="477">
        <f>'openbare verlichting'!B8</f>
        <v>1292.6020000000001</v>
      </c>
      <c r="C6" s="477"/>
      <c r="D6" s="477"/>
      <c r="E6" s="477"/>
      <c r="F6" s="477"/>
      <c r="G6" s="477"/>
      <c r="H6" s="477"/>
      <c r="I6" s="477"/>
      <c r="J6" s="477"/>
      <c r="K6" s="477"/>
      <c r="L6" s="477"/>
      <c r="M6" s="477"/>
      <c r="N6" s="477"/>
      <c r="O6" s="477"/>
      <c r="P6" s="478"/>
      <c r="Q6" s="476">
        <f t="shared" si="0"/>
        <v>1292.6020000000001</v>
      </c>
    </row>
    <row r="7" spans="1:17">
      <c r="A7" s="476" t="s">
        <v>112</v>
      </c>
      <c r="B7" s="477">
        <f>landbouw!B8</f>
        <v>3411.2669999999998</v>
      </c>
      <c r="C7" s="477">
        <f>landbouw!C8</f>
        <v>0</v>
      </c>
      <c r="D7" s="477">
        <f>landbouw!D8</f>
        <v>369.24181799999997</v>
      </c>
      <c r="E7" s="477">
        <f>landbouw!E8</f>
        <v>87.963478179013308</v>
      </c>
      <c r="F7" s="477">
        <f>landbouw!F8</f>
        <v>12468.830529242294</v>
      </c>
      <c r="G7" s="477">
        <f>landbouw!G8</f>
        <v>0</v>
      </c>
      <c r="H7" s="477">
        <f>landbouw!H8</f>
        <v>0</v>
      </c>
      <c r="I7" s="477">
        <f>landbouw!I8</f>
        <v>0</v>
      </c>
      <c r="J7" s="477">
        <f>landbouw!J8</f>
        <v>491.09695889068297</v>
      </c>
      <c r="K7" s="477">
        <f>landbouw!K8</f>
        <v>0</v>
      </c>
      <c r="L7" s="477">
        <f>landbouw!L8</f>
        <v>0</v>
      </c>
      <c r="M7" s="477">
        <f>landbouw!M8</f>
        <v>0</v>
      </c>
      <c r="N7" s="477">
        <f>landbouw!N8</f>
        <v>0</v>
      </c>
      <c r="O7" s="477">
        <f>landbouw!O8</f>
        <v>0</v>
      </c>
      <c r="P7" s="478">
        <f>landbouw!P8</f>
        <v>0</v>
      </c>
      <c r="Q7" s="476">
        <f t="shared" si="0"/>
        <v>16828.399784311991</v>
      </c>
    </row>
    <row r="8" spans="1:17">
      <c r="A8" s="476" t="s">
        <v>638</v>
      </c>
      <c r="B8" s="477">
        <f>industrie!B18</f>
        <v>14995.990999999998</v>
      </c>
      <c r="C8" s="477">
        <f>industrie!C18</f>
        <v>0</v>
      </c>
      <c r="D8" s="477">
        <f>industrie!D18</f>
        <v>11034.577312000001</v>
      </c>
      <c r="E8" s="477">
        <f>industrie!E18</f>
        <v>784.44739098301329</v>
      </c>
      <c r="F8" s="477">
        <f>industrie!F18</f>
        <v>4555.896214078758</v>
      </c>
      <c r="G8" s="477">
        <f>industrie!G18</f>
        <v>0</v>
      </c>
      <c r="H8" s="477">
        <f>industrie!H18</f>
        <v>0</v>
      </c>
      <c r="I8" s="477">
        <f>industrie!I18</f>
        <v>0</v>
      </c>
      <c r="J8" s="477">
        <f>industrie!J18</f>
        <v>14.510972532447036</v>
      </c>
      <c r="K8" s="477">
        <f>industrie!K18</f>
        <v>0</v>
      </c>
      <c r="L8" s="477">
        <f>industrie!L18</f>
        <v>0</v>
      </c>
      <c r="M8" s="477">
        <f>industrie!M18</f>
        <v>0</v>
      </c>
      <c r="N8" s="477">
        <f>industrie!N18</f>
        <v>5322.6260915990661</v>
      </c>
      <c r="O8" s="477">
        <f>industrie!O18</f>
        <v>0</v>
      </c>
      <c r="P8" s="478">
        <f>industrie!P18</f>
        <v>0</v>
      </c>
      <c r="Q8" s="476">
        <f t="shared" si="0"/>
        <v>36708.048981193286</v>
      </c>
    </row>
    <row r="9" spans="1:17" s="482" customFormat="1">
      <c r="A9" s="480" t="s">
        <v>564</v>
      </c>
      <c r="B9" s="481">
        <f>transport!B14</f>
        <v>22.650485792818394</v>
      </c>
      <c r="C9" s="481">
        <f>transport!C14</f>
        <v>0</v>
      </c>
      <c r="D9" s="481">
        <f>transport!D14</f>
        <v>54.422390178802367</v>
      </c>
      <c r="E9" s="481">
        <f>transport!E14</f>
        <v>216.57433078691849</v>
      </c>
      <c r="F9" s="481">
        <f>transport!F14</f>
        <v>0</v>
      </c>
      <c r="G9" s="481">
        <f>transport!G14</f>
        <v>81356.960918792232</v>
      </c>
      <c r="H9" s="481">
        <f>transport!H14</f>
        <v>14673.850751764536</v>
      </c>
      <c r="I9" s="481">
        <f>transport!I14</f>
        <v>0</v>
      </c>
      <c r="J9" s="481">
        <f>transport!J14</f>
        <v>0</v>
      </c>
      <c r="K9" s="481">
        <f>transport!K14</f>
        <v>0</v>
      </c>
      <c r="L9" s="481">
        <f>transport!L14</f>
        <v>0</v>
      </c>
      <c r="M9" s="481">
        <f>transport!M14</f>
        <v>3002.7611989359866</v>
      </c>
      <c r="N9" s="481">
        <f>transport!N14</f>
        <v>0</v>
      </c>
      <c r="O9" s="481">
        <f>transport!O14</f>
        <v>0</v>
      </c>
      <c r="P9" s="481">
        <f>transport!P14</f>
        <v>0</v>
      </c>
      <c r="Q9" s="480">
        <f>SUM(B9:P9)</f>
        <v>99327.220076251295</v>
      </c>
    </row>
    <row r="10" spans="1:17">
      <c r="A10" s="476" t="s">
        <v>554</v>
      </c>
      <c r="B10" s="477">
        <f>transport!B54</f>
        <v>0</v>
      </c>
      <c r="C10" s="477">
        <f>transport!C54</f>
        <v>0</v>
      </c>
      <c r="D10" s="477">
        <f>transport!D54</f>
        <v>0</v>
      </c>
      <c r="E10" s="477">
        <f>transport!E54</f>
        <v>0</v>
      </c>
      <c r="F10" s="477">
        <f>transport!F54</f>
        <v>0</v>
      </c>
      <c r="G10" s="477">
        <f>transport!G54</f>
        <v>1146.0493855835873</v>
      </c>
      <c r="H10" s="477">
        <f>transport!H54</f>
        <v>0</v>
      </c>
      <c r="I10" s="477">
        <f>transport!I54</f>
        <v>0</v>
      </c>
      <c r="J10" s="477">
        <f>transport!J54</f>
        <v>0</v>
      </c>
      <c r="K10" s="477">
        <f>transport!K54</f>
        <v>0</v>
      </c>
      <c r="L10" s="477">
        <f>transport!L54</f>
        <v>0</v>
      </c>
      <c r="M10" s="477">
        <f>transport!M54</f>
        <v>35.547888019645335</v>
      </c>
      <c r="N10" s="477">
        <f>transport!N54</f>
        <v>0</v>
      </c>
      <c r="O10" s="477">
        <f>transport!O54</f>
        <v>0</v>
      </c>
      <c r="P10" s="478">
        <f>transport!P54</f>
        <v>0</v>
      </c>
      <c r="Q10" s="476">
        <f t="shared" si="0"/>
        <v>1181.5972736032327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739.21799999999996</v>
      </c>
      <c r="C14" s="484"/>
      <c r="D14" s="484">
        <f>'SEAP template'!E25</f>
        <v>25718.68</v>
      </c>
      <c r="E14" s="484"/>
      <c r="F14" s="484"/>
      <c r="G14" s="484"/>
      <c r="H14" s="484"/>
      <c r="I14" s="484"/>
      <c r="J14" s="484"/>
      <c r="K14" s="484"/>
      <c r="L14" s="484"/>
      <c r="M14" s="484"/>
      <c r="N14" s="484"/>
      <c r="O14" s="484"/>
      <c r="P14" s="485"/>
      <c r="Q14" s="476">
        <f t="shared" si="0"/>
        <v>26457.898000000001</v>
      </c>
    </row>
    <row r="15" spans="1:17" s="486" customFormat="1">
      <c r="A15" s="1038" t="s">
        <v>558</v>
      </c>
      <c r="B15" s="978">
        <f ca="1">SUM(B4:B14)</f>
        <v>91115.621653639013</v>
      </c>
      <c r="C15" s="978">
        <f t="shared" ref="C15:Q15" ca="1" si="1">SUM(C4:C14)</f>
        <v>0</v>
      </c>
      <c r="D15" s="978">
        <f t="shared" ca="1" si="1"/>
        <v>141492.17790617881</v>
      </c>
      <c r="E15" s="978">
        <f t="shared" si="1"/>
        <v>7766.6582319001463</v>
      </c>
      <c r="F15" s="978">
        <f t="shared" ca="1" si="1"/>
        <v>39605.643734311285</v>
      </c>
      <c r="G15" s="978">
        <f t="shared" si="1"/>
        <v>82503.010304375814</v>
      </c>
      <c r="H15" s="978">
        <f t="shared" si="1"/>
        <v>14673.850751764536</v>
      </c>
      <c r="I15" s="978">
        <f t="shared" si="1"/>
        <v>0</v>
      </c>
      <c r="J15" s="978">
        <f t="shared" si="1"/>
        <v>601.56712979798851</v>
      </c>
      <c r="K15" s="978">
        <f t="shared" si="1"/>
        <v>0</v>
      </c>
      <c r="L15" s="978">
        <f t="shared" ca="1" si="1"/>
        <v>0</v>
      </c>
      <c r="M15" s="978">
        <f t="shared" si="1"/>
        <v>3038.3090869556318</v>
      </c>
      <c r="N15" s="978">
        <f t="shared" ca="1" si="1"/>
        <v>26399.645228643029</v>
      </c>
      <c r="O15" s="978">
        <f t="shared" si="1"/>
        <v>425.22666666666669</v>
      </c>
      <c r="P15" s="978">
        <f t="shared" si="1"/>
        <v>1029.6000000000001</v>
      </c>
      <c r="Q15" s="978">
        <f t="shared" ca="1" si="1"/>
        <v>408651.31069423293</v>
      </c>
    </row>
    <row r="17" spans="1:17">
      <c r="A17" s="487" t="s">
        <v>559</v>
      </c>
      <c r="B17" s="786">
        <f ca="1">huishoudens!B10</f>
        <v>0.20619334312500828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9082.8965960891746</v>
      </c>
      <c r="C22" s="477">
        <f t="shared" ref="C22:C32" ca="1" si="3">C4*$C$17</f>
        <v>0</v>
      </c>
      <c r="D22" s="477">
        <f t="shared" ref="D22:D32" si="4">D4*$D$17</f>
        <v>13940.094971088001</v>
      </c>
      <c r="E22" s="477">
        <f t="shared" ref="E22:E32" si="5">E4*$E$17</f>
        <v>1412.1842157925948</v>
      </c>
      <c r="F22" s="477">
        <f t="shared" ref="F22:F32" si="6">F4*$F$17</f>
        <v>4236.929625486041</v>
      </c>
      <c r="G22" s="477">
        <f t="shared" ref="G22:G32" si="7">G4*$G$17</f>
        <v>0</v>
      </c>
      <c r="H22" s="477">
        <f t="shared" ref="H22:H32" si="8">H4*$H$17</f>
        <v>0</v>
      </c>
      <c r="I22" s="477">
        <f t="shared" ref="I22:I32" si="9">I4*$I$17</f>
        <v>0</v>
      </c>
      <c r="J22" s="477">
        <f t="shared" ref="J22:J32" si="10">J4*$J$17</f>
        <v>33.969556224699922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28706.074964680509</v>
      </c>
    </row>
    <row r="23" spans="1:17">
      <c r="A23" s="476" t="s">
        <v>156</v>
      </c>
      <c r="B23" s="477">
        <f t="shared" ca="1" si="2"/>
        <v>5485.4658409862168</v>
      </c>
      <c r="C23" s="477">
        <f t="shared" ca="1" si="3"/>
        <v>0</v>
      </c>
      <c r="D23" s="477">
        <f t="shared" ca="1" si="4"/>
        <v>7131.5868188840013</v>
      </c>
      <c r="E23" s="477">
        <f t="shared" si="5"/>
        <v>103.64756246032773</v>
      </c>
      <c r="F23" s="477">
        <f t="shared" ca="1" si="6"/>
        <v>1792.1752111083526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14512.8754334389</v>
      </c>
    </row>
    <row r="24" spans="1:17">
      <c r="A24" s="476" t="s">
        <v>194</v>
      </c>
      <c r="B24" s="477">
        <f t="shared" ca="1" si="2"/>
        <v>266.52592771007198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266.52592771007198</v>
      </c>
    </row>
    <row r="25" spans="1:17">
      <c r="A25" s="476" t="s">
        <v>112</v>
      </c>
      <c r="B25" s="477">
        <f t="shared" ca="1" si="2"/>
        <v>703.38054702201759</v>
      </c>
      <c r="C25" s="477">
        <f t="shared" ca="1" si="3"/>
        <v>0</v>
      </c>
      <c r="D25" s="477">
        <f t="shared" si="4"/>
        <v>74.586847235999997</v>
      </c>
      <c r="E25" s="477">
        <f t="shared" si="5"/>
        <v>19.967709546636023</v>
      </c>
      <c r="F25" s="477">
        <f t="shared" si="6"/>
        <v>3329.1777513076927</v>
      </c>
      <c r="G25" s="477">
        <f t="shared" si="7"/>
        <v>0</v>
      </c>
      <c r="H25" s="477">
        <f t="shared" si="8"/>
        <v>0</v>
      </c>
      <c r="I25" s="477">
        <f t="shared" si="9"/>
        <v>0</v>
      </c>
      <c r="J25" s="477">
        <f t="shared" si="10"/>
        <v>173.84832344730177</v>
      </c>
      <c r="K25" s="477">
        <f t="shared" si="11"/>
        <v>0</v>
      </c>
      <c r="L25" s="477">
        <f t="shared" si="12"/>
        <v>0</v>
      </c>
      <c r="M25" s="477">
        <f t="shared" si="13"/>
        <v>0</v>
      </c>
      <c r="N25" s="477">
        <f t="shared" si="14"/>
        <v>0</v>
      </c>
      <c r="O25" s="477">
        <f t="shared" si="15"/>
        <v>0</v>
      </c>
      <c r="P25" s="478">
        <f t="shared" si="16"/>
        <v>0</v>
      </c>
      <c r="Q25" s="476">
        <f t="shared" ca="1" si="17"/>
        <v>4300.961178559648</v>
      </c>
    </row>
    <row r="26" spans="1:17">
      <c r="A26" s="476" t="s">
        <v>638</v>
      </c>
      <c r="B26" s="477">
        <f t="shared" ca="1" si="2"/>
        <v>3092.0735177625356</v>
      </c>
      <c r="C26" s="477">
        <f t="shared" ca="1" si="3"/>
        <v>0</v>
      </c>
      <c r="D26" s="477">
        <f t="shared" si="4"/>
        <v>2228.9846170240003</v>
      </c>
      <c r="E26" s="477">
        <f t="shared" si="5"/>
        <v>178.06955775314401</v>
      </c>
      <c r="F26" s="477">
        <f t="shared" si="6"/>
        <v>1216.4242891590284</v>
      </c>
      <c r="G26" s="477">
        <f t="shared" si="7"/>
        <v>0</v>
      </c>
      <c r="H26" s="477">
        <f t="shared" si="8"/>
        <v>0</v>
      </c>
      <c r="I26" s="477">
        <f t="shared" si="9"/>
        <v>0</v>
      </c>
      <c r="J26" s="477">
        <f t="shared" si="10"/>
        <v>5.136884276486251</v>
      </c>
      <c r="K26" s="477">
        <f t="shared" si="11"/>
        <v>0</v>
      </c>
      <c r="L26" s="477">
        <f t="shared" si="12"/>
        <v>0</v>
      </c>
      <c r="M26" s="477">
        <f t="shared" si="13"/>
        <v>0</v>
      </c>
      <c r="N26" s="477">
        <f t="shared" si="14"/>
        <v>0</v>
      </c>
      <c r="O26" s="477">
        <f t="shared" si="15"/>
        <v>0</v>
      </c>
      <c r="P26" s="478">
        <f t="shared" si="16"/>
        <v>0</v>
      </c>
      <c r="Q26" s="476">
        <f t="shared" ca="1" si="17"/>
        <v>6720.6888659751939</v>
      </c>
    </row>
    <row r="27" spans="1:17" s="482" customFormat="1">
      <c r="A27" s="480" t="s">
        <v>564</v>
      </c>
      <c r="B27" s="780">
        <f t="shared" ca="1" si="2"/>
        <v>4.6703793890267287</v>
      </c>
      <c r="C27" s="481">
        <f t="shared" ca="1" si="3"/>
        <v>0</v>
      </c>
      <c r="D27" s="481">
        <f t="shared" si="4"/>
        <v>10.993322816118079</v>
      </c>
      <c r="E27" s="481">
        <f t="shared" si="5"/>
        <v>49.162373088630503</v>
      </c>
      <c r="F27" s="481">
        <f t="shared" si="6"/>
        <v>0</v>
      </c>
      <c r="G27" s="481">
        <f t="shared" si="7"/>
        <v>21722.308565317526</v>
      </c>
      <c r="H27" s="481">
        <f t="shared" si="8"/>
        <v>3653.7888371893696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25440.923477800672</v>
      </c>
    </row>
    <row r="28" spans="1:17">
      <c r="A28" s="476" t="s">
        <v>554</v>
      </c>
      <c r="B28" s="477">
        <f t="shared" ca="1" si="2"/>
        <v>0</v>
      </c>
      <c r="C28" s="477">
        <f t="shared" ca="1" si="3"/>
        <v>0</v>
      </c>
      <c r="D28" s="477">
        <f t="shared" si="4"/>
        <v>0</v>
      </c>
      <c r="E28" s="477">
        <f t="shared" si="5"/>
        <v>0</v>
      </c>
      <c r="F28" s="477">
        <f t="shared" si="6"/>
        <v>0</v>
      </c>
      <c r="G28" s="477">
        <f t="shared" si="7"/>
        <v>305.99518595081781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305.99518595081781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152.42183071818238</v>
      </c>
      <c r="C32" s="477">
        <f t="shared" ca="1" si="3"/>
        <v>0</v>
      </c>
      <c r="D32" s="477">
        <f t="shared" si="4"/>
        <v>5195.1733600000007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5347.5951907181834</v>
      </c>
    </row>
    <row r="33" spans="1:17" s="486" customFormat="1">
      <c r="A33" s="1038" t="s">
        <v>558</v>
      </c>
      <c r="B33" s="978">
        <f ca="1">SUM(B22:B32)</f>
        <v>18787.434639677227</v>
      </c>
      <c r="C33" s="978">
        <f t="shared" ref="C33:Q33" ca="1" si="18">SUM(C22:C32)</f>
        <v>0</v>
      </c>
      <c r="D33" s="978">
        <f t="shared" ca="1" si="18"/>
        <v>28581.419937048126</v>
      </c>
      <c r="E33" s="978">
        <f t="shared" si="18"/>
        <v>1763.0314186413332</v>
      </c>
      <c r="F33" s="978">
        <f t="shared" ca="1" si="18"/>
        <v>10574.706877061115</v>
      </c>
      <c r="G33" s="978">
        <f t="shared" si="18"/>
        <v>22028.303751268344</v>
      </c>
      <c r="H33" s="978">
        <f t="shared" si="18"/>
        <v>3653.7888371893696</v>
      </c>
      <c r="I33" s="978">
        <f t="shared" si="18"/>
        <v>0</v>
      </c>
      <c r="J33" s="978">
        <f t="shared" si="18"/>
        <v>212.95476394848794</v>
      </c>
      <c r="K33" s="978">
        <f t="shared" si="18"/>
        <v>0</v>
      </c>
      <c r="L33" s="978">
        <f t="shared" ca="1" si="18"/>
        <v>0</v>
      </c>
      <c r="M33" s="978">
        <f t="shared" si="18"/>
        <v>0</v>
      </c>
      <c r="N33" s="978">
        <f t="shared" ca="1" si="18"/>
        <v>0</v>
      </c>
      <c r="O33" s="978">
        <f t="shared" si="18"/>
        <v>0</v>
      </c>
      <c r="P33" s="978">
        <f t="shared" si="18"/>
        <v>0</v>
      </c>
      <c r="Q33" s="978">
        <f t="shared" ca="1" si="18"/>
        <v>85601.640224833987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6104.6051845113061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6104.6051845113061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0.20619334312500828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0.20619334312500828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2019-08-12T08:24:11Z</dcterms:modified>
</cp:coreProperties>
</file>