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K19" i="18"/>
  <c r="N89" i="14" s="1"/>
  <c r="J19" i="18"/>
  <c r="J89" i="14" s="1"/>
  <c r="J19" i="59" s="1"/>
  <c r="I19" i="18"/>
  <c r="I89" i="14" s="1"/>
  <c r="I19" i="59" s="1"/>
  <c r="H19" i="18"/>
  <c r="G19"/>
  <c r="F19"/>
  <c r="E19"/>
  <c r="D19"/>
  <c r="E89" i="14" s="1"/>
  <c r="E19" i="59" s="1"/>
  <c r="C19" i="18"/>
  <c r="D89" i="14" s="1"/>
  <c r="D19" i="59" s="1"/>
  <c r="B19" i="18"/>
  <c r="N18"/>
  <c r="L88" i="14" s="1"/>
  <c r="L18" i="59" s="1"/>
  <c r="M18" i="18"/>
  <c r="L18"/>
  <c r="K18"/>
  <c r="J18"/>
  <c r="J88" i="14" s="1"/>
  <c r="J18" i="59" s="1"/>
  <c r="I18" i="18"/>
  <c r="H18"/>
  <c r="M88" i="14" s="1"/>
  <c r="M18" i="59" s="1"/>
  <c r="G18" i="18"/>
  <c r="F18"/>
  <c r="F20" s="1"/>
  <c r="E18"/>
  <c r="D18"/>
  <c r="C18"/>
  <c r="B18"/>
  <c r="L9"/>
  <c r="L10" s="1"/>
  <c r="K9"/>
  <c r="N77" i="14" s="1"/>
  <c r="N9" i="59" s="1"/>
  <c r="G9" i="18"/>
  <c r="G10" s="1"/>
  <c r="F9"/>
  <c r="E9"/>
  <c r="F77" i="14" s="1"/>
  <c r="F9" i="59" s="1"/>
  <c r="D9" i="18"/>
  <c r="D10" s="1"/>
  <c r="C9"/>
  <c r="D77" i="14" s="1"/>
  <c r="D9" i="59" s="1"/>
  <c r="B9" i="18"/>
  <c r="K22"/>
  <c r="J22"/>
  <c r="I22"/>
  <c r="H22"/>
  <c r="K12"/>
  <c r="J12"/>
  <c r="I12"/>
  <c r="H12"/>
  <c r="W92"/>
  <c r="V92"/>
  <c r="U92"/>
  <c r="T92"/>
  <c r="S92"/>
  <c r="F6" i="17" s="1"/>
  <c r="R92" i="18"/>
  <c r="Q92"/>
  <c r="P92"/>
  <c r="D6" i="17" s="1"/>
  <c r="O92" i="18"/>
  <c r="N92"/>
  <c r="M92"/>
  <c r="W91"/>
  <c r="V91"/>
  <c r="U91"/>
  <c r="T91"/>
  <c r="S91"/>
  <c r="R91"/>
  <c r="Q91"/>
  <c r="P91"/>
  <c r="O91"/>
  <c r="N91"/>
  <c r="M91"/>
  <c r="W90"/>
  <c r="V90"/>
  <c r="U90"/>
  <c r="T90"/>
  <c r="S90"/>
  <c r="R90"/>
  <c r="Q90"/>
  <c r="P90"/>
  <c r="O90"/>
  <c r="N90"/>
  <c r="M90"/>
  <c r="W89"/>
  <c r="H9" s="1"/>
  <c r="M77" i="14" s="1"/>
  <c r="M9" i="59" s="1"/>
  <c r="V89" i="18"/>
  <c r="U89"/>
  <c r="T89"/>
  <c r="I9" s="1"/>
  <c r="I77" i="14" s="1"/>
  <c r="I9" i="59" s="1"/>
  <c r="S89" i="18"/>
  <c r="R89"/>
  <c r="Q89"/>
  <c r="J9" s="1"/>
  <c r="J77" i="14" s="1"/>
  <c r="J9" i="59" s="1"/>
  <c r="P89" i="18"/>
  <c r="O89"/>
  <c r="N89"/>
  <c r="M89"/>
  <c r="W61"/>
  <c r="V61"/>
  <c r="N6" i="17" s="1"/>
  <c r="U61" i="18"/>
  <c r="T61"/>
  <c r="L6" i="17" s="1"/>
  <c r="S61" i="18"/>
  <c r="R61"/>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L20"/>
  <c r="K20"/>
  <c r="G20"/>
  <c r="G12"/>
  <c r="F12"/>
  <c r="E12"/>
  <c r="D12"/>
  <c r="C12"/>
  <c r="F10"/>
  <c r="B8"/>
  <c r="B6"/>
  <c r="B74" i="14" s="1"/>
  <c r="B6" i="59" s="1"/>
  <c r="B5" i="18"/>
  <c r="B4"/>
  <c r="C6" i="17"/>
  <c r="D5"/>
  <c r="B19" i="6"/>
  <c r="B18"/>
  <c r="B5"/>
  <c r="B6"/>
  <c r="P7" i="48"/>
  <c r="P25" s="1"/>
  <c r="O7"/>
  <c r="O25" s="1"/>
  <c r="M7"/>
  <c r="K7"/>
  <c r="I7"/>
  <c r="H7"/>
  <c r="G7"/>
  <c r="P10"/>
  <c r="O10"/>
  <c r="N10"/>
  <c r="L10"/>
  <c r="K10"/>
  <c r="J10"/>
  <c r="I10"/>
  <c r="H10"/>
  <c r="F10"/>
  <c r="E10"/>
  <c r="D10"/>
  <c r="C10"/>
  <c r="P9"/>
  <c r="P27" s="1"/>
  <c r="O9"/>
  <c r="N9"/>
  <c r="L9"/>
  <c r="K9"/>
  <c r="J9"/>
  <c r="I9"/>
  <c r="F9"/>
  <c r="C9"/>
  <c r="P13"/>
  <c r="P31" s="1"/>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Q11"/>
  <c r="P28"/>
  <c r="O28"/>
  <c r="O27"/>
  <c r="M89" i="14"/>
  <c r="M19" i="59" s="1"/>
  <c r="L89" i="14"/>
  <c r="L19" i="59" s="1"/>
  <c r="K89" i="14"/>
  <c r="K19" i="59" s="1"/>
  <c r="H89" i="14"/>
  <c r="H19" i="59" s="1"/>
  <c r="G89" i="14"/>
  <c r="G19" i="59" s="1"/>
  <c r="O88" i="14"/>
  <c r="O18" i="59" s="1"/>
  <c r="N88" i="14"/>
  <c r="N18" i="59" s="1"/>
  <c r="K88" i="14"/>
  <c r="K18" i="59" s="1"/>
  <c r="I88" i="14"/>
  <c r="I18" i="59" s="1"/>
  <c r="H88" i="14"/>
  <c r="F88"/>
  <c r="F18" i="59" s="1"/>
  <c r="E88" i="14"/>
  <c r="E18" i="59" s="1"/>
  <c r="D88" i="14"/>
  <c r="D18" i="59" s="1"/>
  <c r="O87" i="14"/>
  <c r="O17" i="59" s="1"/>
  <c r="N87" i="14"/>
  <c r="N17" i="59" s="1"/>
  <c r="L87" i="14"/>
  <c r="L17" i="59" s="1"/>
  <c r="K87" i="14"/>
  <c r="K17" i="59" s="1"/>
  <c r="H87" i="14"/>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3" i="14"/>
  <c r="B5" i="59" s="1"/>
  <c r="B72" i="14"/>
  <c r="B4" i="59" s="1"/>
  <c r="C64" i="14"/>
  <c r="C29"/>
  <c r="Q54"/>
  <c r="P54"/>
  <c r="L54"/>
  <c r="J54"/>
  <c r="J56" s="1"/>
  <c r="I54"/>
  <c r="H54"/>
  <c r="H56" s="1"/>
  <c r="Q24"/>
  <c r="P24"/>
  <c r="N24"/>
  <c r="L24"/>
  <c r="L26" s="1"/>
  <c r="J24"/>
  <c r="J26" s="1"/>
  <c r="I24"/>
  <c r="I26" s="1"/>
  <c r="H24"/>
  <c r="Q50"/>
  <c r="P50"/>
  <c r="O50"/>
  <c r="M50"/>
  <c r="L50"/>
  <c r="K50"/>
  <c r="J50"/>
  <c r="G50"/>
  <c r="D50"/>
  <c r="Q49"/>
  <c r="P49"/>
  <c r="Q20"/>
  <c r="P20"/>
  <c r="O20"/>
  <c r="M20"/>
  <c r="L20"/>
  <c r="K20"/>
  <c r="J20"/>
  <c r="G20"/>
  <c r="D20"/>
  <c r="Q19"/>
  <c r="P19"/>
  <c r="O19"/>
  <c r="M19"/>
  <c r="L19"/>
  <c r="K19"/>
  <c r="J19"/>
  <c r="J22" s="1"/>
  <c r="I19"/>
  <c r="G19"/>
  <c r="F19"/>
  <c r="E19"/>
  <c r="D19"/>
  <c r="Q48"/>
  <c r="Q52" s="1"/>
  <c r="P48"/>
  <c r="P52" s="1"/>
  <c r="O48"/>
  <c r="M48"/>
  <c r="L48"/>
  <c r="K48"/>
  <c r="J48"/>
  <c r="G48"/>
  <c r="D48"/>
  <c r="Q18"/>
  <c r="P18"/>
  <c r="O18"/>
  <c r="O22" s="1"/>
  <c r="M18"/>
  <c r="M22" s="1"/>
  <c r="L18"/>
  <c r="K18"/>
  <c r="K22" s="1"/>
  <c r="J18"/>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G78"/>
  <c r="K78"/>
  <c r="P56"/>
  <c r="L56"/>
  <c r="Q56"/>
  <c r="I56"/>
  <c r="R44"/>
  <c r="E25"/>
  <c r="E55" s="1"/>
  <c r="C25"/>
  <c r="B14" i="48" s="1"/>
  <c r="Q26" i="14"/>
  <c r="P26"/>
  <c r="N26"/>
  <c r="H26"/>
  <c r="L22"/>
  <c r="Q22"/>
  <c r="P22"/>
  <c r="G22"/>
  <c r="R12"/>
  <c r="O19" i="59" l="1"/>
  <c r="O20" s="1"/>
  <c r="O90" i="14"/>
  <c r="N19" i="59"/>
  <c r="N90" i="14"/>
  <c r="L78"/>
  <c r="L8" i="59"/>
  <c r="L10" s="1"/>
  <c r="H90" i="14"/>
  <c r="H18" i="59"/>
  <c r="H20" s="1"/>
  <c r="H78" i="14"/>
  <c r="H8" i="59"/>
  <c r="O19" i="18"/>
  <c r="K10" i="59"/>
  <c r="C98" i="18"/>
  <c r="F101" s="1"/>
  <c r="B10"/>
  <c r="E20" i="59"/>
  <c r="K10" i="18"/>
  <c r="D20"/>
  <c r="B13" i="15"/>
  <c r="E10" i="59"/>
  <c r="E77" i="14"/>
  <c r="E9" i="59" s="1"/>
  <c r="O77" i="14"/>
  <c r="C77" s="1"/>
  <c r="C9" i="59" s="1"/>
  <c r="N20"/>
  <c r="B17" i="18"/>
  <c r="B20" s="1"/>
  <c r="N10" i="59"/>
  <c r="L20"/>
  <c r="H10"/>
  <c r="P29" i="48"/>
  <c r="K90" i="14"/>
  <c r="L90"/>
  <c r="K20" i="59"/>
  <c r="D14" i="48"/>
  <c r="R25" i="14"/>
  <c r="F13" i="15"/>
  <c r="L13"/>
  <c r="N13"/>
  <c r="O9" i="18"/>
  <c r="O18"/>
  <c r="G88" i="14"/>
  <c r="F89"/>
  <c r="B101" i="18"/>
  <c r="C8" s="1"/>
  <c r="I102"/>
  <c r="H17" s="1"/>
  <c r="E102"/>
  <c r="E17" s="1"/>
  <c r="H102"/>
  <c r="D102"/>
  <c r="G102"/>
  <c r="C102"/>
  <c r="F102"/>
  <c r="B102"/>
  <c r="C17" s="1"/>
  <c r="Q88" i="14"/>
  <c r="P18" i="59" s="1"/>
  <c r="B88" i="14"/>
  <c r="B18" i="59" s="1"/>
  <c r="Q14" i="48"/>
  <c r="O24"/>
  <c r="O30"/>
  <c r="P24"/>
  <c r="P30"/>
  <c r="C88" i="14"/>
  <c r="C18" i="59" s="1"/>
  <c r="E78" i="14"/>
  <c r="E90"/>
  <c r="N78"/>
  <c r="I101" i="18" l="1"/>
  <c r="H8" s="1"/>
  <c r="H10" s="1"/>
  <c r="Q77" i="14"/>
  <c r="P9" i="59" s="1"/>
  <c r="D101" i="18"/>
  <c r="G101"/>
  <c r="C89" i="14"/>
  <c r="C19" i="59" s="1"/>
  <c r="F19"/>
  <c r="O78" i="14"/>
  <c r="O9" i="59"/>
  <c r="O10" s="1"/>
  <c r="G90" i="14"/>
  <c r="G18" i="59"/>
  <c r="G20" s="1"/>
  <c r="E101" i="18"/>
  <c r="E8" s="1"/>
  <c r="B77" i="14"/>
  <c r="B9" i="59" s="1"/>
  <c r="H101" i="18"/>
  <c r="C101"/>
  <c r="B89" i="14"/>
  <c r="B19" i="59" s="1"/>
  <c r="Q89" i="14"/>
  <c r="P19" i="59" s="1"/>
  <c r="C20" i="18"/>
  <c r="D87" i="14"/>
  <c r="D17" i="59" s="1"/>
  <c r="D20" s="1"/>
  <c r="D76" i="14"/>
  <c r="D8" i="59" s="1"/>
  <c r="D10" s="1"/>
  <c r="C10" i="18"/>
  <c r="J17"/>
  <c r="J8"/>
  <c r="F87" i="14"/>
  <c r="E20" i="18"/>
  <c r="E10"/>
  <c r="F76" i="14"/>
  <c r="F8" i="59" s="1"/>
  <c r="F10" s="1"/>
  <c r="I17" i="18"/>
  <c r="O17" s="1"/>
  <c r="O20" s="1"/>
  <c r="H20"/>
  <c r="M87" i="14"/>
  <c r="I8" i="18"/>
  <c r="O8" s="1"/>
  <c r="O10" s="1"/>
  <c r="M76" i="14"/>
  <c r="H14" i="15"/>
  <c r="H16" s="1"/>
  <c r="G14"/>
  <c r="G16" s="1"/>
  <c r="M78" i="14" l="1"/>
  <c r="M8" i="59"/>
  <c r="M10" s="1"/>
  <c r="F90" i="14"/>
  <c r="F17" i="59"/>
  <c r="F20" s="1"/>
  <c r="H5" i="48"/>
  <c r="I10" i="14"/>
  <c r="I16" s="1"/>
  <c r="G5" i="48"/>
  <c r="H10" i="14"/>
  <c r="H16" s="1"/>
  <c r="M90"/>
  <c r="M17" i="59"/>
  <c r="M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78" i="14" l="1"/>
  <c r="B4" i="6" s="1"/>
  <c r="B8" i="59"/>
  <c r="B10" s="1"/>
  <c r="C78" i="14"/>
  <c r="C8" i="59"/>
  <c r="C10" s="1"/>
  <c r="B90" i="14"/>
  <c r="B17" i="59"/>
  <c r="B20" s="1"/>
  <c r="C90" i="14"/>
  <c r="C17" i="59"/>
  <c r="C2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C24" i="14" l="1"/>
  <c r="C26" s="1"/>
  <c r="B7" i="48"/>
  <c r="P4"/>
  <c r="Q11" i="14"/>
  <c r="I22" i="48"/>
  <c r="I31"/>
  <c r="I25"/>
  <c r="I29"/>
  <c r="I26"/>
  <c r="I28"/>
  <c r="I32"/>
  <c r="I24"/>
  <c r="I27"/>
  <c r="I30"/>
  <c r="E11" i="14"/>
  <c r="D4" i="48"/>
  <c r="D22" s="1"/>
  <c r="C11" i="14"/>
  <c r="B4" i="48"/>
  <c r="F28"/>
  <c r="F27"/>
  <c r="F32"/>
  <c r="F30"/>
  <c r="F31"/>
  <c r="F24"/>
  <c r="F29"/>
  <c r="N28"/>
  <c r="N27"/>
  <c r="N32"/>
  <c r="N30"/>
  <c r="N31"/>
  <c r="N24"/>
  <c r="N29"/>
  <c r="C19" i="14"/>
  <c r="B10" i="48"/>
  <c r="K28"/>
  <c r="K32"/>
  <c r="K31"/>
  <c r="K25"/>
  <c r="K29"/>
  <c r="K26"/>
  <c r="K27"/>
  <c r="K24"/>
  <c r="K22"/>
  <c r="K30"/>
  <c r="J29"/>
  <c r="J27"/>
  <c r="J32"/>
  <c r="J31"/>
  <c r="J30"/>
  <c r="J28"/>
  <c r="J24"/>
  <c r="O4"/>
  <c r="P11" i="14"/>
  <c r="H32" i="48"/>
  <c r="H26"/>
  <c r="H25"/>
  <c r="H29"/>
  <c r="H28"/>
  <c r="H22"/>
  <c r="H30"/>
  <c r="H24"/>
  <c r="H23"/>
  <c r="C4"/>
  <c r="D11" i="14"/>
  <c r="G32" i="48"/>
  <c r="G25"/>
  <c r="G26"/>
  <c r="G24"/>
  <c r="G22"/>
  <c r="G29"/>
  <c r="G30"/>
  <c r="G23"/>
  <c r="E32"/>
  <c r="E28"/>
  <c r="E24"/>
  <c r="E31"/>
  <c r="E30"/>
  <c r="E29"/>
  <c r="M25"/>
  <c r="M32"/>
  <c r="M22"/>
  <c r="M29"/>
  <c r="M30"/>
  <c r="M26"/>
  <c r="M24"/>
  <c r="M23"/>
  <c r="L10" i="14"/>
  <c r="L16" s="1"/>
  <c r="L27" s="1"/>
  <c r="K5" i="48"/>
  <c r="D30"/>
  <c r="D31"/>
  <c r="D24"/>
  <c r="D29"/>
  <c r="D28"/>
  <c r="D32"/>
  <c r="L27"/>
  <c r="L31"/>
  <c r="L32"/>
  <c r="L28"/>
  <c r="L29"/>
  <c r="L24"/>
  <c r="L22"/>
  <c r="L30"/>
  <c r="P5"/>
  <c r="P23" s="1"/>
  <c r="Q10" i="14"/>
  <c r="N46"/>
  <c r="L16" i="16"/>
  <c r="L18" s="1"/>
  <c r="D8" i="17"/>
  <c r="D12" s="1"/>
  <c r="E54" i="14" s="1"/>
  <c r="E56" s="1"/>
  <c r="B8" i="9"/>
  <c r="B6" i="48" s="1"/>
  <c r="Q6" s="1"/>
  <c r="C16" i="15"/>
  <c r="I14"/>
  <c r="I16" s="1"/>
  <c r="I20" s="1"/>
  <c r="J40" i="14"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1" i="14" l="1"/>
  <c r="F4" i="48"/>
  <c r="F22" s="1"/>
  <c r="H18" i="14"/>
  <c r="G13" i="48"/>
  <c r="I18" i="14"/>
  <c r="H13" i="48"/>
  <c r="H31" s="1"/>
  <c r="K23"/>
  <c r="K33" s="1"/>
  <c r="K15"/>
  <c r="P22"/>
  <c r="F20" i="14"/>
  <c r="F22" s="1"/>
  <c r="E9" i="48"/>
  <c r="E27" s="1"/>
  <c r="Q16" i="14"/>
  <c r="Q27" s="1"/>
  <c r="Q63" s="1"/>
  <c r="I5" i="48"/>
  <c r="J10" i="14"/>
  <c r="J16" s="1"/>
  <c r="J27" s="1"/>
  <c r="M12" i="22"/>
  <c r="M13" i="48"/>
  <c r="M31" s="1"/>
  <c r="N18" i="14"/>
  <c r="P8" i="48"/>
  <c r="P26" s="1"/>
  <c r="Q13" i="14"/>
  <c r="E20"/>
  <c r="E22" s="1"/>
  <c r="D9" i="48"/>
  <c r="D27" s="1"/>
  <c r="O5"/>
  <c r="O23" s="1"/>
  <c r="P10" i="14"/>
  <c r="K24"/>
  <c r="K26" s="1"/>
  <c r="J7" i="48"/>
  <c r="J25" s="1"/>
  <c r="O22"/>
  <c r="B9"/>
  <c r="C20" i="14"/>
  <c r="J46"/>
  <c r="J61"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M10"/>
  <c r="M28" s="1"/>
  <c r="N19" i="14"/>
  <c r="J4" i="48"/>
  <c r="K11" i="14"/>
  <c r="E7" i="48"/>
  <c r="E25" s="1"/>
  <c r="F24" i="14"/>
  <c r="F26" s="1"/>
  <c r="I23" i="48"/>
  <c r="I33" s="1"/>
  <c r="I15"/>
  <c r="N20" i="14"/>
  <c r="M9" i="48"/>
  <c r="O22" i="16"/>
  <c r="P43" i="14" s="1"/>
  <c r="P13"/>
  <c r="O8" i="48"/>
  <c r="R18" i="14"/>
  <c r="N22"/>
  <c r="N27" s="1"/>
  <c r="P46"/>
  <c r="P61" s="1"/>
  <c r="P33" i="48"/>
  <c r="C22" i="14"/>
  <c r="J63"/>
  <c r="G10" i="48"/>
  <c r="H19" i="14"/>
  <c r="R19" s="1"/>
  <c r="E12" i="13"/>
  <c r="F41" i="14" s="1"/>
  <c r="E4" i="48"/>
  <c r="F11" i="14"/>
  <c r="G31" i="48"/>
  <c r="Q13"/>
  <c r="I20" i="14"/>
  <c r="H9" i="48"/>
  <c r="P15"/>
  <c r="G14" i="22"/>
  <c r="P16" i="14"/>
  <c r="P27" s="1"/>
  <c r="I22"/>
  <c r="I27" s="1"/>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E5" i="48" l="1"/>
  <c r="E23" s="1"/>
  <c r="F10" i="14"/>
  <c r="G28" i="48"/>
  <c r="Q10"/>
  <c r="M27"/>
  <c r="M33" s="1"/>
  <c r="M15"/>
  <c r="J22"/>
  <c r="I63" i="14"/>
  <c r="G9" i="48"/>
  <c r="H20" i="14"/>
  <c r="J5" i="48"/>
  <c r="J23" s="1"/>
  <c r="K10" i="14"/>
  <c r="H27" i="48"/>
  <c r="H33" s="1"/>
  <c r="H15"/>
  <c r="E22"/>
  <c r="Q4"/>
  <c r="O26"/>
  <c r="O33" s="1"/>
  <c r="O15"/>
  <c r="P63" i="14"/>
  <c r="R24"/>
  <c r="R26" s="1"/>
  <c r="R11"/>
  <c r="Q7" i="48"/>
  <c r="E20" i="15"/>
  <c r="F40" i="14" s="1"/>
  <c r="J18" i="16"/>
  <c r="E18"/>
  <c r="F18"/>
  <c r="F22" s="1"/>
  <c r="G43" i="14" s="1"/>
  <c r="N18" i="16"/>
  <c r="G18" i="22"/>
  <c r="H50" i="14" s="1"/>
  <c r="H52" s="1"/>
  <c r="H61" s="1"/>
  <c r="E22" i="16"/>
  <c r="F43" i="14" s="1"/>
  <c r="H18" i="22"/>
  <c r="I50" i="14" s="1"/>
  <c r="I52" s="1"/>
  <c r="I61" s="1"/>
  <c r="J22" i="16" l="1"/>
  <c r="K43" i="14" s="1"/>
  <c r="K46" s="1"/>
  <c r="K61" s="1"/>
  <c r="J8" i="48"/>
  <c r="J26" s="1"/>
  <c r="J33" s="1"/>
  <c r="K13" i="14"/>
  <c r="G27" i="48"/>
  <c r="G33" s="1"/>
  <c r="G15"/>
  <c r="Q9"/>
  <c r="R20" i="14"/>
  <c r="R22" s="1"/>
  <c r="H22"/>
  <c r="H27" s="1"/>
  <c r="H63" s="1"/>
  <c r="E8" i="48"/>
  <c r="F13" i="14"/>
  <c r="F16" s="1"/>
  <c r="F27" s="1"/>
  <c r="F46"/>
  <c r="F61" s="1"/>
  <c r="K16"/>
  <c r="K27" s="1"/>
  <c r="J15" i="48"/>
  <c r="N8"/>
  <c r="N26" s="1"/>
  <c r="O13" i="14"/>
  <c r="N22" i="16"/>
  <c r="O43" i="14" s="1"/>
  <c r="G13"/>
  <c r="F8" i="48"/>
  <c r="E26" l="1"/>
  <c r="E33" s="1"/>
  <c r="E15"/>
  <c r="K63" i="14"/>
  <c r="R13"/>
  <c r="F6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<sst xmlns="http://schemas.openxmlformats.org/spreadsheetml/2006/main" count="2392" uniqueCount="890">
  <si>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</si>
  <si>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</si>
  <si>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</si>
  <si>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</si>
  <si>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</si>
  <si>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</si>
  <si>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</si>
  <si>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</si>
  <si>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</si>
  <si>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</si>
  <si>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</si>
  <si>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</si>
  <si>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</si>
  <si>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</si>
  <si>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</si>
  <si>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</si>
  <si>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</si>
  <si>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</si>
  <si>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</si>
  <si>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</si>
  <si>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</si>
  <si>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</si>
  <si>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</si>
  <si>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</si>
  <si>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</si>
  <si>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</si>
  <si>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</si>
  <si>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</si>
  <si>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</si>
  <si>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</si>
  <si>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</si>
  <si>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</si>
  <si>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</si>
  <si>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</si>
  <si>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</si>
  <si>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</si>
  <si>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</si>
  <si>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</si>
  <si>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</si>
  <si>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</si>
  <si>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</si>
  <si>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</si>
  <si>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</si>
  <si>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</si>
  <si>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</si>
  <si>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</si>
  <si>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</si>
  <si>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</si>
  <si>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</si>
  <si>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</si>
  <si>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</si>
  <si>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</si>
  <si>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</si>
  <si>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</si>
  <si>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</si>
  <si>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</si>
  <si>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</si>
  <si>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</si>
  <si>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</si>
  <si>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</si>
  <si>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</si>
  <si>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</si>
  <si>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</si>
  <si>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</si>
  <si>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</si>
  <si>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</si>
  <si>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</si>
  <si>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</si>
  <si>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</si>
  <si>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</si>
  <si>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</si>
  <si>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</si>
  <si>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</si>
  <si>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</si>
  <si>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</si>
  <si>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</si>
  <si>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</si>
  <si>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</si>
  <si>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</si>
  <si>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</si>
  <si>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</si>
  <si>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</si>
  <si>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</si>
  <si>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</si>
  <si>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</si>
  <si>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</si>
  <si>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</si>
  <si>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</si>
  <si>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</si>
  <si>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</si>
  <si>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</si>
  <si>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</si>
  <si>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</si>
  <si>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</si>
  <si>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</si>
  <si>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</si>
  <si>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</si>
  <si>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</si>
  <si>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</si>
  <si>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</si>
  <si>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</si>
  <si>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</si>
  <si>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</si>
  <si>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</si>
  <si>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</si>
  <si>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</si>
  <si>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</si>
  <si>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</si>
  <si>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</si>
  <si>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</si>
  <si>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</si>
  <si>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</si>
  <si>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</si>
  <si>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</si>
  <si>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</si>
  <si>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</si>
  <si>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</si>
  <si>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</si>
  <si>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</si>
  <si>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</si>
  <si>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</si>
  <si>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</si>
  <si>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</si>
  <si>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</si>
  <si>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</si>
  <si>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</si>
  <si>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</si>
  <si>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</si>
  <si>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</si>
  <si>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</si>
  <si>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</si>
  <si>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</si>
  <si>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</si>
  <si>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</si>
  <si>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</si>
  <si>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</si>
  <si>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</si>
  <si>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</si>
  <si>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</si>
  <si>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</si>
  <si>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</si>
  <si>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</si>
  <si>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</si>
  <si>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</si>
  <si>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</si>
  <si>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</si>
  <si>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</si>
  <si>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</si>
  <si>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</si>
  <si>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</si>
  <si>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</si>
  <si>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</si>
  <si>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</si>
  <si>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</si>
  <si>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</si>
  <si>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</si>
  <si>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</si>
  <si>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</si>
  <si>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</si>
  <si>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</si>
  <si>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</si>
  <si>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</si>
  <si>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</si>
  <si>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</si>
  <si>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</si>
  <si>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</si>
  <si>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</si>
  <si>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</si>
  <si>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</si>
  <si>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</si>
  <si>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</si>
  <si>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</si>
  <si>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</si>
  <si>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</si>
  <si>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</si>
  <si>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</si>
  <si>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</si>
  <si>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</si>
  <si>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</si>
  <si>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</si>
  <si>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</si>
  <si>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</si>
  <si>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</si>
  <si>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</si>
  <si>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</si>
  <si>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</si>
  <si>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</si>
  <si>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</si>
  <si>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</si>
  <si>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</si>
  <si>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</si>
  <si>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</si>
  <si>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</si>
  <si>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</si>
  <si>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</si>
  <si>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</si>
  <si>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</si>
  <si>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</si>
  <si>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</si>
  <si>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</si>
  <si>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</si>
  <si>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</si>
  <si>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</si>
  <si>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</si>
  <si>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</si>
  <si>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</si>
  <si>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</si>
  <si>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</si>
  <si>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</si>
  <si>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</si>
  <si>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</si>
  <si>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</si>
  <si>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</si>
  <si>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</si>
  <si>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</si>
  <si>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</si>
  <si>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</si>
  <si>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</si>
  <si>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</si>
  <si>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</si>
  <si>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</si>
  <si>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</si>
  <si>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</si>
  <si>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</si>
  <si>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</si>
  <si>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</si>
  <si>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</si>
  <si>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</si>
  <si>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</si>
  <si>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</si>
  <si>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</si>
  <si>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</si>
  <si>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</si>
  <si>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</si>
  <si>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</si>
  <si>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</si>
  <si>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</si>
  <si>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</si>
  <si>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</si>
  <si>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</si>
  <si>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</si>
  <si>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</si>
  <si>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</si>
  <si>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</si>
  <si>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</si>
  <si>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</si>
  <si>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</si>
  <si>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</si>
  <si>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</si>
  <si>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</si>
  <si>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</si>
  <si>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</si>
  <si>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</si>
  <si>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</si>
  <si>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</si>
  <si>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</si>
  <si>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</si>
  <si>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</si>
  <si>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</si>
  <si>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</si>
  <si>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</si>
  <si>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</si>
  <si>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</si>
  <si>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</si>
  <si>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</si>
  <si>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</si>
  <si>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</si>
  <si>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</si>
  <si>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</si>
  <si>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</si>
  <si>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</si>
  <si>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</si>
  <si>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</si>
  <si>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</si>
  <si>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</si>
  <si>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</si>
  <si>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</si>
  <si>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</si>
  <si>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</si>
  <si>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</si>
  <si>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</si>
  <si>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</si>
  <si>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</si>
  <si>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</si>
  <si>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</si>
  <si>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</si>
  <si>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</si>
  <si>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</si>
  <si>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</si>
  <si>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</si>
  <si>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</si>
  <si>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</si>
  <si>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</si>
  <si>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</si>
  <si>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</si>
  <si>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</si>
  <si>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</si>
  <si>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</si>
  <si>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</si>
  <si>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</si>
  <si>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</si>
  <si>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</si>
  <si>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</si>
  <si>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</si>
  <si>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</si>
  <si>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</si>
  <si>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</si>
  <si>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</si>
  <si>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</si>
  <si>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</si>
  <si>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</si>
  <si>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</si>
  <si>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</si>
  <si>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</si>
  <si>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</si>
  <si>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</si>
  <si>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</si>
  <si>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</si>
  <si>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</si>
  <si>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</si>
  <si>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</si>
  <si>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</si>
  <si>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</si>
  <si>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</si>
  <si>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</si>
  <si>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</si>
  <si>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</si>
  <si>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</si>
  <si>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</si>
  <si>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</si>
  <si>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</si>
  <si>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</si>
  <si>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</si>
  <si>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</si>
  <si>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</si>
  <si>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</si>
  <si>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</si>
  <si>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</si>
  <si>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</si>
  <si>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</si>
  <si>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</si>
  <si>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</si>
  <si>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</si>
  <si>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</si>
  <si>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</si>
  <si>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</si>
  <si>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</si>
  <si>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</si>
  <si>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</si>
  <si>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</si>
  <si>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</si>
  <si>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</si>
  <si>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</si>
  <si>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</si>
  <si>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</si>
  <si>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</si>
  <si>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</si>
  <si>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</si>
  <si>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</si>
  <si>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</si>
  <si>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</si>
  <si>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</si>
  <si>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</si>
  <si>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</si>
  <si>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</si>
  <si>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</si>
  <si>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</si>
  <si>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</si>
  <si>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</si>
  <si>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</si>
  <si>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</si>
  <si>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</si>
  <si>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</si>
  <si>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</si>
  <si>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</si>
  <si>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</si>
  <si>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</si>
  <si>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</si>
  <si>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</si>
  <si>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</si>
  <si>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</si>
  <si>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</si>
  <si>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</si>
  <si>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</si>
  <si>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</si>
  <si>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</si>
  <si>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</si>
  <si>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</si>
  <si>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</si>
  <si>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</si>
  <si>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</si>
  <si>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</si>
  <si>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</si>
  <si>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</si>
  <si>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</si>
  <si>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</si>
  <si>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</si>
  <si>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</si>
  <si>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</si>
  <si>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</si>
  <si>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</si>
  <si>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</si>
  <si>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</si>
  <si>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</si>
  <si>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</si>
  <si>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</si>
  <si>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</si>
  <si>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</si>
  <si>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</si>
  <si>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</si>
  <si>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</si>
  <si>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</si>
  <si>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</si>
  <si>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</si>
  <si>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</si>
  <si>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</si>
  <si>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</si>
  <si>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</si>
  <si>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</si>
  <si>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</si>
  <si>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</si>
  <si>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</si>
  <si>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</si>
  <si>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</si>
  <si>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</si>
  <si>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</si>
  <si>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</si>
  <si>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</si>
  <si>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</si>
  <si>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</si>
  <si>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</si>
  <si>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</si>
  <si>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</si>
  <si>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</si>
  <si>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</si>
  <si>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</si>
  <si>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</si>
  <si>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</si>
  <si>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</si>
  <si>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</si>
  <si>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</si>
  <si>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</si>
  <si>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</si>
  <si>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</si>
  <si>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</si>
  <si>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</si>
  <si>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</si>
  <si>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</si>
  <si>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</si>
  <si>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</si>
  <si>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</si>
  <si>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</si>
  <si>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</si>
  <si>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</si>
  <si>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</si>
  <si>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</si>
  <si>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</si>
  <si>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</si>
  <si>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</si>
  <si>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</si>
  <si>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</si>
  <si>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</si>
  <si>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</si>
  <si>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</si>
  <si>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</si>
  <si>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</si>
  <si>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</si>
  <si>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</si>
  <si>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</si>
  <si>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</si>
  <si>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</si>
  <si>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</si>
  <si>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</si>
  <si>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</si>
  <si>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</si>
  <si>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</si>
  <si>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</si>
  <si>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</si>
  <si>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</si>
  <si>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</si>
  <si>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</si>
  <si>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</si>
  <si>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</si>
  <si>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</si>
  <si>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</si>
  <si>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</si>
  <si>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</si>
  <si>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</si>
  <si>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</si>
  <si>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</si>
  <si>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</si>
  <si>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</si>
  <si>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</si>
  <si>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</si>
  <si>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</si>
  <si>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</si>
  <si>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</si>
  <si>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</si>
  <si>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</si>
  <si>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</si>
  <si>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</si>
  <si>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</si>
  <si>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</si>
  <si>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</si>
  <si>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</si>
  <si>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</si>
  <si>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</si>
  <si>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</si>
  <si>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</si>
  <si>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</si>
  <si>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</si>
  <si>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</si>
  <si>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</si>
  <si>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</si>
  <si>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</si>
  <si>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</si>
  <si>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</si>
  <si>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</si>
  <si>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</si>
  <si>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</si>
  <si>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</si>
  <si>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</si>
  <si>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</si>
  <si>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</si>
  <si>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</si>
  <si>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</si>
  <si>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</si>
  <si>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</si>
  <si>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</si>
  <si>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</si>
  <si>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</si>
  <si>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</si>
  <si>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</si>
  <si>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</si>
  <si>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</si>
  <si>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</si>
  <si>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</si>
  <si>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</si>
  <si>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</si>
  <si>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</si>
  <si>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</si>
  <si>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</si>
  <si>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</si>
  <si>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</si>
  <si>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</si>
  <si>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</si>
  <si>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</si>
  <si>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</si>
  <si>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</si>
  <si>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</si>
  <si>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</si>
  <si>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</si>
  <si>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</si>
  <si>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</si>
  <si>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</si>
  <si>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</si>
  <si>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</si>
  <si>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</si>
  <si>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</si>
  <si>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</si>
  <si>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</si>
  <si>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</si>
  <si>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</si>
  <si>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</si>
  <si>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</si>
  <si>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</si>
  <si>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</si>
  <si>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</si>
  <si>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</si>
  <si>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</si>
  <si>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</si>
  <si>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</si>
  <si>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</si>
  <si>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</si>
  <si>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</si>
  <si>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</si>
  <si>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</si>
  <si>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</si>
  <si>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</si>
  <si>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</si>
  <si>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</si>
  <si>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</si>
  <si>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</si>
  <si>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</si>
  <si>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</si>
  <si>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</si>
  <si>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</si>
  <si>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</si>
  <si>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</si>
  <si>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</si>
  <si>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</si>
  <si>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</si>
  <si>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</si>
  <si>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</si>
  <si>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</si>
  <si>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</si>
  <si>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</si>
  <si>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</si>
  <si>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</si>
  <si>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</si>
  <si>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</si>
  <si>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</si>
  <si>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</si>
  <si>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</si>
  <si>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</si>
  <si>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</si>
  <si>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</si>
  <si>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</si>
  <si>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</si>
  <si>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</si>
  <si>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</si>
  <si>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</si>
  <si>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</si>
  <si>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</si>
  <si>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</si>
  <si>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</si>
  <si>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</si>
  <si>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</si>
  <si>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</si>
  <si>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</si>
  <si>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</si>
  <si>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</si>
  <si>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</si>
  <si>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</si>
  <si>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</si>
  <si>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</si>
  <si>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</si>
  <si>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</si>
  <si>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</si>
  <si>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</si>
  <si>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</si>
  <si>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</si>
  <si>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</si>
  <si>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</si>
  <si>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</si>
  <si>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</si>
  <si>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</si>
  <si>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</si>
  <si>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</si>
  <si>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</si>
  <si>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</si>
  <si>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</si>
  <si>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</si>
  <si>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</si>
  <si>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</si>
  <si>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</si>
  <si>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</si>
  <si>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</si>
  <si>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</si>
  <si>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</si>
  <si>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</si>
  <si>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</si>
  <si>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</si>
  <si>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</si>
  <si>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</si>
  <si>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</si>
  <si>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</si>
  <si>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</si>
  <si>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</si>
  <si>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</si>
  <si>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</si>
  <si>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</si>
  <si>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</si>
  <si>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</si>
  <si>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</si>
  <si>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</si>
  <si>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</si>
  <si>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</si>
  <si>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</si>
  <si>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</si>
  <si>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</si>
  <si>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</si>
  <si>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</si>
  <si>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</si>
  <si>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</si>
  <si>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</si>
  <si>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</si>
  <si>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</si>
  <si>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</si>
  <si>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</si>
  <si>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</si>
  <si>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</si>
  <si>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</si>
  <si>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</si>
  <si>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</si>
  <si>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</si>
  <si>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</si>
  <si>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</si>
  <si>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</si>
  <si>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</si>
  <si>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</si>
  <si>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</si>
  <si>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</si>
  <si>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</si>
  <si>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</si>
  <si>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</si>
  <si>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</si>
  <si>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</si>
  <si>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</si>
  <si>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</si>
  <si>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</si>
  <si>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</si>
  <si>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</si>
  <si>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</si>
  <si>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</si>
  <si>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</si>
  <si>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</si>
  <si>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</si>
  <si>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</si>
  <si>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</si>
  <si>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</si>
  <si>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</si>
  <si>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</si>
  <si>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</si>
  <si>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</si>
  <si>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</si>
  <si>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</si>
  <si>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</si>
  <si>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</si>
  <si>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</si>
  <si>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</si>
  <si>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</si>
  <si>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</si>
  <si>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</si>
  <si>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</si>
  <si>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</si>
  <si>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</si>
  <si>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</si>
  <si>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</si>
  <si>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</si>
  <si>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</si>
  <si>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</si>
  <si>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</si>
  <si>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</si>
  <si>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</si>
  <si>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</si>
  <si>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</si>
  <si>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</si>
  <si>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</si>
  <si>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</si>
  <si>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</si>
  <si>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</si>
  <si>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</si>
  <si>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</si>
  <si>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</si>
  <si>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</si>
  <si>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</si>
  <si>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</si>
  <si>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</si>
  <si>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</si>
  <si>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</si>
  <si>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</si>
  <si>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</si>
  <si>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</si>
  <si>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</si>
  <si>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</si>
  <si>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</si>
  <si>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</si>
  <si>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</si>
  <si>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</si>
  <si>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</si>
  <si>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</si>
  <si>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</si>
  <si>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</si>
  <si>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</si>
  <si>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</si>
  <si>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</si>
  <si>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</si>
  <si>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</si>
  <si>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</si>
  <si>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</si>
  <si>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</si>
  <si>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</si>
  <si>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</si>
  <si>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</si>
  <si>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</si>
  <si>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</si>
  <si>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</si>
  <si>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</si>
  <si>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</si>
  <si>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</si>
  <si>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</si>
  <si>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</si>
  <si>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</si>
  <si>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</si>
  <si>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</si>
  <si>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</si>
  <si>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</si>
  <si>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</si>
  <si>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</si>
  <si>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</si>
  <si>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</si>
  <si>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</si>
  <si>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</si>
  <si>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</si>
  <si>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</si>
  <si>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</si>
  <si>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</si>
  <si>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</si>
  <si>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</si>
  <si>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</si>
  <si>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</si>
  <si>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</si>
  <si>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</si>
  <si>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</si>
  <si>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</si>
  <si>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</si>
  <si>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</si>
  <si>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</si>
  <si>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</si>
  <si>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</si>
  <si>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</si>
  <si>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</si>
  <si>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</si>
  <si>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</si>
  <si>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</si>
  <si>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</si>
  <si>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</si>
  <si>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</si>
  <si>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</si>
  <si>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</si>
  <si>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</si>
  <si>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</si>
  <si>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</si>
  <si>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</si>
  <si>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</si>
  <si>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</si>
  <si>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</si>
  <si>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</si>
  <si>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</si>
  <si>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</si>
  <si>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</si>
  <si>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</si>
  <si>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</si>
  <si>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</si>
  <si>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</si>
  <si>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</si>
  <si>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</si>
  <si>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</si>
  <si>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</si>
  <si>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</si>
  <si>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</si>
  <si>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</si>
  <si>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</si>
  <si>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</si>
  <si>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</si>
  <si>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</si>
  <si>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</si>
  <si>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</si>
  <si>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</si>
  <si>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</si>
  <si>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</si>
  <si>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</si>
  <si>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</si>
  <si>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</si>
  <si>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</si>
  <si>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</si>
  <si>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</si>
  <si>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</si>
  <si>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</si>
  <si>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</si>
  <si>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</si>
  <si>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</si>
  <si>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</si>
  <si>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</si>
  <si>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</si>
  <si>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</si>
  <si>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</si>
  <si>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</si>
  <si>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</si>
  <si>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</si>
  <si>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</si>
  <si>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</si>
  <si>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</si>
  <si>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</si>
  <si>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</si>
  <si>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</si>
  <si>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</si>
  <si>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</si>
  <si>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</si>
  <si>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</si>
  <si>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</si>
  <si>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31022</t>
  </si>
  <si>
    <t>OOSTKAMP</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</si>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</sst>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180219.38085860884</c:v>
                </c:pt>
                <c:pt idx="1">
                  <c:v>64559.712793406245</c:v>
                </c:pt>
                <c:pt idx="2">
                  <c:v>1534.049</c:v>
                </c:pt>
                <c:pt idx="3">
                  <c:v>19522.905465010983</c:v>
                </c:pt>
                <c:pt idx="4">
                  <c:v>80646.919965001987</c:v>
                </c:pt>
                <c:pt idx="5">
                  <c:v>407070.44682363339</c:v>
                </c:pt>
                <c:pt idx="6">
                  <c:v>1681.7002458758438</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423360"/>
        <c:axId val="183424896"/>
      </c:barChart>
      <c:catAx>
        <c:axId val="183423360"/>
        <c:scaling>
          <c:orientation val="minMax"/>
        </c:scaling>
        <c:axPos val="b"/>
        <c:numFmt formatCode="General" sourceLinked="0"/>
        <c:tickLblPos val="nextTo"/>
        <c:crossAx val="183424896"/>
        <c:crosses val="autoZero"/>
        <c:auto val="1"/>
        <c:lblAlgn val="ctr"/>
        <c:lblOffset val="100"/>
      </c:catAx>
      <c:valAx>
        <c:axId val="183424896"/>
        <c:scaling>
          <c:orientation val="minMax"/>
        </c:scaling>
        <c:axPos val="l"/>
        <c:majorGridlines/>
        <c:numFmt formatCode="#,##0" sourceLinked="1"/>
        <c:tickLblPos val="nextTo"/>
        <c:crossAx val="1834233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180219.38085860884</c:v>
                </c:pt>
                <c:pt idx="1">
                  <c:v>64559.712793406245</c:v>
                </c:pt>
                <c:pt idx="2">
                  <c:v>1534.049</c:v>
                </c:pt>
                <c:pt idx="3">
                  <c:v>19522.905465010983</c:v>
                </c:pt>
                <c:pt idx="4">
                  <c:v>80646.919965001987</c:v>
                </c:pt>
                <c:pt idx="5">
                  <c:v>407070.44682363339</c:v>
                </c:pt>
                <c:pt idx="6">
                  <c:v>1681.7002458758438</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32046.345821918039</c:v>
                </c:pt>
                <c:pt idx="2">
                  <c:v>13082.930842837974</c:v>
                </c:pt>
                <c:pt idx="3">
                  <c:v>310.44956899434476</c:v>
                </c:pt>
                <c:pt idx="4">
                  <c:v>4980.2232361280448</c:v>
                </c:pt>
                <c:pt idx="5">
                  <c:v>14077.135800549549</c:v>
                </c:pt>
                <c:pt idx="6">
                  <c:v>104328.27300486561</c:v>
                </c:pt>
                <c:pt idx="7">
                  <c:v>435.50555755861473</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4015872"/>
        <c:axId val="184087296"/>
      </c:barChart>
      <c:catAx>
        <c:axId val="184015872"/>
        <c:scaling>
          <c:orientation val="minMax"/>
        </c:scaling>
        <c:axPos val="b"/>
        <c:numFmt formatCode="General" sourceLinked="0"/>
        <c:tickLblPos val="nextTo"/>
        <c:crossAx val="184087296"/>
        <c:crosses val="autoZero"/>
        <c:auto val="1"/>
        <c:lblAlgn val="ctr"/>
        <c:lblOffset val="100"/>
      </c:catAx>
      <c:valAx>
        <c:axId val="184087296"/>
        <c:scaling>
          <c:orientation val="minMax"/>
        </c:scaling>
        <c:axPos val="l"/>
        <c:majorGridlines/>
        <c:numFmt formatCode="#,##0" sourceLinked="1"/>
        <c:tickLblPos val="nextTo"/>
        <c:crossAx val="1840158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32046.345821918039</c:v>
                </c:pt>
                <c:pt idx="2">
                  <c:v>13082.930842837974</c:v>
                </c:pt>
                <c:pt idx="3">
                  <c:v>310.44956899434476</c:v>
                </c:pt>
                <c:pt idx="4">
                  <c:v>4980.2232361280448</c:v>
                </c:pt>
                <c:pt idx="5">
                  <c:v>14077.135800549549</c:v>
                </c:pt>
                <c:pt idx="6">
                  <c:v>104328.27300486561</c:v>
                </c:pt>
                <c:pt idx="7">
                  <c:v>435.50555755861473</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31022</v>
      </c>
      <c r="B6" s="415"/>
      <c r="C6" s="416"/>
    </row>
    <row r="7" spans="1:7" s="413" customFormat="1" ht="15.75" customHeight="1">
      <c r="A7" s="417" t="str">
        <f>txtMunicipality</f>
        <v>OOSTKAMP</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0.20237265497669549</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0.20237265497669549</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31022</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9447</v>
      </c>
      <c r="C9" s="342">
        <v>9894</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4654.03</v>
      </c>
    </row>
    <row r="15" spans="1:6">
      <c r="A15" s="348" t="s">
        <v>184</v>
      </c>
      <c r="B15" s="334">
        <v>467</v>
      </c>
    </row>
    <row r="16" spans="1:6">
      <c r="A16" s="348" t="s">
        <v>6</v>
      </c>
      <c r="B16" s="334">
        <v>2422</v>
      </c>
    </row>
    <row r="17" spans="1:6">
      <c r="A17" s="348" t="s">
        <v>7</v>
      </c>
      <c r="B17" s="334">
        <v>1687</v>
      </c>
    </row>
    <row r="18" spans="1:6">
      <c r="A18" s="348" t="s">
        <v>8</v>
      </c>
      <c r="B18" s="334">
        <v>2669</v>
      </c>
    </row>
    <row r="19" spans="1:6">
      <c r="A19" s="348" t="s">
        <v>9</v>
      </c>
      <c r="B19" s="334">
        <v>2562</v>
      </c>
    </row>
    <row r="20" spans="1:6">
      <c r="A20" s="348" t="s">
        <v>10</v>
      </c>
      <c r="B20" s="334">
        <v>1864</v>
      </c>
    </row>
    <row r="21" spans="1:6">
      <c r="A21" s="348" t="s">
        <v>11</v>
      </c>
      <c r="B21" s="334">
        <v>6478</v>
      </c>
    </row>
    <row r="22" spans="1:6">
      <c r="A22" s="348" t="s">
        <v>12</v>
      </c>
      <c r="B22" s="334">
        <v>53344</v>
      </c>
    </row>
    <row r="23" spans="1:6">
      <c r="A23" s="348" t="s">
        <v>13</v>
      </c>
      <c r="B23" s="334">
        <v>79</v>
      </c>
    </row>
    <row r="24" spans="1:6">
      <c r="A24" s="348" t="s">
        <v>14</v>
      </c>
      <c r="B24" s="334">
        <v>9</v>
      </c>
    </row>
    <row r="25" spans="1:6">
      <c r="A25" s="348" t="s">
        <v>15</v>
      </c>
      <c r="B25" s="334">
        <v>893</v>
      </c>
    </row>
    <row r="26" spans="1:6">
      <c r="A26" s="348" t="s">
        <v>16</v>
      </c>
      <c r="B26" s="334">
        <v>813</v>
      </c>
    </row>
    <row r="27" spans="1:6">
      <c r="A27" s="348" t="s">
        <v>17</v>
      </c>
      <c r="B27" s="334">
        <v>28</v>
      </c>
    </row>
    <row r="28" spans="1:6" s="356" customFormat="1">
      <c r="A28" s="355" t="s">
        <v>18</v>
      </c>
      <c r="B28" s="355">
        <v>313036</v>
      </c>
    </row>
    <row r="29" spans="1:6">
      <c r="A29" s="355" t="s">
        <v>884</v>
      </c>
      <c r="B29" s="355">
        <v>160</v>
      </c>
      <c r="C29" s="356"/>
      <c r="D29" s="356"/>
      <c r="E29" s="356"/>
      <c r="F29" s="356"/>
    </row>
    <row r="30" spans="1:6">
      <c r="A30" s="355" t="s">
        <v>885</v>
      </c>
      <c r="B30" s="341">
        <v>33</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138762.92915000001</v>
      </c>
      <c r="E38" s="334">
        <v>2</v>
      </c>
      <c r="F38" s="334">
        <v>28158.037950999998</v>
      </c>
    </row>
    <row r="39" spans="1:6">
      <c r="A39" s="348" t="s">
        <v>30</v>
      </c>
      <c r="B39" s="348" t="s">
        <v>31</v>
      </c>
      <c r="C39" s="334">
        <v>5493</v>
      </c>
      <c r="D39" s="334">
        <v>79871948.854000002</v>
      </c>
      <c r="E39" s="334">
        <v>8941</v>
      </c>
      <c r="F39" s="334">
        <v>38804907.476999998</v>
      </c>
    </row>
    <row r="40" spans="1:6">
      <c r="A40" s="348" t="s">
        <v>30</v>
      </c>
      <c r="B40" s="348" t="s">
        <v>29</v>
      </c>
      <c r="C40" s="334">
        <v>0</v>
      </c>
      <c r="D40" s="334">
        <v>0</v>
      </c>
      <c r="E40" s="334">
        <v>0</v>
      </c>
      <c r="F40" s="334">
        <v>0</v>
      </c>
    </row>
    <row r="41" spans="1:6">
      <c r="A41" s="348" t="s">
        <v>32</v>
      </c>
      <c r="B41" s="348" t="s">
        <v>33</v>
      </c>
      <c r="C41" s="334">
        <v>113</v>
      </c>
      <c r="D41" s="334">
        <v>1933897.517</v>
      </c>
      <c r="E41" s="334">
        <v>263</v>
      </c>
      <c r="F41" s="334">
        <v>2795342.9248000002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24</v>
      </c>
      <c r="F44" s="334">
        <v>1686915.067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8</v>
      </c>
      <c r="D47" s="334">
        <v>1631682.5870000001</v>
      </c>
      <c r="E47" s="334">
        <v>12</v>
      </c>
      <c r="F47" s="334">
        <v>4889401.5657000002</v>
      </c>
    </row>
    <row r="48" spans="1:6">
      <c r="A48" s="348" t="s">
        <v>32</v>
      </c>
      <c r="B48" s="348" t="s">
        <v>29</v>
      </c>
      <c r="C48" s="334">
        <v>48</v>
      </c>
      <c r="D48" s="334">
        <v>26757169.227000002</v>
      </c>
      <c r="E48" s="334">
        <v>64</v>
      </c>
      <c r="F48" s="334">
        <v>15876186.091</v>
      </c>
    </row>
    <row r="49" spans="1:6">
      <c r="A49" s="348" t="s">
        <v>32</v>
      </c>
      <c r="B49" s="348" t="s">
        <v>40</v>
      </c>
      <c r="C49" s="334">
        <v>0</v>
      </c>
      <c r="D49" s="334">
        <v>0</v>
      </c>
      <c r="E49" s="334">
        <v>6</v>
      </c>
      <c r="F49" s="334">
        <v>186715.29285</v>
      </c>
    </row>
    <row r="50" spans="1:6">
      <c r="A50" s="348" t="s">
        <v>32</v>
      </c>
      <c r="B50" s="348" t="s">
        <v>41</v>
      </c>
      <c r="C50" s="334">
        <v>16</v>
      </c>
      <c r="D50" s="334">
        <v>2568158.9846000001</v>
      </c>
      <c r="E50" s="334">
        <v>34</v>
      </c>
      <c r="F50" s="334">
        <v>2237236.4238</v>
      </c>
    </row>
    <row r="51" spans="1:6">
      <c r="A51" s="348" t="s">
        <v>42</v>
      </c>
      <c r="B51" s="348" t="s">
        <v>43</v>
      </c>
      <c r="C51" s="334">
        <v>10</v>
      </c>
      <c r="D51" s="334">
        <v>207606.10381999999</v>
      </c>
      <c r="E51" s="334">
        <v>189</v>
      </c>
      <c r="F51" s="334">
        <v>3840516.6274999999</v>
      </c>
    </row>
    <row r="52" spans="1:6">
      <c r="A52" s="348" t="s">
        <v>42</v>
      </c>
      <c r="B52" s="348" t="s">
        <v>29</v>
      </c>
      <c r="C52" s="334">
        <v>6</v>
      </c>
      <c r="D52" s="334">
        <v>149689.88251</v>
      </c>
      <c r="E52" s="334">
        <v>3</v>
      </c>
      <c r="F52" s="334">
        <v>138937.04931</v>
      </c>
    </row>
    <row r="53" spans="1:6">
      <c r="A53" s="348" t="s">
        <v>44</v>
      </c>
      <c r="B53" s="348" t="s">
        <v>45</v>
      </c>
      <c r="C53" s="334">
        <v>116</v>
      </c>
      <c r="D53" s="334">
        <v>1673575.1409</v>
      </c>
      <c r="E53" s="334">
        <v>311</v>
      </c>
      <c r="F53" s="334">
        <v>1538606.7419</v>
      </c>
    </row>
    <row r="54" spans="1:6">
      <c r="A54" s="348" t="s">
        <v>46</v>
      </c>
      <c r="B54" s="348" t="s">
        <v>47</v>
      </c>
      <c r="C54" s="334">
        <v>0</v>
      </c>
      <c r="D54" s="334">
        <v>0</v>
      </c>
      <c r="E54" s="334">
        <v>1</v>
      </c>
      <c r="F54" s="334">
        <v>1534049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51</v>
      </c>
      <c r="D57" s="334">
        <v>2718930.3753999998</v>
      </c>
      <c r="E57" s="334">
        <v>194</v>
      </c>
      <c r="F57" s="334">
        <v>2326295.8139</v>
      </c>
    </row>
    <row r="58" spans="1:6">
      <c r="A58" s="348" t="s">
        <v>49</v>
      </c>
      <c r="B58" s="348" t="s">
        <v>51</v>
      </c>
      <c r="C58" s="334">
        <v>30</v>
      </c>
      <c r="D58" s="334">
        <v>750129.17893000005</v>
      </c>
      <c r="E58" s="334">
        <v>61</v>
      </c>
      <c r="F58" s="334">
        <v>689244.49548000004</v>
      </c>
    </row>
    <row r="59" spans="1:6">
      <c r="A59" s="348" t="s">
        <v>49</v>
      </c>
      <c r="B59" s="348" t="s">
        <v>52</v>
      </c>
      <c r="C59" s="334">
        <v>149</v>
      </c>
      <c r="D59" s="334">
        <v>5197702.8903999999</v>
      </c>
      <c r="E59" s="334">
        <v>345</v>
      </c>
      <c r="F59" s="334">
        <v>9866661.8060999997</v>
      </c>
    </row>
    <row r="60" spans="1:6">
      <c r="A60" s="348" t="s">
        <v>49</v>
      </c>
      <c r="B60" s="348" t="s">
        <v>53</v>
      </c>
      <c r="C60" s="334">
        <v>59</v>
      </c>
      <c r="D60" s="334">
        <v>3402652.0923000001</v>
      </c>
      <c r="E60" s="334">
        <v>90</v>
      </c>
      <c r="F60" s="334">
        <v>2836944.057</v>
      </c>
    </row>
    <row r="61" spans="1:6">
      <c r="A61" s="348" t="s">
        <v>49</v>
      </c>
      <c r="B61" s="348" t="s">
        <v>54</v>
      </c>
      <c r="C61" s="334">
        <v>213</v>
      </c>
      <c r="D61" s="334">
        <v>8311193.1605000002</v>
      </c>
      <c r="E61" s="334">
        <v>408</v>
      </c>
      <c r="F61" s="334">
        <v>8204287.2092000004</v>
      </c>
    </row>
    <row r="62" spans="1:6">
      <c r="A62" s="348" t="s">
        <v>49</v>
      </c>
      <c r="B62" s="348" t="s">
        <v>55</v>
      </c>
      <c r="C62" s="334">
        <v>14</v>
      </c>
      <c r="D62" s="334">
        <v>1220220.0760999999</v>
      </c>
      <c r="E62" s="334">
        <v>20</v>
      </c>
      <c r="F62" s="334">
        <v>483543.83004999999</v>
      </c>
    </row>
    <row r="63" spans="1:6">
      <c r="A63" s="348" t="s">
        <v>49</v>
      </c>
      <c r="B63" s="348" t="s">
        <v>29</v>
      </c>
      <c r="C63" s="334">
        <v>93</v>
      </c>
      <c r="D63" s="334">
        <v>6777480.1823000005</v>
      </c>
      <c r="E63" s="334">
        <v>85</v>
      </c>
      <c r="F63" s="334">
        <v>4432363.5953000002</v>
      </c>
    </row>
    <row r="64" spans="1:6">
      <c r="A64" s="348" t="s">
        <v>56</v>
      </c>
      <c r="B64" s="348" t="s">
        <v>57</v>
      </c>
      <c r="C64" s="334">
        <v>0</v>
      </c>
      <c r="D64" s="334">
        <v>0</v>
      </c>
      <c r="E64" s="334">
        <v>0</v>
      </c>
      <c r="F64" s="334">
        <v>0</v>
      </c>
    </row>
    <row r="65" spans="1:6">
      <c r="A65" s="348" t="s">
        <v>56</v>
      </c>
      <c r="B65" s="348" t="s">
        <v>29</v>
      </c>
      <c r="C65" s="334">
        <v>1</v>
      </c>
      <c r="D65" s="334">
        <v>9494.2794009999998</v>
      </c>
      <c r="E65" s="334">
        <v>2</v>
      </c>
      <c r="F65" s="334">
        <v>14449.658141</v>
      </c>
    </row>
    <row r="66" spans="1:6">
      <c r="A66" s="348" t="s">
        <v>56</v>
      </c>
      <c r="B66" s="348" t="s">
        <v>58</v>
      </c>
      <c r="C66" s="334">
        <v>0</v>
      </c>
      <c r="D66" s="334">
        <v>0</v>
      </c>
      <c r="E66" s="334">
        <v>20</v>
      </c>
      <c r="F66" s="334">
        <v>1131518.3071999999</v>
      </c>
    </row>
    <row r="67" spans="1:6">
      <c r="A67" s="355" t="s">
        <v>56</v>
      </c>
      <c r="B67" s="355" t="s">
        <v>59</v>
      </c>
      <c r="C67" s="334">
        <v>0</v>
      </c>
      <c r="D67" s="334">
        <v>0</v>
      </c>
      <c r="E67" s="334">
        <v>0</v>
      </c>
      <c r="F67" s="334">
        <v>0</v>
      </c>
    </row>
    <row r="68" spans="1:6">
      <c r="A68" s="341" t="s">
        <v>56</v>
      </c>
      <c r="B68" s="341" t="s">
        <v>60</v>
      </c>
      <c r="C68" s="334">
        <v>15</v>
      </c>
      <c r="D68" s="334">
        <v>902635.10043999995</v>
      </c>
      <c r="E68" s="334">
        <v>29</v>
      </c>
      <c r="F68" s="334">
        <v>5730826.8724999996</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74596264</v>
      </c>
      <c r="E73" s="475">
        <v>74527129.443244487</v>
      </c>
    </row>
    <row r="74" spans="1:6">
      <c r="A74" s="348" t="s">
        <v>64</v>
      </c>
      <c r="B74" s="348" t="s">
        <v>667</v>
      </c>
      <c r="C74" s="1294" t="s">
        <v>669</v>
      </c>
      <c r="D74" s="475">
        <v>6869076.1203625314</v>
      </c>
      <c r="E74" s="475">
        <v>6700363.7109676367</v>
      </c>
    </row>
    <row r="75" spans="1:6">
      <c r="A75" s="348" t="s">
        <v>65</v>
      </c>
      <c r="B75" s="348" t="s">
        <v>666</v>
      </c>
      <c r="C75" s="1294" t="s">
        <v>670</v>
      </c>
      <c r="D75" s="475">
        <v>38870657</v>
      </c>
      <c r="E75" s="475">
        <v>39079366.992035128</v>
      </c>
    </row>
    <row r="76" spans="1:6">
      <c r="A76" s="348" t="s">
        <v>65</v>
      </c>
      <c r="B76" s="348" t="s">
        <v>667</v>
      </c>
      <c r="C76" s="1294" t="s">
        <v>671</v>
      </c>
      <c r="D76" s="475">
        <v>2317382.1203625309</v>
      </c>
      <c r="E76" s="475">
        <v>2283196.129962157</v>
      </c>
    </row>
    <row r="77" spans="1:6">
      <c r="A77" s="348" t="s">
        <v>66</v>
      </c>
      <c r="B77" s="348" t="s">
        <v>666</v>
      </c>
      <c r="C77" s="1294" t="s">
        <v>672</v>
      </c>
      <c r="D77" s="475">
        <v>280743507</v>
      </c>
      <c r="E77" s="475">
        <v>303350965.48548669</v>
      </c>
    </row>
    <row r="78" spans="1:6">
      <c r="A78" s="341" t="s">
        <v>66</v>
      </c>
      <c r="B78" s="341" t="s">
        <v>667</v>
      </c>
      <c r="C78" s="341" t="s">
        <v>673</v>
      </c>
      <c r="D78" s="1295">
        <v>43105662</v>
      </c>
      <c r="E78" s="1295">
        <v>44604119.972017415</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451681.75927493797</v>
      </c>
      <c r="C83" s="475">
        <v>451681.75927493797</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5216.0578351354434</v>
      </c>
    </row>
    <row r="92" spans="1:6">
      <c r="A92" s="341" t="s">
        <v>69</v>
      </c>
      <c r="B92" s="342">
        <v>3859.6389903802569</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2716</v>
      </c>
    </row>
    <row r="98" spans="1:6">
      <c r="A98" s="348" t="s">
        <v>72</v>
      </c>
      <c r="B98" s="334">
        <v>1</v>
      </c>
    </row>
    <row r="99" spans="1:6">
      <c r="A99" s="348" t="s">
        <v>73</v>
      </c>
      <c r="B99" s="334">
        <v>234</v>
      </c>
    </row>
    <row r="100" spans="1:6">
      <c r="A100" s="348" t="s">
        <v>74</v>
      </c>
      <c r="B100" s="334">
        <v>1001</v>
      </c>
    </row>
    <row r="101" spans="1:6">
      <c r="A101" s="348" t="s">
        <v>75</v>
      </c>
      <c r="B101" s="334">
        <v>222</v>
      </c>
    </row>
    <row r="102" spans="1:6">
      <c r="A102" s="348" t="s">
        <v>76</v>
      </c>
      <c r="B102" s="334">
        <v>140</v>
      </c>
    </row>
    <row r="103" spans="1:6">
      <c r="A103" s="348" t="s">
        <v>77</v>
      </c>
      <c r="B103" s="334">
        <v>292</v>
      </c>
    </row>
    <row r="104" spans="1:6">
      <c r="A104" s="348" t="s">
        <v>78</v>
      </c>
      <c r="B104" s="334">
        <v>3420</v>
      </c>
    </row>
    <row r="105" spans="1:6">
      <c r="A105" s="341" t="s">
        <v>79</v>
      </c>
      <c r="B105" s="341">
        <v>11</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24</v>
      </c>
      <c r="C123" s="334">
        <v>32</v>
      </c>
    </row>
    <row r="124" spans="1:6">
      <c r="A124" s="341" t="s">
        <v>89</v>
      </c>
      <c r="B124" s="334">
        <v>0</v>
      </c>
      <c r="C124" s="334">
        <v>3</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268</v>
      </c>
    </row>
    <row r="130" spans="1:6">
      <c r="A130" s="348" t="s">
        <v>295</v>
      </c>
      <c r="B130" s="334">
        <v>3</v>
      </c>
    </row>
    <row r="131" spans="1:6">
      <c r="A131" s="348" t="s">
        <v>296</v>
      </c>
      <c r="B131" s="334">
        <v>0</v>
      </c>
    </row>
    <row r="132" spans="1:6">
      <c r="A132" s="341" t="s">
        <v>297</v>
      </c>
      <c r="B132" s="342">
        <v>31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107676.59029934852</v>
      </c>
      <c r="C3" s="43" t="s">
        <v>170</v>
      </c>
      <c r="D3" s="43"/>
      <c r="E3" s="154"/>
      <c r="F3" s="43"/>
      <c r="G3" s="43"/>
      <c r="H3" s="43"/>
      <c r="I3" s="43"/>
      <c r="J3" s="43"/>
      <c r="K3" s="96"/>
    </row>
    <row r="4" spans="1:11">
      <c r="A4" s="383" t="s">
        <v>171</v>
      </c>
      <c r="B4" s="49">
        <f>IF(ISERROR('SEAP template'!B78+'SEAP template'!C78),0,'SEAP template'!B78+'SEAP template'!C78)</f>
        <v>9075.6968255157008</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0.20237265497669549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1534.049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1534.049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0.20237265497669549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310.44956899434476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38804.907477000001</v>
      </c>
      <c r="C5" s="17">
        <f>IF(ISERROR('Eigen informatie GS &amp; warmtenet'!B57),0,'Eigen informatie GS &amp; warmtenet'!B57)</f>
        <v>0</v>
      </c>
      <c r="D5" s="30">
        <f>(SUM(HH_hh_gas_kWh,HH_rest_gas_kWh)/1000)*0.902</f>
        <v>72044.497866308011</v>
      </c>
      <c r="E5" s="17">
        <f>B46*B57</f>
        <v>10766.797627558992</v>
      </c>
      <c r="F5" s="17">
        <f>B51*B62</f>
        <v>22411.821315078407</v>
      </c>
      <c r="G5" s="18"/>
      <c r="H5" s="17"/>
      <c r="I5" s="17"/>
      <c r="J5" s="17">
        <f>B50*B61+C50*C61</f>
        <v>442.65049572918736</v>
      </c>
      <c r="K5" s="17"/>
      <c r="L5" s="17"/>
      <c r="M5" s="17"/>
      <c r="N5" s="17">
        <f>B48*B59+C48*C59</f>
        <v>29010.291575132134</v>
      </c>
      <c r="O5" s="17">
        <f>B69*B70*B71</f>
        <v>473.69000000000005</v>
      </c>
      <c r="P5" s="17">
        <f>B77*B78*B79/1000-B77*B78*B79/1000/B80</f>
        <v>1048.6666666666667</v>
      </c>
    </row>
    <row r="6" spans="1:16">
      <c r="A6" s="16" t="s">
        <v>624</v>
      </c>
      <c r="B6" s="788">
        <f>kWh_PV_kleiner_dan_10kW</f>
        <v>5216.0578351354434</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44020.965312135442</v>
      </c>
      <c r="C8" s="21">
        <f>C5</f>
        <v>0</v>
      </c>
      <c r="D8" s="21">
        <f>D5</f>
        <v>72044.497866308011</v>
      </c>
      <c r="E8" s="21">
        <f>E5</f>
        <v>10766.797627558992</v>
      </c>
      <c r="F8" s="21">
        <f>F5</f>
        <v>22411.821315078407</v>
      </c>
      <c r="G8" s="21"/>
      <c r="H8" s="21"/>
      <c r="I8" s="21"/>
      <c r="J8" s="21">
        <f>J5</f>
        <v>442.65049572918736</v>
      </c>
      <c r="K8" s="21"/>
      <c r="L8" s="21">
        <f>L5</f>
        <v>0</v>
      </c>
      <c r="M8" s="21">
        <f>M5</f>
        <v>0</v>
      </c>
      <c r="N8" s="21">
        <f>N5</f>
        <v>29010.291575132134</v>
      </c>
      <c r="O8" s="21">
        <f>O5</f>
        <v>473.69000000000005</v>
      </c>
      <c r="P8" s="21">
        <f>P5</f>
        <v>1048.6666666666667</v>
      </c>
    </row>
    <row r="9" spans="1:16">
      <c r="B9" s="19"/>
      <c r="C9" s="19"/>
      <c r="D9" s="258"/>
      <c r="E9" s="19"/>
      <c r="F9" s="19"/>
      <c r="G9" s="19"/>
      <c r="H9" s="19"/>
      <c r="I9" s="19"/>
      <c r="J9" s="19"/>
      <c r="K9" s="19"/>
      <c r="L9" s="19"/>
      <c r="M9" s="19"/>
      <c r="N9" s="19"/>
      <c r="O9" s="19"/>
      <c r="P9" s="19"/>
    </row>
    <row r="10" spans="1:16">
      <c r="A10" s="24" t="s">
        <v>214</v>
      </c>
      <c r="B10" s="25">
        <f ca="1">'EF ele_warmte'!B12</f>
        <v>0.20237265497669549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8908.6396248538658</v>
      </c>
      <c r="C12" s="23">
        <f ca="1">C10*C8</f>
        <v>0</v>
      </c>
      <c r="D12" s="23">
        <f>D8*D10</f>
        <v>14552.988568994218</v>
      </c>
      <c r="E12" s="23">
        <f>E10*E8</f>
        <v>2444.0630614558913</v>
      </c>
      <c r="F12" s="23">
        <f>F10*F8</f>
        <v>5983.9562911259345</v>
      </c>
      <c r="G12" s="23"/>
      <c r="H12" s="23"/>
      <c r="I12" s="23"/>
      <c r="J12" s="23">
        <f>J10*J8</f>
        <v>156.69827548813231</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2716</v>
      </c>
      <c r="C18" s="166" t="s">
        <v>111</v>
      </c>
      <c r="D18" s="228"/>
      <c r="E18" s="15"/>
    </row>
    <row r="19" spans="1:7">
      <c r="A19" s="171" t="s">
        <v>72</v>
      </c>
      <c r="B19" s="37">
        <f>aantalw2001_ander</f>
        <v>1</v>
      </c>
      <c r="C19" s="166" t="s">
        <v>111</v>
      </c>
      <c r="D19" s="229"/>
      <c r="E19" s="15"/>
    </row>
    <row r="20" spans="1:7">
      <c r="A20" s="171" t="s">
        <v>73</v>
      </c>
      <c r="B20" s="37">
        <f>aantalw2001_propaan</f>
        <v>234</v>
      </c>
      <c r="C20" s="167">
        <f>IF(ISERROR(B20/SUM($B$20,$B$21,$B$22)*100),0,B20/SUM($B$20,$B$21,$B$22)*100)</f>
        <v>16.060398078242965</v>
      </c>
      <c r="D20" s="229"/>
      <c r="E20" s="15"/>
    </row>
    <row r="21" spans="1:7">
      <c r="A21" s="171" t="s">
        <v>74</v>
      </c>
      <c r="B21" s="37">
        <f>aantalw2001_elektriciteit</f>
        <v>1001</v>
      </c>
      <c r="C21" s="167">
        <f>IF(ISERROR(B21/SUM($B$20,$B$21,$B$22)*100),0,B21/SUM($B$20,$B$21,$B$22)*100)</f>
        <v>68.702814001372687</v>
      </c>
      <c r="D21" s="229"/>
      <c r="E21" s="15"/>
    </row>
    <row r="22" spans="1:7">
      <c r="A22" s="171" t="s">
        <v>75</v>
      </c>
      <c r="B22" s="37">
        <f>aantalw2001_hout</f>
        <v>222</v>
      </c>
      <c r="C22" s="167">
        <f>IF(ISERROR(B22/SUM($B$20,$B$21,$B$22)*100),0,B22/SUM($B$20,$B$21,$B$22)*100)</f>
        <v>15.236787920384351</v>
      </c>
      <c r="D22" s="229"/>
      <c r="E22" s="15"/>
    </row>
    <row r="23" spans="1:7">
      <c r="A23" s="171" t="s">
        <v>76</v>
      </c>
      <c r="B23" s="37">
        <f>aantalw2001_niet_gespec</f>
        <v>140</v>
      </c>
      <c r="C23" s="166" t="s">
        <v>111</v>
      </c>
      <c r="D23" s="228"/>
      <c r="E23" s="15"/>
    </row>
    <row r="24" spans="1:7">
      <c r="A24" s="171" t="s">
        <v>77</v>
      </c>
      <c r="B24" s="37">
        <f>aantalw2001_steenkool</f>
        <v>292</v>
      </c>
      <c r="C24" s="166" t="s">
        <v>111</v>
      </c>
      <c r="D24" s="229"/>
      <c r="E24" s="15"/>
    </row>
    <row r="25" spans="1:7">
      <c r="A25" s="171" t="s">
        <v>78</v>
      </c>
      <c r="B25" s="37">
        <f>aantalw2001_stookolie</f>
        <v>3420</v>
      </c>
      <c r="C25" s="166" t="s">
        <v>111</v>
      </c>
      <c r="D25" s="228"/>
      <c r="E25" s="52"/>
    </row>
    <row r="26" spans="1:7">
      <c r="A26" s="171" t="s">
        <v>79</v>
      </c>
      <c r="B26" s="37">
        <f>aantalw2001_WP</f>
        <v>11</v>
      </c>
      <c r="C26" s="166" t="s">
        <v>111</v>
      </c>
      <c r="D26" s="228"/>
      <c r="E26" s="15"/>
    </row>
    <row r="27" spans="1:7" s="15" customFormat="1">
      <c r="A27" s="171"/>
      <c r="B27" s="29"/>
      <c r="C27" s="36"/>
      <c r="D27" s="228"/>
    </row>
    <row r="28" spans="1:7" s="15" customFormat="1">
      <c r="A28" s="230" t="s">
        <v>698</v>
      </c>
      <c r="B28" s="37">
        <f>aantalHuishoudens2011</f>
        <v>9447</v>
      </c>
      <c r="C28" s="36"/>
      <c r="D28" s="228"/>
    </row>
    <row r="29" spans="1:7" s="15" customFormat="1">
      <c r="A29" s="230" t="s">
        <v>699</v>
      </c>
      <c r="B29" s="37">
        <f>SUM(HH_hh_gas_aantal,HH_rest_gas_aantal)</f>
        <v>5493</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5493</v>
      </c>
      <c r="C32" s="167">
        <f>IF(ISERROR(B32/SUM($B$32,$B$34,$B$35,$B$36,$B$38,$B$39)*100),0,B32/SUM($B$32,$B$34,$B$35,$B$36,$B$38,$B$39)*100)</f>
        <v>58.485945485519586</v>
      </c>
      <c r="D32" s="233"/>
      <c r="G32" s="15"/>
    </row>
    <row r="33" spans="1:7">
      <c r="A33" s="171" t="s">
        <v>72</v>
      </c>
      <c r="B33" s="34" t="s">
        <v>111</v>
      </c>
      <c r="C33" s="167"/>
      <c r="D33" s="233"/>
      <c r="G33" s="15"/>
    </row>
    <row r="34" spans="1:7">
      <c r="A34" s="171" t="s">
        <v>73</v>
      </c>
      <c r="B34" s="33">
        <f>IF((($B$28-$B$32-$B$39-$B$77-$B$38)*C20/100)&lt;0,0,($B$28-$B$32-$B$39-$B$77-$B$38)*C20/100)</f>
        <v>476.0301990391215</v>
      </c>
      <c r="C34" s="167">
        <f>IF(ISERROR(B34/SUM($B$32,$B$34,$B$35,$B$36,$B$38,$B$39)*100),0,B34/SUM($B$32,$B$34,$B$35,$B$36,$B$38,$B$39)*100)</f>
        <v>5.0684646405357912</v>
      </c>
      <c r="D34" s="233"/>
      <c r="G34" s="15"/>
    </row>
    <row r="35" spans="1:7">
      <c r="A35" s="171" t="s">
        <v>74</v>
      </c>
      <c r="B35" s="33">
        <f>IF((($B$28-$B$32-$B$39-$B$77-$B$38)*C21/100)&lt;0,0,($B$28-$B$32-$B$39-$B$77-$B$38)*C21/100)</f>
        <v>2036.3514070006865</v>
      </c>
      <c r="C35" s="167">
        <f>IF(ISERROR(B35/SUM($B$32,$B$34,$B$35,$B$36,$B$38,$B$39)*100),0,B35/SUM($B$32,$B$34,$B$35,$B$36,$B$38,$B$39)*100)</f>
        <v>21.681765406736442</v>
      </c>
      <c r="D35" s="233"/>
      <c r="G35" s="15"/>
    </row>
    <row r="36" spans="1:7">
      <c r="A36" s="171" t="s">
        <v>75</v>
      </c>
      <c r="B36" s="33">
        <f>IF((($B$28-$B$32-$B$39-$B$77-$B$38)*C22/100)&lt;0,0,($B$28-$B$32-$B$39-$B$77-$B$38)*C22/100)</f>
        <v>451.61839396019218</v>
      </c>
      <c r="C36" s="167">
        <f>IF(ISERROR(B36/SUM($B$32,$B$34,$B$35,$B$36,$B$38,$B$39)*100),0,B36/SUM($B$32,$B$34,$B$35,$B$36,$B$38,$B$39)*100)</f>
        <v>4.8085433769185713</v>
      </c>
      <c r="D36" s="233"/>
      <c r="G36" s="15"/>
    </row>
    <row r="37" spans="1:7">
      <c r="A37" s="171" t="s">
        <v>76</v>
      </c>
      <c r="B37" s="34" t="s">
        <v>111</v>
      </c>
      <c r="C37" s="167"/>
      <c r="D37" s="173"/>
      <c r="G37" s="15"/>
    </row>
    <row r="38" spans="1:7">
      <c r="A38" s="171" t="s">
        <v>77</v>
      </c>
      <c r="B38" s="33">
        <f>IF((B24-(B29-B18)*0.1)&lt;0,0,B24-(B29-B18)*0.1)</f>
        <v>14.300000000000011</v>
      </c>
      <c r="C38" s="167">
        <f>IF(ISERROR(B38/SUM($B$32,$B$34,$B$35,$B$36,$B$38,$B$39)*100),0,B38/SUM($B$32,$B$34,$B$35,$B$36,$B$38,$B$39)*100)</f>
        <v>0.15225724020442941</v>
      </c>
      <c r="D38" s="234"/>
      <c r="G38" s="15"/>
    </row>
    <row r="39" spans="1:7">
      <c r="A39" s="171" t="s">
        <v>78</v>
      </c>
      <c r="B39" s="33">
        <f>IF((B25-(B29-B18))&lt;0,0,B25-(B29-B18)*0.9)</f>
        <v>920.69999999999982</v>
      </c>
      <c r="C39" s="167">
        <f>IF(ISERROR(B39/SUM($B$32,$B$34,$B$35,$B$36,$B$38,$B$39)*100),0,B39/SUM($B$32,$B$34,$B$35,$B$36,$B$38,$B$39)*100)</f>
        <v>9.803023850085177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5493</v>
      </c>
      <c r="C44" s="34" t="s">
        <v>111</v>
      </c>
      <c r="D44" s="174"/>
    </row>
    <row r="45" spans="1:7">
      <c r="A45" s="171" t="s">
        <v>72</v>
      </c>
      <c r="B45" s="33" t="str">
        <f t="shared" si="0"/>
        <v>-</v>
      </c>
      <c r="C45" s="34" t="s">
        <v>111</v>
      </c>
      <c r="D45" s="174"/>
    </row>
    <row r="46" spans="1:7">
      <c r="A46" s="171" t="s">
        <v>73</v>
      </c>
      <c r="B46" s="33">
        <f t="shared" si="0"/>
        <v>476.0301990391215</v>
      </c>
      <c r="C46" s="34" t="s">
        <v>111</v>
      </c>
      <c r="D46" s="174"/>
    </row>
    <row r="47" spans="1:7">
      <c r="A47" s="171" t="s">
        <v>74</v>
      </c>
      <c r="B47" s="33">
        <f t="shared" si="0"/>
        <v>2036.3514070006865</v>
      </c>
      <c r="C47" s="34" t="s">
        <v>111</v>
      </c>
      <c r="D47" s="174"/>
    </row>
    <row r="48" spans="1:7">
      <c r="A48" s="171" t="s">
        <v>75</v>
      </c>
      <c r="B48" s="33">
        <f t="shared" si="0"/>
        <v>451.61839396019218</v>
      </c>
      <c r="C48" s="33">
        <f>B48*10</f>
        <v>4516.1839396019222</v>
      </c>
      <c r="D48" s="234"/>
    </row>
    <row r="49" spans="1:6">
      <c r="A49" s="171" t="s">
        <v>76</v>
      </c>
      <c r="B49" s="33" t="str">
        <f t="shared" si="0"/>
        <v>-</v>
      </c>
      <c r="C49" s="34" t="s">
        <v>111</v>
      </c>
      <c r="D49" s="234"/>
    </row>
    <row r="50" spans="1:6">
      <c r="A50" s="171" t="s">
        <v>77</v>
      </c>
      <c r="B50" s="33">
        <f t="shared" si="0"/>
        <v>14.300000000000011</v>
      </c>
      <c r="C50" s="33">
        <f>B50*2</f>
        <v>28.600000000000023</v>
      </c>
      <c r="D50" s="234"/>
    </row>
    <row r="51" spans="1:6">
      <c r="A51" s="171" t="s">
        <v>78</v>
      </c>
      <c r="B51" s="33">
        <f t="shared" si="0"/>
        <v>920.69999999999982</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303</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55</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28839.340807030003</v>
      </c>
      <c r="C5" s="17">
        <f>IF(ISERROR('Eigen informatie GS &amp; warmtenet'!B58),0,'Eigen informatie GS &amp; warmtenet'!B58)</f>
        <v>0</v>
      </c>
      <c r="D5" s="30">
        <f>SUM(D6:D12)</f>
        <v>25597.233776248861</v>
      </c>
      <c r="E5" s="17">
        <f>SUM(E6:E12)</f>
        <v>595.17320752566468</v>
      </c>
      <c r="F5" s="17">
        <f>SUM(F6:F12)</f>
        <v>7269.2559364455437</v>
      </c>
      <c r="G5" s="18"/>
      <c r="H5" s="17"/>
      <c r="I5" s="17"/>
      <c r="J5" s="17">
        <f>SUM(J6:J12)</f>
        <v>0</v>
      </c>
      <c r="K5" s="17"/>
      <c r="L5" s="17"/>
      <c r="M5" s="17"/>
      <c r="N5" s="17">
        <f>SUM(N6:N12)</f>
        <v>2254.0190661561674</v>
      </c>
      <c r="O5" s="17">
        <f>B38*B39*B40</f>
        <v>4.6900000000000004</v>
      </c>
      <c r="P5" s="17">
        <f>B46*B47*B48/1000-B46*B47*B48/1000/B49</f>
        <v>0</v>
      </c>
      <c r="R5" s="32"/>
    </row>
    <row r="6" spans="1:18">
      <c r="A6" s="32" t="s">
        <v>54</v>
      </c>
      <c r="B6" s="37">
        <f>B26</f>
        <v>8204.2872091999998</v>
      </c>
      <c r="C6" s="33"/>
      <c r="D6" s="37">
        <f>IF(ISERROR(TER_kantoor_gas_kWh/1000),0,TER_kantoor_gas_kWh/1000)*0.902</f>
        <v>7496.696230771001</v>
      </c>
      <c r="E6" s="33">
        <f>$C$26*'E Balans VL '!I12/100/3.6*1000000</f>
        <v>107.40422578482769</v>
      </c>
      <c r="F6" s="33">
        <f>$C$26*('E Balans VL '!L12+'E Balans VL '!N12)/100/3.6*1000000</f>
        <v>2092.0084584089263</v>
      </c>
      <c r="G6" s="34"/>
      <c r="H6" s="33"/>
      <c r="I6" s="33"/>
      <c r="J6" s="33">
        <f>$C$26*('E Balans VL '!D12+'E Balans VL '!E12)/100/3.6*1000000</f>
        <v>0</v>
      </c>
      <c r="K6" s="33"/>
      <c r="L6" s="33"/>
      <c r="M6" s="33"/>
      <c r="N6" s="33">
        <f>$C$26*'E Balans VL '!Y12/100/3.6*1000000</f>
        <v>8.2319147069323098</v>
      </c>
      <c r="O6" s="33"/>
      <c r="P6" s="33"/>
      <c r="R6" s="32"/>
    </row>
    <row r="7" spans="1:18">
      <c r="A7" s="32" t="s">
        <v>53</v>
      </c>
      <c r="B7" s="37">
        <f t="shared" ref="B7:B12" si="0">B27</f>
        <v>2836.9440570000002</v>
      </c>
      <c r="C7" s="33"/>
      <c r="D7" s="37">
        <f>IF(ISERROR(TER_horeca_gas_kWh/1000),0,TER_horeca_gas_kWh/1000)*0.902</f>
        <v>3069.1921872546004</v>
      </c>
      <c r="E7" s="33">
        <f>$C$27*'E Balans VL '!I9/100/3.6*1000000</f>
        <v>93.885591734888564</v>
      </c>
      <c r="F7" s="33">
        <f>$C$27*('E Balans VL '!L9+'E Balans VL '!N9)/100/3.6*1000000</f>
        <v>1219.8750720234084</v>
      </c>
      <c r="G7" s="34"/>
      <c r="H7" s="33"/>
      <c r="I7" s="33"/>
      <c r="J7" s="33">
        <f>$C$27*('E Balans VL '!D9+'E Balans VL '!E9)/100/3.6*1000000</f>
        <v>0</v>
      </c>
      <c r="K7" s="33"/>
      <c r="L7" s="33"/>
      <c r="M7" s="33"/>
      <c r="N7" s="33">
        <f>$C$27*'E Balans VL '!Y9/100/3.6*1000000</f>
        <v>0.68289363146859716</v>
      </c>
      <c r="O7" s="33"/>
      <c r="P7" s="33"/>
      <c r="R7" s="32"/>
    </row>
    <row r="8" spans="1:18">
      <c r="A8" s="6" t="s">
        <v>52</v>
      </c>
      <c r="B8" s="37">
        <f t="shared" si="0"/>
        <v>9866.661806099999</v>
      </c>
      <c r="C8" s="33"/>
      <c r="D8" s="37">
        <f>IF(ISERROR(TER_handel_gas_kWh/1000),0,TER_handel_gas_kWh/1000)*0.902</f>
        <v>4688.3280071407999</v>
      </c>
      <c r="E8" s="33">
        <f>$C$28*'E Balans VL '!I13/100/3.6*1000000</f>
        <v>311.40692241100027</v>
      </c>
      <c r="F8" s="33">
        <f>$C$28*('E Balans VL '!L13+'E Balans VL '!N13)/100/3.6*1000000</f>
        <v>1935.0261213038093</v>
      </c>
      <c r="G8" s="34"/>
      <c r="H8" s="33"/>
      <c r="I8" s="33"/>
      <c r="J8" s="33">
        <f>$C$28*('E Balans VL '!D13+'E Balans VL '!E13)/100/3.6*1000000</f>
        <v>0</v>
      </c>
      <c r="K8" s="33"/>
      <c r="L8" s="33"/>
      <c r="M8" s="33"/>
      <c r="N8" s="33">
        <f>$C$28*'E Balans VL '!Y13/100/3.6*1000000</f>
        <v>11.709811974967707</v>
      </c>
      <c r="O8" s="33"/>
      <c r="P8" s="33"/>
      <c r="R8" s="32"/>
    </row>
    <row r="9" spans="1:18">
      <c r="A9" s="32" t="s">
        <v>51</v>
      </c>
      <c r="B9" s="37">
        <f t="shared" si="0"/>
        <v>689.24449548000007</v>
      </c>
      <c r="C9" s="33"/>
      <c r="D9" s="37">
        <f>IF(ISERROR(TER_gezond_gas_kWh/1000),0,TER_gezond_gas_kWh/1000)*0.902</f>
        <v>676.61651939486012</v>
      </c>
      <c r="E9" s="33">
        <f>$C$29*'E Balans VL '!I10/100/3.6*1000000</f>
        <v>8.8243458821767234E-2</v>
      </c>
      <c r="F9" s="33">
        <f>$C$29*('E Balans VL '!L10+'E Balans VL '!N10)/100/3.6*1000000</f>
        <v>143.59851729276465</v>
      </c>
      <c r="G9" s="34"/>
      <c r="H9" s="33"/>
      <c r="I9" s="33"/>
      <c r="J9" s="33">
        <f>$C$29*('E Balans VL '!D10+'E Balans VL '!E10)/100/3.6*1000000</f>
        <v>0</v>
      </c>
      <c r="K9" s="33"/>
      <c r="L9" s="33"/>
      <c r="M9" s="33"/>
      <c r="N9" s="33">
        <f>$C$29*'E Balans VL '!Y10/100/3.6*1000000</f>
        <v>8.0955023791900711</v>
      </c>
      <c r="O9" s="33"/>
      <c r="P9" s="33"/>
      <c r="R9" s="32"/>
    </row>
    <row r="10" spans="1:18">
      <c r="A10" s="32" t="s">
        <v>50</v>
      </c>
      <c r="B10" s="37">
        <f t="shared" si="0"/>
        <v>2326.2958138999998</v>
      </c>
      <c r="C10" s="33"/>
      <c r="D10" s="37">
        <f>IF(ISERROR(TER_ander_gas_kWh/1000),0,TER_ander_gas_kWh/1000)*0.902</f>
        <v>2452.4751986107999</v>
      </c>
      <c r="E10" s="33">
        <f>$C$30*'E Balans VL '!I14/100/3.6*1000000</f>
        <v>3.4982018393828458</v>
      </c>
      <c r="F10" s="33">
        <f>$C$30*('E Balans VL '!L14+'E Balans VL '!N14)/100/3.6*1000000</f>
        <v>513.57112850108501</v>
      </c>
      <c r="G10" s="34"/>
      <c r="H10" s="33"/>
      <c r="I10" s="33"/>
      <c r="J10" s="33">
        <f>$C$30*('E Balans VL '!D14+'E Balans VL '!E14)/100/3.6*1000000</f>
        <v>0</v>
      </c>
      <c r="K10" s="33"/>
      <c r="L10" s="33"/>
      <c r="M10" s="33"/>
      <c r="N10" s="33">
        <f>$C$30*'E Balans VL '!Y14/100/3.6*1000000</f>
        <v>1833.2776551588086</v>
      </c>
      <c r="O10" s="33"/>
      <c r="P10" s="33"/>
      <c r="R10" s="32"/>
    </row>
    <row r="11" spans="1:18">
      <c r="A11" s="32" t="s">
        <v>55</v>
      </c>
      <c r="B11" s="37">
        <f t="shared" si="0"/>
        <v>483.54383005</v>
      </c>
      <c r="C11" s="33"/>
      <c r="D11" s="37">
        <f>IF(ISERROR(TER_onderwijs_gas_kWh/1000),0,TER_onderwijs_gas_kWh/1000)*0.902</f>
        <v>1100.6385086421999</v>
      </c>
      <c r="E11" s="33">
        <f>$C$31*'E Balans VL '!I11/100/3.6*1000000</f>
        <v>0.85156120555094239</v>
      </c>
      <c r="F11" s="33">
        <f>$C$31*('E Balans VL '!L11+'E Balans VL '!N11)/100/3.6*1000000</f>
        <v>223.26093604521839</v>
      </c>
      <c r="G11" s="34"/>
      <c r="H11" s="33"/>
      <c r="I11" s="33"/>
      <c r="J11" s="33">
        <f>$C$31*('E Balans VL '!D11+'E Balans VL '!E11)/100/3.6*1000000</f>
        <v>0</v>
      </c>
      <c r="K11" s="33"/>
      <c r="L11" s="33"/>
      <c r="M11" s="33"/>
      <c r="N11" s="33">
        <f>$C$31*'E Balans VL '!Y11/100/3.6*1000000</f>
        <v>0.90084884220377281</v>
      </c>
      <c r="O11" s="33"/>
      <c r="P11" s="33"/>
      <c r="R11" s="32"/>
    </row>
    <row r="12" spans="1:18">
      <c r="A12" s="32" t="s">
        <v>260</v>
      </c>
      <c r="B12" s="37">
        <f t="shared" si="0"/>
        <v>4432.3635953000003</v>
      </c>
      <c r="C12" s="33"/>
      <c r="D12" s="37">
        <f>IF(ISERROR(TER_rest_gas_kWh/1000),0,TER_rest_gas_kWh/1000)*0.902</f>
        <v>6113.2871244346006</v>
      </c>
      <c r="E12" s="33">
        <f>$C$32*'E Balans VL '!I8/100/3.6*1000000</f>
        <v>78.038461091192531</v>
      </c>
      <c r="F12" s="33">
        <f>$C$32*('E Balans VL '!L8+'E Balans VL '!N8)/100/3.6*1000000</f>
        <v>1141.9157028703314</v>
      </c>
      <c r="G12" s="34"/>
      <c r="H12" s="33"/>
      <c r="I12" s="33"/>
      <c r="J12" s="33">
        <f>$C$32*('E Balans VL '!D8+'E Balans VL '!E8)/100/3.6*1000000</f>
        <v>0</v>
      </c>
      <c r="K12" s="33"/>
      <c r="L12" s="33"/>
      <c r="M12" s="33"/>
      <c r="N12" s="33">
        <f>$C$32*'E Balans VL '!Y8/100/3.6*1000000</f>
        <v>391.12043946259627</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28839.340807030003</v>
      </c>
      <c r="C16" s="21">
        <f t="shared" ca="1" si="1"/>
        <v>0</v>
      </c>
      <c r="D16" s="21">
        <f t="shared" ca="1" si="1"/>
        <v>25597.233776248861</v>
      </c>
      <c r="E16" s="21">
        <f t="shared" si="1"/>
        <v>595.17320752566468</v>
      </c>
      <c r="F16" s="21">
        <f t="shared" ca="1" si="1"/>
        <v>7269.2559364455437</v>
      </c>
      <c r="G16" s="21">
        <f t="shared" si="1"/>
        <v>0</v>
      </c>
      <c r="H16" s="21">
        <f t="shared" si="1"/>
        <v>0</v>
      </c>
      <c r="I16" s="21">
        <f t="shared" si="1"/>
        <v>0</v>
      </c>
      <c r="J16" s="21">
        <f t="shared" si="1"/>
        <v>0</v>
      </c>
      <c r="K16" s="21">
        <f t="shared" si="1"/>
        <v>0</v>
      </c>
      <c r="L16" s="21">
        <f t="shared" ca="1" si="1"/>
        <v>0</v>
      </c>
      <c r="M16" s="21">
        <f t="shared" si="1"/>
        <v>0</v>
      </c>
      <c r="N16" s="21">
        <f t="shared" ca="1" si="1"/>
        <v>2254.0190661561674</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0.20237265497669549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5836.2939668964173</v>
      </c>
      <c r="C20" s="23">
        <f t="shared" ref="C20:P20" ca="1" si="2">C16*C18</f>
        <v>0</v>
      </c>
      <c r="D20" s="23">
        <f t="shared" ca="1" si="2"/>
        <v>5170.64122280227</v>
      </c>
      <c r="E20" s="23">
        <f t="shared" si="2"/>
        <v>135.10431810832588</v>
      </c>
      <c r="F20" s="23">
        <f t="shared" ca="1" si="2"/>
        <v>1940.8913350309604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8204.2872091999998</v>
      </c>
      <c r="C26" s="39">
        <f>IF(ISERROR(B26*3.6/1000000/'E Balans VL '!Z12*100),0,B26*3.6/1000000/'E Balans VL '!Z12*100)</f>
        <v>0.1757422056836094</v>
      </c>
      <c r="D26" s="237" t="s">
        <v>660</v>
      </c>
      <c r="F26" s="6"/>
    </row>
    <row r="27" spans="1:18">
      <c r="A27" s="231" t="s">
        <v>53</v>
      </c>
      <c r="B27" s="33">
        <f>IF(ISERROR(TER_horeca_ele_kWh/1000),0,TER_horeca_ele_kWh/1000)</f>
        <v>2836.9440570000002</v>
      </c>
      <c r="C27" s="39">
        <f>IF(ISERROR(B27*3.6/1000000/'E Balans VL '!Z9*100),0,B27*3.6/1000000/'E Balans VL '!Z9*100)</f>
        <v>0.22765489945736195</v>
      </c>
      <c r="D27" s="237" t="s">
        <v>660</v>
      </c>
      <c r="F27" s="6"/>
    </row>
    <row r="28" spans="1:18">
      <c r="A28" s="171" t="s">
        <v>52</v>
      </c>
      <c r="B28" s="33">
        <f>IF(ISERROR(TER_handel_ele_kWh/1000),0,TER_handel_ele_kWh/1000)</f>
        <v>9866.661806099999</v>
      </c>
      <c r="C28" s="39">
        <f>IF(ISERROR(B28*3.6/1000000/'E Balans VL '!Z13*100),0,B28*3.6/1000000/'E Balans VL '!Z13*100)</f>
        <v>0.29100993036513817</v>
      </c>
      <c r="D28" s="237" t="s">
        <v>660</v>
      </c>
      <c r="F28" s="6"/>
    </row>
    <row r="29" spans="1:18">
      <c r="A29" s="231" t="s">
        <v>51</v>
      </c>
      <c r="B29" s="33">
        <f>IF(ISERROR(TER_gezond_ele_kWh/1000),0,TER_gezond_ele_kWh/1000)</f>
        <v>689.24449548000007</v>
      </c>
      <c r="C29" s="39">
        <f>IF(ISERROR(B29*3.6/1000000/'E Balans VL '!Z10*100),0,B29*3.6/1000000/'E Balans VL '!Z10*100)</f>
        <v>7.3592832779370732E-2</v>
      </c>
      <c r="D29" s="237" t="s">
        <v>660</v>
      </c>
      <c r="F29" s="6"/>
    </row>
    <row r="30" spans="1:18">
      <c r="A30" s="231" t="s">
        <v>50</v>
      </c>
      <c r="B30" s="33">
        <f>IF(ISERROR(TER_ander_ele_kWh/1000),0,TER_ander_ele_kWh/1000)</f>
        <v>2326.2958138999998</v>
      </c>
      <c r="C30" s="39">
        <f>IF(ISERROR(B30*3.6/1000000/'E Balans VL '!Z14*100),0,B30*3.6/1000000/'E Balans VL '!Z14*100)</f>
        <v>0.17571425781905281</v>
      </c>
      <c r="D30" s="237" t="s">
        <v>660</v>
      </c>
      <c r="F30" s="6"/>
    </row>
    <row r="31" spans="1:18">
      <c r="A31" s="231" t="s">
        <v>55</v>
      </c>
      <c r="B31" s="33">
        <f>IF(ISERROR(TER_onderwijs_ele_kWh/1000),0,TER_onderwijs_ele_kWh/1000)</f>
        <v>483.54383005</v>
      </c>
      <c r="C31" s="39">
        <f>IF(ISERROR(B31*3.6/1000000/'E Balans VL '!Z11*100),0,B31*3.6/1000000/'E Balans VL '!Z11*100)</f>
        <v>9.7643641227174935E-2</v>
      </c>
      <c r="D31" s="237" t="s">
        <v>660</v>
      </c>
    </row>
    <row r="32" spans="1:18">
      <c r="A32" s="231" t="s">
        <v>260</v>
      </c>
      <c r="B32" s="33">
        <f>IF(ISERROR(TER_rest_ele_kWh/1000),0,TER_rest_ele_kWh/1000)</f>
        <v>4432.3635953000003</v>
      </c>
      <c r="C32" s="39">
        <f>IF(ISERROR(B32*3.6/1000000/'E Balans VL '!Z8*100),0,B32*3.6/1000000/'E Balans VL '!Z8*100)</f>
        <v>3.6750466226817755E-2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27671.79736515</v>
      </c>
      <c r="C5" s="17">
        <f>IF(ISERROR('Eigen informatie GS &amp; warmtenet'!B59),0,'Eigen informatie GS &amp; warmtenet'!B59)</f>
        <v>0</v>
      </c>
      <c r="D5" s="30">
        <f>SUM(D6:D15)</f>
        <v>29667.599300671201</v>
      </c>
      <c r="E5" s="17">
        <f>SUM(E6:E15)</f>
        <v>1714.0105026032847</v>
      </c>
      <c r="F5" s="17">
        <f>SUM(F6:F15)</f>
        <v>7242.5134821779848</v>
      </c>
      <c r="G5" s="18"/>
      <c r="H5" s="17"/>
      <c r="I5" s="17"/>
      <c r="J5" s="17">
        <f>SUM(J6:J15)</f>
        <v>456.02869270895621</v>
      </c>
      <c r="K5" s="17"/>
      <c r="L5" s="17"/>
      <c r="M5" s="17"/>
      <c r="N5" s="17">
        <f>SUM(N6:N15)</f>
        <v>13894.970621690567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1686.9150670000001</v>
      </c>
      <c r="C8" s="33"/>
      <c r="D8" s="37">
        <f>IF( ISERROR(IND_metaal_Gas_kWH/1000),0,IND_metaal_Gas_kWH/1000)*0.902</f>
        <v>0</v>
      </c>
      <c r="E8" s="33">
        <f>C30*'E Balans VL '!I18/100/3.6*1000000</f>
        <v>60.70030737467777</v>
      </c>
      <c r="F8" s="33">
        <f>C30*'E Balans VL '!L18/100/3.6*1000000+C30*'E Balans VL '!N18/100/3.6*1000000</f>
        <v>736.62112585586192</v>
      </c>
      <c r="G8" s="34"/>
      <c r="H8" s="33"/>
      <c r="I8" s="33"/>
      <c r="J8" s="40">
        <f>C30*'E Balans VL '!D18/100/3.6*1000000+C30*'E Balans VL '!E18/100/3.6*1000000</f>
        <v>0</v>
      </c>
      <c r="K8" s="33"/>
      <c r="L8" s="33"/>
      <c r="M8" s="33"/>
      <c r="N8" s="33">
        <f>C30*'E Balans VL '!Y18/100/3.6*1000000</f>
        <v>84.547036777781983</v>
      </c>
      <c r="O8" s="33"/>
      <c r="P8" s="33"/>
      <c r="R8" s="32"/>
    </row>
    <row r="9" spans="1:18">
      <c r="A9" s="6" t="s">
        <v>33</v>
      </c>
      <c r="B9" s="37">
        <f t="shared" si="0"/>
        <v>2795.3429248000002</v>
      </c>
      <c r="C9" s="33"/>
      <c r="D9" s="37">
        <f>IF( ISERROR(IND_andere_gas_kWh/1000),0,IND_andere_gas_kWh/1000)*0.902</f>
        <v>1744.3755603339998</v>
      </c>
      <c r="E9" s="33">
        <f>C31*'E Balans VL '!I19/100/3.6*1000000</f>
        <v>713.30826800382044</v>
      </c>
      <c r="F9" s="33">
        <f>C31*'E Balans VL '!L19/100/3.6*1000000+C31*'E Balans VL '!N19/100/3.6*1000000</f>
        <v>2406.5801521103476</v>
      </c>
      <c r="G9" s="34"/>
      <c r="H9" s="33"/>
      <c r="I9" s="33"/>
      <c r="J9" s="40">
        <f>C31*'E Balans VL '!D19/100/3.6*1000000+C31*'E Balans VL '!E19/100/3.6*1000000</f>
        <v>0</v>
      </c>
      <c r="K9" s="33"/>
      <c r="L9" s="33"/>
      <c r="M9" s="33"/>
      <c r="N9" s="33">
        <f>C31*'E Balans VL '!Y19/100/3.6*1000000</f>
        <v>874.19946308215845</v>
      </c>
      <c r="O9" s="33"/>
      <c r="P9" s="33"/>
      <c r="R9" s="32"/>
    </row>
    <row r="10" spans="1:18">
      <c r="A10" s="6" t="s">
        <v>41</v>
      </c>
      <c r="B10" s="37">
        <f t="shared" si="0"/>
        <v>2237.2364238</v>
      </c>
      <c r="C10" s="33"/>
      <c r="D10" s="37">
        <f>IF( ISERROR(IND_voed_gas_kWh/1000),0,IND_voed_gas_kWh/1000)*0.902</f>
        <v>2316.4794041092</v>
      </c>
      <c r="E10" s="33">
        <f>C32*'E Balans VL '!I20/100/3.6*1000000</f>
        <v>56.87362187034924</v>
      </c>
      <c r="F10" s="33">
        <f>C32*'E Balans VL '!L20/100/3.6*1000000+C32*'E Balans VL '!N20/100/3.6*1000000</f>
        <v>506.25301889094879</v>
      </c>
      <c r="G10" s="34"/>
      <c r="H10" s="33"/>
      <c r="I10" s="33"/>
      <c r="J10" s="40">
        <f>C32*'E Balans VL '!D20/100/3.6*1000000+C32*'E Balans VL '!E20/100/3.6*1000000</f>
        <v>0</v>
      </c>
      <c r="K10" s="33"/>
      <c r="L10" s="33"/>
      <c r="M10" s="33"/>
      <c r="N10" s="33">
        <f>C32*'E Balans VL '!Y20/100/3.6*1000000</f>
        <v>839.02430160356562</v>
      </c>
      <c r="O10" s="33"/>
      <c r="P10" s="33"/>
      <c r="R10" s="32"/>
    </row>
    <row r="11" spans="1:18">
      <c r="A11" s="6" t="s">
        <v>40</v>
      </c>
      <c r="B11" s="37">
        <f t="shared" si="0"/>
        <v>186.71529285</v>
      </c>
      <c r="C11" s="33"/>
      <c r="D11" s="37">
        <f>IF( ISERROR(IND_textiel_gas_kWh/1000),0,IND_textiel_gas_kWh/1000)*0.902</f>
        <v>0</v>
      </c>
      <c r="E11" s="33">
        <f>C33*'E Balans VL '!I21/100/3.6*1000000</f>
        <v>0.51258369088197653</v>
      </c>
      <c r="F11" s="33">
        <f>C33*'E Balans VL '!L21/100/3.6*1000000+C33*'E Balans VL '!N21/100/3.6*1000000</f>
        <v>9.8988666840149122</v>
      </c>
      <c r="G11" s="34"/>
      <c r="H11" s="33"/>
      <c r="I11" s="33"/>
      <c r="J11" s="40">
        <f>C33*'E Balans VL '!D21/100/3.6*1000000+C33*'E Balans VL '!E21/100/3.6*1000000</f>
        <v>0</v>
      </c>
      <c r="K11" s="33"/>
      <c r="L11" s="33"/>
      <c r="M11" s="33"/>
      <c r="N11" s="33">
        <f>C33*'E Balans VL '!Y21/100/3.6*1000000</f>
        <v>0.37526684049521114</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4889.4015657</v>
      </c>
      <c r="C13" s="33"/>
      <c r="D13" s="37">
        <f>IF( ISERROR(IND_papier_gas_kWh/1000),0,IND_papier_gas_kWh/1000)*0.902</f>
        <v>1471.777693474</v>
      </c>
      <c r="E13" s="33">
        <f>C35*'E Balans VL '!I23/100/3.6*1000000</f>
        <v>20.969220901420815</v>
      </c>
      <c r="F13" s="33">
        <f>C35*'E Balans VL '!L23/100/3.6*1000000+C35*'E Balans VL '!N23/100/3.6*1000000</f>
        <v>122.88583708241289</v>
      </c>
      <c r="G13" s="34"/>
      <c r="H13" s="33"/>
      <c r="I13" s="33"/>
      <c r="J13" s="40">
        <f>C35*'E Balans VL '!D23/100/3.6*1000000+C35*'E Balans VL '!E23/100/3.6*1000000</f>
        <v>327.31861755918112</v>
      </c>
      <c r="K13" s="33"/>
      <c r="L13" s="33"/>
      <c r="M13" s="33"/>
      <c r="N13" s="33">
        <f>C35*'E Balans VL '!Y23/100/3.6*1000000</f>
        <v>8899.8735936277608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15876.186091</v>
      </c>
      <c r="C15" s="33"/>
      <c r="D15" s="37">
        <f>IF( ISERROR(IND_rest_gas_kWh/1000),0,IND_rest_gas_kWh/1000)*0.902</f>
        <v>24134.966642754003</v>
      </c>
      <c r="E15" s="33">
        <f>C37*'E Balans VL '!I15/100/3.6*1000000</f>
        <v>861.64650076213456</v>
      </c>
      <c r="F15" s="33">
        <f>C37*'E Balans VL '!L15/100/3.6*1000000+C37*'E Balans VL '!N15/100/3.6*1000000</f>
        <v>3460.2744815543983</v>
      </c>
      <c r="G15" s="34"/>
      <c r="H15" s="33"/>
      <c r="I15" s="33"/>
      <c r="J15" s="40">
        <f>C37*'E Balans VL '!D15/100/3.6*1000000+C37*'E Balans VL '!E15/100/3.6*1000000</f>
        <v>128.71007514977509</v>
      </c>
      <c r="K15" s="33"/>
      <c r="L15" s="33"/>
      <c r="M15" s="33"/>
      <c r="N15" s="33">
        <f>C37*'E Balans VL '!Y15/100/3.6*1000000</f>
        <v>3196.9509597588058</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27671.79736515</v>
      </c>
      <c r="C18" s="21">
        <f>C5+C16</f>
        <v>0</v>
      </c>
      <c r="D18" s="21">
        <f>MAX((D5+D16),0)</f>
        <v>29667.599300671201</v>
      </c>
      <c r="E18" s="21">
        <f>MAX((E5+E16),0)</f>
        <v>1714.0105026032847</v>
      </c>
      <c r="F18" s="21">
        <f>MAX((F5+F16),0)</f>
        <v>7242.5134821779848</v>
      </c>
      <c r="G18" s="21"/>
      <c r="H18" s="21"/>
      <c r="I18" s="21"/>
      <c r="J18" s="21">
        <f>MAX((J5+J16),0)</f>
        <v>456.02869270895621</v>
      </c>
      <c r="K18" s="21"/>
      <c r="L18" s="21">
        <f>MAX((L5+L16),0)</f>
        <v>0</v>
      </c>
      <c r="M18" s="21"/>
      <c r="N18" s="21">
        <f>MAX((N5+N16),0)</f>
        <v>13894.970621690567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0.20237265497669549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5600.0151007625318</v>
      </c>
      <c r="C22" s="23">
        <f ca="1">C18*C20</f>
        <v>0</v>
      </c>
      <c r="D22" s="23">
        <f>D18*D20</f>
        <v>5992.855058735583</v>
      </c>
      <c r="E22" s="23">
        <f>E18*E20</f>
        <v>389.08038409094564</v>
      </c>
      <c r="F22" s="23">
        <f>F18*F20</f>
        <v>1933.751099741522</v>
      </c>
      <c r="G22" s="23"/>
      <c r="H22" s="23"/>
      <c r="I22" s="23"/>
      <c r="J22" s="23">
        <f>J18*J20</f>
        <v>161.43415721897048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1686.9150670000001</v>
      </c>
      <c r="C30" s="39">
        <f>IF(ISERROR(B30*3.6/1000000/'E Balans VL '!Z18*100),0,B30*3.6/1000000/'E Balans VL '!Z18*100)</f>
        <v>0.35742113619145144</v>
      </c>
      <c r="D30" s="237" t="s">
        <v>660</v>
      </c>
    </row>
    <row r="31" spans="1:18">
      <c r="A31" s="6" t="s">
        <v>33</v>
      </c>
      <c r="B31" s="37">
        <f>IF( ISERROR(IND_ander_ele_kWh/1000),0,IND_ander_ele_kWh/1000)</f>
        <v>2795.3429248000002</v>
      </c>
      <c r="C31" s="39">
        <f>IF(ISERROR(B31*3.6/1000000/'E Balans VL '!Z19*100),0,B31*3.6/1000000/'E Balans VL '!Z19*100)</f>
        <v>0.11766233099255509</v>
      </c>
      <c r="D31" s="237" t="s">
        <v>660</v>
      </c>
    </row>
    <row r="32" spans="1:18">
      <c r="A32" s="171" t="s">
        <v>41</v>
      </c>
      <c r="B32" s="37">
        <f>IF( ISERROR(IND_voed_ele_kWh/1000),0,IND_voed_ele_kWh/1000)</f>
        <v>2237.2364238</v>
      </c>
      <c r="C32" s="39">
        <f>IF(ISERROR(B32*3.6/1000000/'E Balans VL '!Z20*100),0,B32*3.6/1000000/'E Balans VL '!Z20*100)</f>
        <v>0.37375565718500969</v>
      </c>
      <c r="D32" s="237" t="s">
        <v>660</v>
      </c>
    </row>
    <row r="33" spans="1:5">
      <c r="A33" s="171" t="s">
        <v>40</v>
      </c>
      <c r="B33" s="37">
        <f>IF( ISERROR(IND_textiel_ele_kWh/1000),0,IND_textiel_ele_kWh/1000)</f>
        <v>186.71529285</v>
      </c>
      <c r="C33" s="39">
        <f>IF(ISERROR(B33*3.6/1000000/'E Balans VL '!Z21*100),0,B33*3.6/1000000/'E Balans VL '!Z21*100)</f>
        <v>1.0900997545249418E-2</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4889.4015657</v>
      </c>
      <c r="C35" s="39">
        <f>IF(ISERROR(B35*3.6/1000000/'E Balans VL '!Z22*100),0,B35*3.6/1000000/'E Balans VL '!Z22*100)</f>
        <v>0.61975801691724053</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15876.186091</v>
      </c>
      <c r="C37" s="39">
        <f>IF(ISERROR(B37*3.6/1000000/'E Balans VL '!Z15*100),0,B37*3.6/1000000/'E Balans VL '!Z15*100)</f>
        <v>0.12817459785366225</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3979.4536768100002</v>
      </c>
      <c r="C5" s="17">
        <f>'Eigen informatie GS &amp; warmtenet'!B60</f>
        <v>0</v>
      </c>
      <c r="D5" s="30">
        <f>IF(ISERROR(SUM(LB_lb_gas_kWh,LB_rest_gas_kWh)/1000),0,SUM(LB_lb_gas_kWh,LB_rest_gas_kWh)/1000)*0.902</f>
        <v>322.28097966966004</v>
      </c>
      <c r="E5" s="17">
        <f>B17*'E Balans VL '!I25/3.6*1000000/100</f>
        <v>102.61483098932761</v>
      </c>
      <c r="F5" s="17">
        <f>B17*('E Balans VL '!L25/3.6*1000000+'E Balans VL '!N25/3.6*1000000)/100</f>
        <v>14545.661038879107</v>
      </c>
      <c r="G5" s="18"/>
      <c r="H5" s="17"/>
      <c r="I5" s="17"/>
      <c r="J5" s="17">
        <f>('E Balans VL '!D25+'E Balans VL '!E25)/3.6*1000000*landbouw!B17/100</f>
        <v>572.89493866288899</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3979.4536768100002</v>
      </c>
      <c r="C8" s="21">
        <f>C5+C6</f>
        <v>0</v>
      </c>
      <c r="D8" s="21">
        <f>MAX((D5+D6),0)</f>
        <v>322.28097966966004</v>
      </c>
      <c r="E8" s="21">
        <f>MAX((E5+E6),0)</f>
        <v>102.61483098932761</v>
      </c>
      <c r="F8" s="21">
        <f>MAX((F5+F6),0)</f>
        <v>14545.661038879107</v>
      </c>
      <c r="G8" s="21"/>
      <c r="H8" s="21"/>
      <c r="I8" s="21"/>
      <c r="J8" s="21">
        <f>MAX((J5+J6),0)</f>
        <v>572.89493866288899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0.20237265497669549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805.33260593281238</v>
      </c>
      <c r="C12" s="23">
        <f ca="1">C8*C10</f>
        <v>0</v>
      </c>
      <c r="D12" s="23">
        <f>D8*D10</f>
        <v>65.100757893271336</v>
      </c>
      <c r="E12" s="23">
        <f>E8*E10</f>
        <v>23.29356663457737</v>
      </c>
      <c r="F12" s="23">
        <f>F8*F10</f>
        <v>3883.6914973807216</v>
      </c>
      <c r="G12" s="23"/>
      <c r="H12" s="23"/>
      <c r="I12" s="23"/>
      <c r="J12" s="23">
        <f>J8*J10</f>
        <v>202.80480828666271</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0.56112932774031377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920.08298200518914</v>
      </c>
      <c r="C26" s="247">
        <f>B26*'GWP N2O_CH4'!B5</f>
        <v>19321.742622108974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406.56770581663278</v>
      </c>
      <c r="C27" s="247">
        <f>B27*'GWP N2O_CH4'!B5</f>
        <v>8537.9218221492883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12.724291957626377</v>
      </c>
      <c r="C28" s="247">
        <f>B28*'GWP N2O_CH4'!B4</f>
        <v>3944.5305068641769</v>
      </c>
      <c r="D28" s="50"/>
    </row>
    <row r="29" spans="1:4">
      <c r="A29" s="41" t="s">
        <v>277</v>
      </c>
      <c r="B29" s="247">
        <f>B34*'ha_N2O bodem landbouw'!B4</f>
        <v>30.703011098671606</v>
      </c>
      <c r="C29" s="247">
        <f>B29*'GWP N2O_CH4'!B4</f>
        <v>9517.9334405881982</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6.9098459473584187E-3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3.3255862676307747E-4</v>
      </c>
      <c r="C5" s="463" t="s">
        <v>211</v>
      </c>
      <c r="D5" s="448">
        <f>SUM(D6:D11)</f>
        <v>7.330565013297628E-4</v>
      </c>
      <c r="E5" s="448">
        <f>SUM(E6:E11)</f>
        <v>3.3277703735626355E-3</v>
      </c>
      <c r="F5" s="461" t="s">
        <v>211</v>
      </c>
      <c r="G5" s="448">
        <f>SUM(G6:G11)</f>
        <v>1.2134766737583313</v>
      </c>
      <c r="H5" s="448">
        <f>SUM(H6:H11)</f>
        <v>0.20326397134032512</v>
      </c>
      <c r="I5" s="463" t="s">
        <v>211</v>
      </c>
      <c r="J5" s="463" t="s">
        <v>211</v>
      </c>
      <c r="K5" s="463" t="s">
        <v>211</v>
      </c>
      <c r="L5" s="463" t="s">
        <v>211</v>
      </c>
      <c r="M5" s="448">
        <f>SUM(M6:M11)</f>
        <v>4.4319577964768236E-2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6.2929921066157067E-5</v>
      </c>
      <c r="C6" s="449"/>
      <c r="D6" s="892">
        <f>vkm_2011_GW_PW*SUMIFS(TableVerdeelsleutelVkm[CNG],TableVerdeelsleutelVkm[Voertuigtype],"Lichte voertuigen")*SUMIFS(TableECFTransport[EnergieConsumptieFactor (PJ per km)],TableECFTransport[Index],CONCATENATE($A6,"_CNG_CNG"))</f>
        <v>1.2504285547258506E-4</v>
      </c>
      <c r="E6" s="892">
        <f>vkm_2011_GW_PW*SUMIFS(TableVerdeelsleutelVkm[LPG],TableVerdeelsleutelVkm[Voertuigtype],"Lichte voertuigen")*SUMIFS(TableECFTransport[EnergieConsumptieFactor (PJ per km)],TableECFTransport[Index],CONCATENATE($A6,"_LPG_LPG"))</f>
        <v>4.9208846078806418E-4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0.11700175143574588</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3.3852862807569509E-2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4.7007690810092389E-3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6.5820845295978578E-2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2.1262944469788887E-5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2.0739141243762637E-3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3.2791553432215655E-5</v>
      </c>
      <c r="C8" s="449"/>
      <c r="D8" s="451">
        <f>vkm_2011_NGW_PW*SUMIFS(TableVerdeelsleutelVkm[CNG],TableVerdeelsleutelVkm[Voertuigtype],"Lichte voertuigen")*SUMIFS(TableECFTransport[EnergieConsumptieFactor (PJ per km)],TableECFTransport[Index],CONCATENATE($A8,"_CNG_CNG"))</f>
        <v>1.1536997079010038E-4</v>
      </c>
      <c r="E8" s="451">
        <f>vkm_2011_NGW_PW*SUMIFS(TableVerdeelsleutelVkm[LPG],TableVerdeelsleutelVkm[Voertuigtype],"Lichte voertuigen")*SUMIFS(TableECFTransport[EnergieConsumptieFactor (PJ per km)],TableECFTransport[Index],CONCATENATE($A8,"_LPG_LPG"))</f>
        <v>4.1989031795658193E-4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9.3227454132939494E-2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3.0286306733081247E-2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3.8449351794481368E-3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2.8343304652672961E-2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8.6591198972577643E-6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8.9303925621588877E-4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2.3683715226470475E-4</v>
      </c>
      <c r="C10" s="449"/>
      <c r="D10" s="451">
        <f>vkm_2011_SW_PW*SUMIFS(TableVerdeelsleutelVkm[CNG],TableVerdeelsleutelVkm[Voertuigtype],"Lichte voertuigen")*SUMIFS(TableECFTransport[EnergieConsumptieFactor (PJ per km)],TableECFTransport[Index],CONCATENATE($A10,"_CNG_CNG"))</f>
        <v>4.9264367506707729E-4</v>
      </c>
      <c r="E10" s="451">
        <f>vkm_2011_SW_PW*SUMIFS(TableVerdeelsleutelVkm[LPG],TableVerdeelsleutelVkm[Voertuigtype],"Lichte voertuigen")*SUMIFS(TableECFTransport[EnergieConsumptieFactor (PJ per km)],TableECFTransport[Index],CONCATENATE($A10,"_LPG_LPG"))</f>
        <v>2.4157915948179896E-3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0.51453587248610388</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0.13895755414711597</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2.037503796512595E-2</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0.39454744575489065</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1.3732558819133965E-4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1.2431882358592758E-2</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92.377396323077065</v>
      </c>
      <c r="C14" s="21"/>
      <c r="D14" s="21">
        <f t="shared" ref="D14:M14" si="0">((D5)*10^9/3600)+D12</f>
        <v>203.6268059249341</v>
      </c>
      <c r="E14" s="21">
        <f t="shared" si="0"/>
        <v>924.38065932295433</v>
      </c>
      <c r="F14" s="21"/>
      <c r="G14" s="21">
        <f t="shared" si="0"/>
        <v>337076.8538217587</v>
      </c>
      <c r="H14" s="21">
        <f t="shared" si="0"/>
        <v>56462.214261201421</v>
      </c>
      <c r="I14" s="21"/>
      <c r="J14" s="21"/>
      <c r="K14" s="21"/>
      <c r="L14" s="21"/>
      <c r="M14" s="21">
        <f t="shared" si="0"/>
        <v>12310.993879102289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0.20237265497669549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18.694658953735534</v>
      </c>
      <c r="C18" s="23"/>
      <c r="D18" s="23">
        <f t="shared" ref="D18:M18" si="1">D14*D16</f>
        <v>41.132614796836691</v>
      </c>
      <c r="E18" s="23">
        <f t="shared" si="1"/>
        <v>209.83440966631065</v>
      </c>
      <c r="F18" s="23"/>
      <c r="G18" s="23">
        <f t="shared" si="1"/>
        <v>89999.519970409572</v>
      </c>
      <c r="H18" s="23">
        <f t="shared" si="1"/>
        <v>14059.091351039155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5.8719850457341306E-3</v>
      </c>
      <c r="H50" s="321">
        <f t="shared" si="2"/>
        <v>0</v>
      </c>
      <c r="I50" s="321">
        <f t="shared" si="2"/>
        <v>0</v>
      </c>
      <c r="J50" s="321">
        <f t="shared" si="2"/>
        <v>0</v>
      </c>
      <c r="K50" s="321">
        <f t="shared" si="2"/>
        <v>0</v>
      </c>
      <c r="L50" s="321">
        <f t="shared" si="2"/>
        <v>0</v>
      </c>
      <c r="M50" s="321">
        <f t="shared" si="2"/>
        <v>1.8213583941890666E-4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5.8719850457341306E-3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1.8213583941890666E-4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1631.1069571483697</v>
      </c>
      <c r="H54" s="21">
        <f t="shared" si="3"/>
        <v>0</v>
      </c>
      <c r="I54" s="21">
        <f t="shared" si="3"/>
        <v>0</v>
      </c>
      <c r="J54" s="21">
        <f t="shared" si="3"/>
        <v>0</v>
      </c>
      <c r="K54" s="21">
        <f t="shared" si="3"/>
        <v>0</v>
      </c>
      <c r="L54" s="21">
        <f t="shared" si="3"/>
        <v>0</v>
      </c>
      <c r="M54" s="21">
        <f t="shared" si="3"/>
        <v>50.593288727474075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0.20237265497669549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435.50555755861473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30373.389807030002</v>
      </c>
      <c r="D10" s="1012">
        <f ca="1">tertiair!C16</f>
        <v>0</v>
      </c>
      <c r="E10" s="1012">
        <f ca="1">tertiair!D16</f>
        <v>25597.233776248861</v>
      </c>
      <c r="F10" s="1012">
        <f>tertiair!E16</f>
        <v>595.17320752566468</v>
      </c>
      <c r="G10" s="1012">
        <f ca="1">tertiair!F16</f>
        <v>7269.2559364455437</v>
      </c>
      <c r="H10" s="1012">
        <f>tertiair!G16</f>
        <v>0</v>
      </c>
      <c r="I10" s="1012">
        <f>tertiair!H16</f>
        <v>0</v>
      </c>
      <c r="J10" s="1012">
        <f>tertiair!I16</f>
        <v>0</v>
      </c>
      <c r="K10" s="1012">
        <f>tertiair!J16</f>
        <v>0</v>
      </c>
      <c r="L10" s="1012">
        <f>tertiair!K16</f>
        <v>0</v>
      </c>
      <c r="M10" s="1012">
        <f ca="1">tertiair!L16</f>
        <v>0</v>
      </c>
      <c r="N10" s="1012">
        <f>tertiair!M16</f>
        <v>0</v>
      </c>
      <c r="O10" s="1012">
        <f ca="1">tertiair!N16</f>
        <v>2254.0190661561674</v>
      </c>
      <c r="P10" s="1012">
        <f>tertiair!O16</f>
        <v>4.6900000000000004</v>
      </c>
      <c r="Q10" s="1013">
        <f>tertiair!P16</f>
        <v>0</v>
      </c>
      <c r="R10" s="700">
        <f ca="1">SUM(C10:Q10)</f>
        <v>66093.761793406244</v>
      </c>
      <c r="S10" s="67"/>
    </row>
    <row r="11" spans="1:19" s="473" customFormat="1">
      <c r="A11" s="809" t="s">
        <v>225</v>
      </c>
      <c r="B11" s="814"/>
      <c r="C11" s="1012">
        <f>huishoudens!B8</f>
        <v>44020.965312135442</v>
      </c>
      <c r="D11" s="1012">
        <f>huishoudens!C8</f>
        <v>0</v>
      </c>
      <c r="E11" s="1012">
        <f>huishoudens!D8</f>
        <v>72044.497866308011</v>
      </c>
      <c r="F11" s="1012">
        <f>huishoudens!E8</f>
        <v>10766.797627558992</v>
      </c>
      <c r="G11" s="1012">
        <f>huishoudens!F8</f>
        <v>22411.821315078407</v>
      </c>
      <c r="H11" s="1012">
        <f>huishoudens!G8</f>
        <v>0</v>
      </c>
      <c r="I11" s="1012">
        <f>huishoudens!H8</f>
        <v>0</v>
      </c>
      <c r="J11" s="1012">
        <f>huishoudens!I8</f>
        <v>0</v>
      </c>
      <c r="K11" s="1012">
        <f>huishoudens!J8</f>
        <v>442.65049572918736</v>
      </c>
      <c r="L11" s="1012">
        <f>huishoudens!K8</f>
        <v>0</v>
      </c>
      <c r="M11" s="1012">
        <f>huishoudens!L8</f>
        <v>0</v>
      </c>
      <c r="N11" s="1012">
        <f>huishoudens!M8</f>
        <v>0</v>
      </c>
      <c r="O11" s="1012">
        <f>huishoudens!N8</f>
        <v>29010.291575132134</v>
      </c>
      <c r="P11" s="1012">
        <f>huishoudens!O8</f>
        <v>473.69000000000005</v>
      </c>
      <c r="Q11" s="1013">
        <f>huishoudens!P8</f>
        <v>1048.6666666666667</v>
      </c>
      <c r="R11" s="700">
        <f>SUM(C11:Q11)</f>
        <v>180219.38085860884</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27671.79736515</v>
      </c>
      <c r="D13" s="1012">
        <f>industrie!C18</f>
        <v>0</v>
      </c>
      <c r="E13" s="1012">
        <f>industrie!D18</f>
        <v>29667.599300671201</v>
      </c>
      <c r="F13" s="1012">
        <f>industrie!E18</f>
        <v>1714.0105026032847</v>
      </c>
      <c r="G13" s="1012">
        <f>industrie!F18</f>
        <v>7242.5134821779848</v>
      </c>
      <c r="H13" s="1012">
        <f>industrie!G18</f>
        <v>0</v>
      </c>
      <c r="I13" s="1012">
        <f>industrie!H18</f>
        <v>0</v>
      </c>
      <c r="J13" s="1012">
        <f>industrie!I18</f>
        <v>0</v>
      </c>
      <c r="K13" s="1012">
        <f>industrie!J18</f>
        <v>456.02869270895621</v>
      </c>
      <c r="L13" s="1012">
        <f>industrie!K18</f>
        <v>0</v>
      </c>
      <c r="M13" s="1012">
        <f>industrie!L18</f>
        <v>0</v>
      </c>
      <c r="N13" s="1012">
        <f>industrie!M18</f>
        <v>0</v>
      </c>
      <c r="O13" s="1012">
        <f>industrie!N18</f>
        <v>13894.970621690567</v>
      </c>
      <c r="P13" s="1012">
        <f>industrie!O18</f>
        <v>0</v>
      </c>
      <c r="Q13" s="1013">
        <f>industrie!P18</f>
        <v>0</v>
      </c>
      <c r="R13" s="700">
        <f>SUM(C13:Q13)</f>
        <v>80646.919965001987</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102066.15248431545</v>
      </c>
      <c r="D16" s="732">
        <f t="shared" ref="D16:R16" ca="1" si="0">SUM(D9:D15)</f>
        <v>0</v>
      </c>
      <c r="E16" s="732">
        <f t="shared" ca="1" si="0"/>
        <v>127309.33094322807</v>
      </c>
      <c r="F16" s="732">
        <f t="shared" si="0"/>
        <v>13075.981337687941</v>
      </c>
      <c r="G16" s="732">
        <f t="shared" ca="1" si="0"/>
        <v>36923.590733701938</v>
      </c>
      <c r="H16" s="732">
        <f t="shared" si="0"/>
        <v>0</v>
      </c>
      <c r="I16" s="732">
        <f t="shared" si="0"/>
        <v>0</v>
      </c>
      <c r="J16" s="732">
        <f t="shared" si="0"/>
        <v>0</v>
      </c>
      <c r="K16" s="732">
        <f t="shared" si="0"/>
        <v>898.67918843814357</v>
      </c>
      <c r="L16" s="732">
        <f t="shared" si="0"/>
        <v>0</v>
      </c>
      <c r="M16" s="732">
        <f t="shared" ca="1" si="0"/>
        <v>0</v>
      </c>
      <c r="N16" s="732">
        <f t="shared" si="0"/>
        <v>0</v>
      </c>
      <c r="O16" s="732">
        <f t="shared" ca="1" si="0"/>
        <v>45159.281262978868</v>
      </c>
      <c r="P16" s="732">
        <f t="shared" si="0"/>
        <v>478.38000000000005</v>
      </c>
      <c r="Q16" s="732">
        <f t="shared" si="0"/>
        <v>1048.6666666666667</v>
      </c>
      <c r="R16" s="732">
        <f t="shared" ca="1" si="0"/>
        <v>326960.06261701707</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1631.1069571483697</v>
      </c>
      <c r="I19" s="1012">
        <f>transport!H54</f>
        <v>0</v>
      </c>
      <c r="J19" s="1012">
        <f>transport!I54</f>
        <v>0</v>
      </c>
      <c r="K19" s="1012">
        <f>transport!J54</f>
        <v>0</v>
      </c>
      <c r="L19" s="1012">
        <f>transport!K54</f>
        <v>0</v>
      </c>
      <c r="M19" s="1012">
        <f>transport!L54</f>
        <v>0</v>
      </c>
      <c r="N19" s="1012">
        <f>transport!M54</f>
        <v>50.593288727474075</v>
      </c>
      <c r="O19" s="1012">
        <f>transport!N54</f>
        <v>0</v>
      </c>
      <c r="P19" s="1012">
        <f>transport!O54</f>
        <v>0</v>
      </c>
      <c r="Q19" s="1013">
        <f>transport!P54</f>
        <v>0</v>
      </c>
      <c r="R19" s="700">
        <f>SUM(C19:Q19)</f>
        <v>1681.7002458758438</v>
      </c>
      <c r="S19" s="67"/>
    </row>
    <row r="20" spans="1:19" s="473" customFormat="1">
      <c r="A20" s="809" t="s">
        <v>307</v>
      </c>
      <c r="B20" s="814"/>
      <c r="C20" s="1012">
        <f>transport!B14</f>
        <v>92.377396323077065</v>
      </c>
      <c r="D20" s="1012">
        <f>transport!C14</f>
        <v>0</v>
      </c>
      <c r="E20" s="1012">
        <f>transport!D14</f>
        <v>203.6268059249341</v>
      </c>
      <c r="F20" s="1012">
        <f>transport!E14</f>
        <v>924.38065932295433</v>
      </c>
      <c r="G20" s="1012">
        <f>transport!F14</f>
        <v>0</v>
      </c>
      <c r="H20" s="1012">
        <f>transport!G14</f>
        <v>337076.8538217587</v>
      </c>
      <c r="I20" s="1012">
        <f>transport!H14</f>
        <v>56462.214261201421</v>
      </c>
      <c r="J20" s="1012">
        <f>transport!I14</f>
        <v>0</v>
      </c>
      <c r="K20" s="1012">
        <f>transport!J14</f>
        <v>0</v>
      </c>
      <c r="L20" s="1012">
        <f>transport!K14</f>
        <v>0</v>
      </c>
      <c r="M20" s="1012">
        <f>transport!L14</f>
        <v>0</v>
      </c>
      <c r="N20" s="1012">
        <f>transport!M14</f>
        <v>12310.993879102289</v>
      </c>
      <c r="O20" s="1012">
        <f>transport!N14</f>
        <v>0</v>
      </c>
      <c r="P20" s="1012">
        <f>transport!O14</f>
        <v>0</v>
      </c>
      <c r="Q20" s="1013">
        <f>transport!P14</f>
        <v>0</v>
      </c>
      <c r="R20" s="700">
        <f>SUM(C20:Q20)</f>
        <v>407070.44682363339</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92.377396323077065</v>
      </c>
      <c r="D22" s="812">
        <f t="shared" ref="D22:R22" si="1">SUM(D18:D21)</f>
        <v>0</v>
      </c>
      <c r="E22" s="812">
        <f t="shared" si="1"/>
        <v>203.6268059249341</v>
      </c>
      <c r="F22" s="812">
        <f t="shared" si="1"/>
        <v>924.38065932295433</v>
      </c>
      <c r="G22" s="812">
        <f t="shared" si="1"/>
        <v>0</v>
      </c>
      <c r="H22" s="812">
        <f t="shared" si="1"/>
        <v>338707.96077890706</v>
      </c>
      <c r="I22" s="812">
        <f t="shared" si="1"/>
        <v>56462.214261201421</v>
      </c>
      <c r="J22" s="812">
        <f t="shared" si="1"/>
        <v>0</v>
      </c>
      <c r="K22" s="812">
        <f t="shared" si="1"/>
        <v>0</v>
      </c>
      <c r="L22" s="812">
        <f t="shared" si="1"/>
        <v>0</v>
      </c>
      <c r="M22" s="812">
        <f t="shared" si="1"/>
        <v>0</v>
      </c>
      <c r="N22" s="812">
        <f t="shared" si="1"/>
        <v>12361.587167829763</v>
      </c>
      <c r="O22" s="812">
        <f t="shared" si="1"/>
        <v>0</v>
      </c>
      <c r="P22" s="812">
        <f t="shared" si="1"/>
        <v>0</v>
      </c>
      <c r="Q22" s="812">
        <f t="shared" si="1"/>
        <v>0</v>
      </c>
      <c r="R22" s="812">
        <f t="shared" si="1"/>
        <v>408752.14706950926</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3979.4536768100002</v>
      </c>
      <c r="D24" s="1012">
        <f>+landbouw!C8</f>
        <v>0</v>
      </c>
      <c r="E24" s="1012">
        <f>+landbouw!D8</f>
        <v>322.28097966966004</v>
      </c>
      <c r="F24" s="1012">
        <f>+landbouw!E8</f>
        <v>102.61483098932761</v>
      </c>
      <c r="G24" s="1012">
        <f>+landbouw!F8</f>
        <v>14545.661038879107</v>
      </c>
      <c r="H24" s="1012">
        <f>+landbouw!G8</f>
        <v>0</v>
      </c>
      <c r="I24" s="1012">
        <f>+landbouw!H8</f>
        <v>0</v>
      </c>
      <c r="J24" s="1012">
        <f>+landbouw!I8</f>
        <v>0</v>
      </c>
      <c r="K24" s="1012">
        <f>+landbouw!J8</f>
        <v>572.89493866288899</v>
      </c>
      <c r="L24" s="1012">
        <f>+landbouw!K8</f>
        <v>0</v>
      </c>
      <c r="M24" s="1012">
        <f>+landbouw!L8</f>
        <v>0</v>
      </c>
      <c r="N24" s="1012">
        <f>+landbouw!M8</f>
        <v>0</v>
      </c>
      <c r="O24" s="1012">
        <f>+landbouw!N8</f>
        <v>0</v>
      </c>
      <c r="P24" s="1012">
        <f>+landbouw!O8</f>
        <v>0</v>
      </c>
      <c r="Q24" s="1013">
        <f>+landbouw!P8</f>
        <v>0</v>
      </c>
      <c r="R24" s="700">
        <f>SUM(C24:Q24)</f>
        <v>19522.905465010983</v>
      </c>
      <c r="S24" s="67"/>
    </row>
    <row r="25" spans="1:19" s="473" customFormat="1" ht="15" thickBot="1">
      <c r="A25" s="831" t="s">
        <v>848</v>
      </c>
      <c r="B25" s="1015"/>
      <c r="C25" s="1016">
        <f>IF(Onbekend_ele_kWh="---",0,Onbekend_ele_kWh)/1000+IF(REST_rest_ele_kWh="---",0,REST_rest_ele_kWh)/1000</f>
        <v>1538.6067419000001</v>
      </c>
      <c r="D25" s="1016"/>
      <c r="E25" s="1016">
        <f>IF(onbekend_gas_kWh="---",0,onbekend_gas_kWh)/1000+IF(REST_rest_gas_kWh="---",0,REST_rest_gas_kWh)/1000</f>
        <v>1673.5751409</v>
      </c>
      <c r="F25" s="1016"/>
      <c r="G25" s="1016"/>
      <c r="H25" s="1016"/>
      <c r="I25" s="1016"/>
      <c r="J25" s="1016"/>
      <c r="K25" s="1016"/>
      <c r="L25" s="1016"/>
      <c r="M25" s="1016"/>
      <c r="N25" s="1016"/>
      <c r="O25" s="1016"/>
      <c r="P25" s="1016"/>
      <c r="Q25" s="1017"/>
      <c r="R25" s="700">
        <f>SUM(C25:Q25)</f>
        <v>3212.1818828</v>
      </c>
      <c r="S25" s="67"/>
    </row>
    <row r="26" spans="1:19" s="473" customFormat="1" ht="15.75" thickBot="1">
      <c r="A26" s="705" t="s">
        <v>849</v>
      </c>
      <c r="B26" s="817"/>
      <c r="C26" s="812">
        <f>SUM(C24:C25)</f>
        <v>5518.0604187099998</v>
      </c>
      <c r="D26" s="812">
        <f t="shared" ref="D26:R26" si="2">SUM(D24:D25)</f>
        <v>0</v>
      </c>
      <c r="E26" s="812">
        <f t="shared" si="2"/>
        <v>1995.8561205696601</v>
      </c>
      <c r="F26" s="812">
        <f t="shared" si="2"/>
        <v>102.61483098932761</v>
      </c>
      <c r="G26" s="812">
        <f t="shared" si="2"/>
        <v>14545.661038879107</v>
      </c>
      <c r="H26" s="812">
        <f t="shared" si="2"/>
        <v>0</v>
      </c>
      <c r="I26" s="812">
        <f t="shared" si="2"/>
        <v>0</v>
      </c>
      <c r="J26" s="812">
        <f t="shared" si="2"/>
        <v>0</v>
      </c>
      <c r="K26" s="812">
        <f t="shared" si="2"/>
        <v>572.89493866288899</v>
      </c>
      <c r="L26" s="812">
        <f t="shared" si="2"/>
        <v>0</v>
      </c>
      <c r="M26" s="812">
        <f t="shared" si="2"/>
        <v>0</v>
      </c>
      <c r="N26" s="812">
        <f t="shared" si="2"/>
        <v>0</v>
      </c>
      <c r="O26" s="812">
        <f t="shared" si="2"/>
        <v>0</v>
      </c>
      <c r="P26" s="812">
        <f t="shared" si="2"/>
        <v>0</v>
      </c>
      <c r="Q26" s="812">
        <f t="shared" si="2"/>
        <v>0</v>
      </c>
      <c r="R26" s="812">
        <f t="shared" si="2"/>
        <v>22735.087347810982</v>
      </c>
      <c r="S26" s="67"/>
    </row>
    <row r="27" spans="1:19" s="473" customFormat="1" ht="17.25" thickTop="1" thickBot="1">
      <c r="A27" s="706" t="s">
        <v>116</v>
      </c>
      <c r="B27" s="805"/>
      <c r="C27" s="707">
        <f ca="1">C22+C16+C26</f>
        <v>107676.59029934852</v>
      </c>
      <c r="D27" s="707">
        <f t="shared" ref="D27:R27" ca="1" si="3">D22+D16+D26</f>
        <v>0</v>
      </c>
      <c r="E27" s="707">
        <f t="shared" ca="1" si="3"/>
        <v>129508.81386972265</v>
      </c>
      <c r="F27" s="707">
        <f t="shared" si="3"/>
        <v>14102.976828000223</v>
      </c>
      <c r="G27" s="707">
        <f t="shared" ca="1" si="3"/>
        <v>51469.251772581047</v>
      </c>
      <c r="H27" s="707">
        <f t="shared" si="3"/>
        <v>338707.96077890706</v>
      </c>
      <c r="I27" s="707">
        <f t="shared" si="3"/>
        <v>56462.214261201421</v>
      </c>
      <c r="J27" s="707">
        <f t="shared" si="3"/>
        <v>0</v>
      </c>
      <c r="K27" s="707">
        <f t="shared" si="3"/>
        <v>1471.5741271010324</v>
      </c>
      <c r="L27" s="707">
        <f t="shared" si="3"/>
        <v>0</v>
      </c>
      <c r="M27" s="707">
        <f t="shared" ca="1" si="3"/>
        <v>0</v>
      </c>
      <c r="N27" s="707">
        <f t="shared" si="3"/>
        <v>12361.587167829763</v>
      </c>
      <c r="O27" s="707">
        <f t="shared" ca="1" si="3"/>
        <v>45159.281262978868</v>
      </c>
      <c r="P27" s="707">
        <f t="shared" si="3"/>
        <v>478.38000000000005</v>
      </c>
      <c r="Q27" s="707">
        <f t="shared" si="3"/>
        <v>1048.6666666666667</v>
      </c>
      <c r="R27" s="707">
        <f t="shared" ca="1" si="3"/>
        <v>758447.2970343373</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6146.7435358907624</v>
      </c>
      <c r="D40" s="1012">
        <f ca="1">tertiair!C20</f>
        <v>0</v>
      </c>
      <c r="E40" s="1012">
        <f ca="1">tertiair!D20</f>
        <v>5170.64122280227</v>
      </c>
      <c r="F40" s="1012">
        <f>tertiair!E20</f>
        <v>135.10431810832588</v>
      </c>
      <c r="G40" s="1012">
        <f ca="1">tertiair!F20</f>
        <v>1940.8913350309604</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13393.380411832317</v>
      </c>
    </row>
    <row r="41" spans="1:18">
      <c r="A41" s="822" t="s">
        <v>225</v>
      </c>
      <c r="B41" s="829"/>
      <c r="C41" s="1012">
        <f ca="1">huishoudens!B12</f>
        <v>8908.6396248538658</v>
      </c>
      <c r="D41" s="1012">
        <f ca="1">huishoudens!C12</f>
        <v>0</v>
      </c>
      <c r="E41" s="1012">
        <f>huishoudens!D12</f>
        <v>14552.988568994218</v>
      </c>
      <c r="F41" s="1012">
        <f>huishoudens!E12</f>
        <v>2444.0630614558913</v>
      </c>
      <c r="G41" s="1012">
        <f>huishoudens!F12</f>
        <v>5983.9562911259345</v>
      </c>
      <c r="H41" s="1012">
        <f>huishoudens!G12</f>
        <v>0</v>
      </c>
      <c r="I41" s="1012">
        <f>huishoudens!H12</f>
        <v>0</v>
      </c>
      <c r="J41" s="1012">
        <f>huishoudens!I12</f>
        <v>0</v>
      </c>
      <c r="K41" s="1012">
        <f>huishoudens!J12</f>
        <v>156.69827548813231</v>
      </c>
      <c r="L41" s="1012">
        <f>huishoudens!K12</f>
        <v>0</v>
      </c>
      <c r="M41" s="1012">
        <f>huishoudens!L12</f>
        <v>0</v>
      </c>
      <c r="N41" s="1012">
        <f>huishoudens!M12</f>
        <v>0</v>
      </c>
      <c r="O41" s="1012">
        <f>huishoudens!N12</f>
        <v>0</v>
      </c>
      <c r="P41" s="1012">
        <f>huishoudens!O12</f>
        <v>0</v>
      </c>
      <c r="Q41" s="774">
        <f>huishoudens!P12</f>
        <v>0</v>
      </c>
      <c r="R41" s="850">
        <f t="shared" ca="1" si="4"/>
        <v>32046.345821918039</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5600.0151007625318</v>
      </c>
      <c r="D43" s="1012">
        <f ca="1">industrie!C22</f>
        <v>0</v>
      </c>
      <c r="E43" s="1012">
        <f>industrie!D22</f>
        <v>5992.855058735583</v>
      </c>
      <c r="F43" s="1012">
        <f>industrie!E22</f>
        <v>389.08038409094564</v>
      </c>
      <c r="G43" s="1012">
        <f>industrie!F22</f>
        <v>1933.751099741522</v>
      </c>
      <c r="H43" s="1012">
        <f>industrie!G22</f>
        <v>0</v>
      </c>
      <c r="I43" s="1012">
        <f>industrie!H22</f>
        <v>0</v>
      </c>
      <c r="J43" s="1012">
        <f>industrie!I22</f>
        <v>0</v>
      </c>
      <c r="K43" s="1012">
        <f>industrie!J22</f>
        <v>161.43415721897048</v>
      </c>
      <c r="L43" s="1012">
        <f>industrie!K22</f>
        <v>0</v>
      </c>
      <c r="M43" s="1012">
        <f>industrie!L22</f>
        <v>0</v>
      </c>
      <c r="N43" s="1012">
        <f>industrie!M22</f>
        <v>0</v>
      </c>
      <c r="O43" s="1012">
        <f>industrie!N22</f>
        <v>0</v>
      </c>
      <c r="P43" s="1012">
        <f>industrie!O22</f>
        <v>0</v>
      </c>
      <c r="Q43" s="774">
        <f>industrie!P22</f>
        <v>0</v>
      </c>
      <c r="R43" s="849">
        <f t="shared" ca="1" si="4"/>
        <v>14077.135800549549</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20655.398261507158</v>
      </c>
      <c r="D46" s="732">
        <f t="shared" ref="D46:Q46" ca="1" si="5">SUM(D39:D45)</f>
        <v>0</v>
      </c>
      <c r="E46" s="732">
        <f t="shared" ca="1" si="5"/>
        <v>25716.48485053207</v>
      </c>
      <c r="F46" s="732">
        <f t="shared" si="5"/>
        <v>2968.247763655163</v>
      </c>
      <c r="G46" s="732">
        <f t="shared" ca="1" si="5"/>
        <v>9858.5987258984169</v>
      </c>
      <c r="H46" s="732">
        <f t="shared" si="5"/>
        <v>0</v>
      </c>
      <c r="I46" s="732">
        <f t="shared" si="5"/>
        <v>0</v>
      </c>
      <c r="J46" s="732">
        <f t="shared" si="5"/>
        <v>0</v>
      </c>
      <c r="K46" s="732">
        <f t="shared" si="5"/>
        <v>318.13243270710279</v>
      </c>
      <c r="L46" s="732">
        <f t="shared" si="5"/>
        <v>0</v>
      </c>
      <c r="M46" s="732">
        <f t="shared" ca="1" si="5"/>
        <v>0</v>
      </c>
      <c r="N46" s="732">
        <f t="shared" si="5"/>
        <v>0</v>
      </c>
      <c r="O46" s="732">
        <f t="shared" ca="1" si="5"/>
        <v>0</v>
      </c>
      <c r="P46" s="732">
        <f t="shared" si="5"/>
        <v>0</v>
      </c>
      <c r="Q46" s="732">
        <f t="shared" si="5"/>
        <v>0</v>
      </c>
      <c r="R46" s="732">
        <f ca="1">SUM(R39:R45)</f>
        <v>59516.862034299906</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435.50555755861473</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435.50555755861473</v>
      </c>
    </row>
    <row r="50" spans="1:18">
      <c r="A50" s="825" t="s">
        <v>307</v>
      </c>
      <c r="B50" s="835"/>
      <c r="C50" s="703">
        <f ca="1">transport!B18</f>
        <v>18.694658953735534</v>
      </c>
      <c r="D50" s="703">
        <f>transport!C18</f>
        <v>0</v>
      </c>
      <c r="E50" s="703">
        <f>transport!D18</f>
        <v>41.132614796836691</v>
      </c>
      <c r="F50" s="703">
        <f>transport!E18</f>
        <v>209.83440966631065</v>
      </c>
      <c r="G50" s="703">
        <f>transport!F18</f>
        <v>0</v>
      </c>
      <c r="H50" s="703">
        <f>transport!G18</f>
        <v>89999.519970409572</v>
      </c>
      <c r="I50" s="703">
        <f>transport!H18</f>
        <v>14059.091351039155</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104328.27300486561</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18.694658953735534</v>
      </c>
      <c r="D52" s="732">
        <f t="shared" ref="D52:Q52" ca="1" si="6">SUM(D48:D51)</f>
        <v>0</v>
      </c>
      <c r="E52" s="732">
        <f t="shared" si="6"/>
        <v>41.132614796836691</v>
      </c>
      <c r="F52" s="732">
        <f t="shared" si="6"/>
        <v>209.83440966631065</v>
      </c>
      <c r="G52" s="732">
        <f t="shared" si="6"/>
        <v>0</v>
      </c>
      <c r="H52" s="732">
        <f t="shared" si="6"/>
        <v>90435.025527968188</v>
      </c>
      <c r="I52" s="732">
        <f t="shared" si="6"/>
        <v>14059.091351039155</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104763.77856242422</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805.33260593281238</v>
      </c>
      <c r="D54" s="703">
        <f ca="1">+landbouw!C12</f>
        <v>0</v>
      </c>
      <c r="E54" s="703">
        <f>+landbouw!D12</f>
        <v>65.100757893271336</v>
      </c>
      <c r="F54" s="703">
        <f>+landbouw!E12</f>
        <v>23.29356663457737</v>
      </c>
      <c r="G54" s="703">
        <f>+landbouw!F12</f>
        <v>3883.6914973807216</v>
      </c>
      <c r="H54" s="703">
        <f>+landbouw!G12</f>
        <v>0</v>
      </c>
      <c r="I54" s="703">
        <f>+landbouw!H12</f>
        <v>0</v>
      </c>
      <c r="J54" s="703">
        <f>+landbouw!I12</f>
        <v>0</v>
      </c>
      <c r="K54" s="703">
        <f>+landbouw!J12</f>
        <v>202.80480828666271</v>
      </c>
      <c r="L54" s="703">
        <f>+landbouw!K12</f>
        <v>0</v>
      </c>
      <c r="M54" s="703">
        <f>+landbouw!L12</f>
        <v>0</v>
      </c>
      <c r="N54" s="703">
        <f>+landbouw!M12</f>
        <v>0</v>
      </c>
      <c r="O54" s="703">
        <f>+landbouw!N12</f>
        <v>0</v>
      </c>
      <c r="P54" s="703">
        <f>+landbouw!O12</f>
        <v>0</v>
      </c>
      <c r="Q54" s="704">
        <f>+landbouw!P12</f>
        <v>0</v>
      </c>
      <c r="R54" s="731">
        <f ca="1">SUM(C54:Q54)</f>
        <v>4980.2232361280448</v>
      </c>
    </row>
    <row r="55" spans="1:18" ht="15" thickBot="1">
      <c r="A55" s="825" t="s">
        <v>848</v>
      </c>
      <c r="B55" s="835"/>
      <c r="C55" s="703">
        <f ca="1">C25*'EF ele_warmte'!B12</f>
        <v>311.3719313233463</v>
      </c>
      <c r="D55" s="703"/>
      <c r="E55" s="703">
        <f>E25*EF_CO2_aardgas</f>
        <v>338.06217846179999</v>
      </c>
      <c r="F55" s="703"/>
      <c r="G55" s="703"/>
      <c r="H55" s="703"/>
      <c r="I55" s="703"/>
      <c r="J55" s="703"/>
      <c r="K55" s="703"/>
      <c r="L55" s="703"/>
      <c r="M55" s="703"/>
      <c r="N55" s="703"/>
      <c r="O55" s="703"/>
      <c r="P55" s="703"/>
      <c r="Q55" s="704"/>
      <c r="R55" s="731">
        <f ca="1">SUM(C55:Q55)</f>
        <v>649.43410978514635</v>
      </c>
    </row>
    <row r="56" spans="1:18" ht="15.75" thickBot="1">
      <c r="A56" s="823" t="s">
        <v>849</v>
      </c>
      <c r="B56" s="836"/>
      <c r="C56" s="732">
        <f ca="1">SUM(C54:C55)</f>
        <v>1116.7045372561588</v>
      </c>
      <c r="D56" s="732">
        <f t="shared" ref="D56:Q56" ca="1" si="7">SUM(D54:D55)</f>
        <v>0</v>
      </c>
      <c r="E56" s="732">
        <f t="shared" si="7"/>
        <v>403.16293635507134</v>
      </c>
      <c r="F56" s="732">
        <f t="shared" si="7"/>
        <v>23.29356663457737</v>
      </c>
      <c r="G56" s="732">
        <f t="shared" si="7"/>
        <v>3883.6914973807216</v>
      </c>
      <c r="H56" s="732">
        <f t="shared" si="7"/>
        <v>0</v>
      </c>
      <c r="I56" s="732">
        <f t="shared" si="7"/>
        <v>0</v>
      </c>
      <c r="J56" s="732">
        <f t="shared" si="7"/>
        <v>0</v>
      </c>
      <c r="K56" s="732">
        <f t="shared" si="7"/>
        <v>202.80480828666271</v>
      </c>
      <c r="L56" s="732">
        <f t="shared" si="7"/>
        <v>0</v>
      </c>
      <c r="M56" s="732">
        <f t="shared" si="7"/>
        <v>0</v>
      </c>
      <c r="N56" s="732">
        <f t="shared" si="7"/>
        <v>0</v>
      </c>
      <c r="O56" s="732">
        <f t="shared" si="7"/>
        <v>0</v>
      </c>
      <c r="P56" s="732">
        <f t="shared" si="7"/>
        <v>0</v>
      </c>
      <c r="Q56" s="733">
        <f t="shared" si="7"/>
        <v>0</v>
      </c>
      <c r="R56" s="734">
        <f ca="1">SUM(R54:R55)</f>
        <v>5629.6573459131914</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21790.797457717053</v>
      </c>
      <c r="D61" s="740">
        <f t="shared" ref="D61:Q61" ca="1" si="8">D46+D52+D56</f>
        <v>0</v>
      </c>
      <c r="E61" s="740">
        <f t="shared" ca="1" si="8"/>
        <v>26160.780401683976</v>
      </c>
      <c r="F61" s="740">
        <f t="shared" si="8"/>
        <v>3201.3757399560509</v>
      </c>
      <c r="G61" s="740">
        <f t="shared" ca="1" si="8"/>
        <v>13742.290223279138</v>
      </c>
      <c r="H61" s="740">
        <f t="shared" si="8"/>
        <v>90435.025527968188</v>
      </c>
      <c r="I61" s="740">
        <f t="shared" si="8"/>
        <v>14059.091351039155</v>
      </c>
      <c r="J61" s="740">
        <f t="shared" si="8"/>
        <v>0</v>
      </c>
      <c r="K61" s="740">
        <f t="shared" si="8"/>
        <v>520.9372409937655</v>
      </c>
      <c r="L61" s="740">
        <f t="shared" si="8"/>
        <v>0</v>
      </c>
      <c r="M61" s="740">
        <f t="shared" ca="1" si="8"/>
        <v>0</v>
      </c>
      <c r="N61" s="740">
        <f t="shared" si="8"/>
        <v>0</v>
      </c>
      <c r="O61" s="740">
        <f t="shared" ca="1" si="8"/>
        <v>0</v>
      </c>
      <c r="P61" s="740">
        <f t="shared" si="8"/>
        <v>0</v>
      </c>
      <c r="Q61" s="740">
        <f t="shared" si="8"/>
        <v>0</v>
      </c>
      <c r="R61" s="740">
        <f ca="1">R46+R52+R56</f>
        <v>169910.29794263732</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0.20237265497669549</v>
      </c>
      <c r="D63" s="781">
        <f t="shared" ca="1" si="9"/>
        <v>0</v>
      </c>
      <c r="E63" s="1023">
        <f t="shared" ca="1" si="9"/>
        <v>0.20200000000000001</v>
      </c>
      <c r="F63" s="781">
        <f t="shared" si="9"/>
        <v>0.22700000000000004</v>
      </c>
      <c r="G63" s="781">
        <f t="shared" ca="1" si="9"/>
        <v>0.26699999999999996</v>
      </c>
      <c r="H63" s="781">
        <f t="shared" si="9"/>
        <v>0.26700000000000002</v>
      </c>
      <c r="I63" s="781">
        <f t="shared" si="9"/>
        <v>0.24900000000000003</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9075.6968255157008</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9075.6968255157008</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9075.6968255157008</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9075.6968255157008</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44020.965312135442</v>
      </c>
      <c r="C4" s="477">
        <f>huishoudens!C8</f>
        <v>0</v>
      </c>
      <c r="D4" s="477">
        <f>huishoudens!D8</f>
        <v>72044.497866308011</v>
      </c>
      <c r="E4" s="477">
        <f>huishoudens!E8</f>
        <v>10766.797627558992</v>
      </c>
      <c r="F4" s="477">
        <f>huishoudens!F8</f>
        <v>22411.821315078407</v>
      </c>
      <c r="G4" s="477">
        <f>huishoudens!G8</f>
        <v>0</v>
      </c>
      <c r="H4" s="477">
        <f>huishoudens!H8</f>
        <v>0</v>
      </c>
      <c r="I4" s="477">
        <f>huishoudens!I8</f>
        <v>0</v>
      </c>
      <c r="J4" s="477">
        <f>huishoudens!J8</f>
        <v>442.65049572918736</v>
      </c>
      <c r="K4" s="477">
        <f>huishoudens!K8</f>
        <v>0</v>
      </c>
      <c r="L4" s="477">
        <f>huishoudens!L8</f>
        <v>0</v>
      </c>
      <c r="M4" s="477">
        <f>huishoudens!M8</f>
        <v>0</v>
      </c>
      <c r="N4" s="477">
        <f>huishoudens!N8</f>
        <v>29010.291575132134</v>
      </c>
      <c r="O4" s="477">
        <f>huishoudens!O8</f>
        <v>473.69000000000005</v>
      </c>
      <c r="P4" s="478">
        <f>huishoudens!P8</f>
        <v>1048.6666666666667</v>
      </c>
      <c r="Q4" s="479">
        <f>SUM(B4:P4)</f>
        <v>180219.38085860884</v>
      </c>
    </row>
    <row r="5" spans="1:17">
      <c r="A5" s="476" t="s">
        <v>156</v>
      </c>
      <c r="B5" s="477">
        <f ca="1">tertiair!B16</f>
        <v>28839.340807030003</v>
      </c>
      <c r="C5" s="477">
        <f ca="1">tertiair!C16</f>
        <v>0</v>
      </c>
      <c r="D5" s="477">
        <f ca="1">tertiair!D16</f>
        <v>25597.233776248861</v>
      </c>
      <c r="E5" s="477">
        <f>tertiair!E16</f>
        <v>595.17320752566468</v>
      </c>
      <c r="F5" s="477">
        <f ca="1">tertiair!F16</f>
        <v>7269.2559364455437</v>
      </c>
      <c r="G5" s="477">
        <f>tertiair!G16</f>
        <v>0</v>
      </c>
      <c r="H5" s="477">
        <f>tertiair!H16</f>
        <v>0</v>
      </c>
      <c r="I5" s="477">
        <f>tertiair!I16</f>
        <v>0</v>
      </c>
      <c r="J5" s="477">
        <f>tertiair!J16</f>
        <v>0</v>
      </c>
      <c r="K5" s="477">
        <f>tertiair!K16</f>
        <v>0</v>
      </c>
      <c r="L5" s="477">
        <f ca="1">tertiair!L16</f>
        <v>0</v>
      </c>
      <c r="M5" s="477">
        <f>tertiair!M16</f>
        <v>0</v>
      </c>
      <c r="N5" s="477">
        <f ca="1">tertiair!N16</f>
        <v>2254.0190661561674</v>
      </c>
      <c r="O5" s="477">
        <f>tertiair!O16</f>
        <v>4.6900000000000004</v>
      </c>
      <c r="P5" s="478">
        <f>tertiair!P16</f>
        <v>0</v>
      </c>
      <c r="Q5" s="476">
        <f t="shared" ref="Q5:Q14" ca="1" si="0">SUM(B5:P5)</f>
        <v>64559.712793406245</v>
      </c>
    </row>
    <row r="6" spans="1:17">
      <c r="A6" s="476" t="s">
        <v>194</v>
      </c>
      <c r="B6" s="477">
        <f>'openbare verlichting'!B8</f>
        <v>1534.049</v>
      </c>
      <c r="C6" s="477"/>
      <c r="D6" s="477"/>
      <c r="E6" s="477"/>
      <c r="F6" s="477"/>
      <c r="G6" s="477"/>
      <c r="H6" s="477"/>
      <c r="I6" s="477"/>
      <c r="J6" s="477"/>
      <c r="K6" s="477"/>
      <c r="L6" s="477"/>
      <c r="M6" s="477"/>
      <c r="N6" s="477"/>
      <c r="O6" s="477"/>
      <c r="P6" s="478"/>
      <c r="Q6" s="476">
        <f t="shared" si="0"/>
        <v>1534.049</v>
      </c>
    </row>
    <row r="7" spans="1:17">
      <c r="A7" s="476" t="s">
        <v>112</v>
      </c>
      <c r="B7" s="477">
        <f>landbouw!B8</f>
        <v>3979.4536768100002</v>
      </c>
      <c r="C7" s="477">
        <f>landbouw!C8</f>
        <v>0</v>
      </c>
      <c r="D7" s="477">
        <f>landbouw!D8</f>
        <v>322.28097966966004</v>
      </c>
      <c r="E7" s="477">
        <f>landbouw!E8</f>
        <v>102.61483098932761</v>
      </c>
      <c r="F7" s="477">
        <f>landbouw!F8</f>
        <v>14545.661038879107</v>
      </c>
      <c r="G7" s="477">
        <f>landbouw!G8</f>
        <v>0</v>
      </c>
      <c r="H7" s="477">
        <f>landbouw!H8</f>
        <v>0</v>
      </c>
      <c r="I7" s="477">
        <f>landbouw!I8</f>
        <v>0</v>
      </c>
      <c r="J7" s="477">
        <f>landbouw!J8</f>
        <v>572.89493866288899</v>
      </c>
      <c r="K7" s="477">
        <f>landbouw!K8</f>
        <v>0</v>
      </c>
      <c r="L7" s="477">
        <f>landbouw!L8</f>
        <v>0</v>
      </c>
      <c r="M7" s="477">
        <f>landbouw!M8</f>
        <v>0</v>
      </c>
      <c r="N7" s="477">
        <f>landbouw!N8</f>
        <v>0</v>
      </c>
      <c r="O7" s="477">
        <f>landbouw!O8</f>
        <v>0</v>
      </c>
      <c r="P7" s="478">
        <f>landbouw!P8</f>
        <v>0</v>
      </c>
      <c r="Q7" s="476">
        <f t="shared" si="0"/>
        <v>19522.905465010983</v>
      </c>
    </row>
    <row r="8" spans="1:17">
      <c r="A8" s="476" t="s">
        <v>638</v>
      </c>
      <c r="B8" s="477">
        <f>industrie!B18</f>
        <v>27671.79736515</v>
      </c>
      <c r="C8" s="477">
        <f>industrie!C18</f>
        <v>0</v>
      </c>
      <c r="D8" s="477">
        <f>industrie!D18</f>
        <v>29667.599300671201</v>
      </c>
      <c r="E8" s="477">
        <f>industrie!E18</f>
        <v>1714.0105026032847</v>
      </c>
      <c r="F8" s="477">
        <f>industrie!F18</f>
        <v>7242.5134821779848</v>
      </c>
      <c r="G8" s="477">
        <f>industrie!G18</f>
        <v>0</v>
      </c>
      <c r="H8" s="477">
        <f>industrie!H18</f>
        <v>0</v>
      </c>
      <c r="I8" s="477">
        <f>industrie!I18</f>
        <v>0</v>
      </c>
      <c r="J8" s="477">
        <f>industrie!J18</f>
        <v>456.02869270895621</v>
      </c>
      <c r="K8" s="477">
        <f>industrie!K18</f>
        <v>0</v>
      </c>
      <c r="L8" s="477">
        <f>industrie!L18</f>
        <v>0</v>
      </c>
      <c r="M8" s="477">
        <f>industrie!M18</f>
        <v>0</v>
      </c>
      <c r="N8" s="477">
        <f>industrie!N18</f>
        <v>13894.970621690567</v>
      </c>
      <c r="O8" s="477">
        <f>industrie!O18</f>
        <v>0</v>
      </c>
      <c r="P8" s="478">
        <f>industrie!P18</f>
        <v>0</v>
      </c>
      <c r="Q8" s="476">
        <f t="shared" si="0"/>
        <v>80646.919965001987</v>
      </c>
    </row>
    <row r="9" spans="1:17" s="482" customFormat="1">
      <c r="A9" s="480" t="s">
        <v>564</v>
      </c>
      <c r="B9" s="481">
        <f>transport!B14</f>
        <v>92.377396323077065</v>
      </c>
      <c r="C9" s="481">
        <f>transport!C14</f>
        <v>0</v>
      </c>
      <c r="D9" s="481">
        <f>transport!D14</f>
        <v>203.6268059249341</v>
      </c>
      <c r="E9" s="481">
        <f>transport!E14</f>
        <v>924.38065932295433</v>
      </c>
      <c r="F9" s="481">
        <f>transport!F14</f>
        <v>0</v>
      </c>
      <c r="G9" s="481">
        <f>transport!G14</f>
        <v>337076.8538217587</v>
      </c>
      <c r="H9" s="481">
        <f>transport!H14</f>
        <v>56462.214261201421</v>
      </c>
      <c r="I9" s="481">
        <f>transport!I14</f>
        <v>0</v>
      </c>
      <c r="J9" s="481">
        <f>transport!J14</f>
        <v>0</v>
      </c>
      <c r="K9" s="481">
        <f>transport!K14</f>
        <v>0</v>
      </c>
      <c r="L9" s="481">
        <f>transport!L14</f>
        <v>0</v>
      </c>
      <c r="M9" s="481">
        <f>transport!M14</f>
        <v>12310.993879102289</v>
      </c>
      <c r="N9" s="481">
        <f>transport!N14</f>
        <v>0</v>
      </c>
      <c r="O9" s="481">
        <f>transport!O14</f>
        <v>0</v>
      </c>
      <c r="P9" s="481">
        <f>transport!P14</f>
        <v>0</v>
      </c>
      <c r="Q9" s="480">
        <f>SUM(B9:P9)</f>
        <v>407070.44682363339</v>
      </c>
    </row>
    <row r="10" spans="1:17">
      <c r="A10" s="476" t="s">
        <v>554</v>
      </c>
      <c r="B10" s="477">
        <f>transport!B54</f>
        <v>0</v>
      </c>
      <c r="C10" s="477">
        <f>transport!C54</f>
        <v>0</v>
      </c>
      <c r="D10" s="477">
        <f>transport!D54</f>
        <v>0</v>
      </c>
      <c r="E10" s="477">
        <f>transport!E54</f>
        <v>0</v>
      </c>
      <c r="F10" s="477">
        <f>transport!F54</f>
        <v>0</v>
      </c>
      <c r="G10" s="477">
        <f>transport!G54</f>
        <v>1631.1069571483697</v>
      </c>
      <c r="H10" s="477">
        <f>transport!H54</f>
        <v>0</v>
      </c>
      <c r="I10" s="477">
        <f>transport!I54</f>
        <v>0</v>
      </c>
      <c r="J10" s="477">
        <f>transport!J54</f>
        <v>0</v>
      </c>
      <c r="K10" s="477">
        <f>transport!K54</f>
        <v>0</v>
      </c>
      <c r="L10" s="477">
        <f>transport!L54</f>
        <v>0</v>
      </c>
      <c r="M10" s="477">
        <f>transport!M54</f>
        <v>50.593288727474075</v>
      </c>
      <c r="N10" s="477">
        <f>transport!N54</f>
        <v>0</v>
      </c>
      <c r="O10" s="477">
        <f>transport!O54</f>
        <v>0</v>
      </c>
      <c r="P10" s="478">
        <f>transport!P54</f>
        <v>0</v>
      </c>
      <c r="Q10" s="476">
        <f t="shared" si="0"/>
        <v>1681.7002458758438</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1538.6067419000001</v>
      </c>
      <c r="C14" s="484"/>
      <c r="D14" s="484">
        <f>'SEAP template'!E25</f>
        <v>1673.5751409</v>
      </c>
      <c r="E14" s="484"/>
      <c r="F14" s="484"/>
      <c r="G14" s="484"/>
      <c r="H14" s="484"/>
      <c r="I14" s="484"/>
      <c r="J14" s="484"/>
      <c r="K14" s="484"/>
      <c r="L14" s="484"/>
      <c r="M14" s="484"/>
      <c r="N14" s="484"/>
      <c r="O14" s="484"/>
      <c r="P14" s="485"/>
      <c r="Q14" s="476">
        <f t="shared" si="0"/>
        <v>3212.1818828</v>
      </c>
    </row>
    <row r="15" spans="1:17" s="486" customFormat="1">
      <c r="A15" s="1038" t="s">
        <v>558</v>
      </c>
      <c r="B15" s="978">
        <f ca="1">SUM(B4:B14)</f>
        <v>107676.59029934852</v>
      </c>
      <c r="C15" s="978">
        <f t="shared" ref="C15:Q15" ca="1" si="1">SUM(C4:C14)</f>
        <v>0</v>
      </c>
      <c r="D15" s="978">
        <f t="shared" ca="1" si="1"/>
        <v>129508.81386972264</v>
      </c>
      <c r="E15" s="978">
        <f t="shared" si="1"/>
        <v>14102.976828000223</v>
      </c>
      <c r="F15" s="978">
        <f t="shared" ca="1" si="1"/>
        <v>51469.251772581047</v>
      </c>
      <c r="G15" s="978">
        <f t="shared" si="1"/>
        <v>338707.96077890706</v>
      </c>
      <c r="H15" s="978">
        <f t="shared" si="1"/>
        <v>56462.214261201421</v>
      </c>
      <c r="I15" s="978">
        <f t="shared" si="1"/>
        <v>0</v>
      </c>
      <c r="J15" s="978">
        <f t="shared" si="1"/>
        <v>1471.5741271010324</v>
      </c>
      <c r="K15" s="978">
        <f t="shared" si="1"/>
        <v>0</v>
      </c>
      <c r="L15" s="978">
        <f t="shared" ca="1" si="1"/>
        <v>0</v>
      </c>
      <c r="M15" s="978">
        <f t="shared" si="1"/>
        <v>12361.587167829763</v>
      </c>
      <c r="N15" s="978">
        <f t="shared" ca="1" si="1"/>
        <v>45159.281262978868</v>
      </c>
      <c r="O15" s="978">
        <f t="shared" si="1"/>
        <v>478.38000000000005</v>
      </c>
      <c r="P15" s="978">
        <f t="shared" si="1"/>
        <v>1048.6666666666667</v>
      </c>
      <c r="Q15" s="978">
        <f t="shared" ca="1" si="1"/>
        <v>758447.2970343373</v>
      </c>
    </row>
    <row r="17" spans="1:17">
      <c r="A17" s="487" t="s">
        <v>559</v>
      </c>
      <c r="B17" s="786">
        <f ca="1">huishoudens!B10</f>
        <v>0.20237265497669549</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8908.6396248538658</v>
      </c>
      <c r="C22" s="477">
        <f t="shared" ref="C22:C32" ca="1" si="3">C4*$C$17</f>
        <v>0</v>
      </c>
      <c r="D22" s="477">
        <f t="shared" ref="D22:D32" si="4">D4*$D$17</f>
        <v>14552.988568994218</v>
      </c>
      <c r="E22" s="477">
        <f t="shared" ref="E22:E32" si="5">E4*$E$17</f>
        <v>2444.0630614558913</v>
      </c>
      <c r="F22" s="477">
        <f t="shared" ref="F22:F32" si="6">F4*$F$17</f>
        <v>5983.9562911259345</v>
      </c>
      <c r="G22" s="477">
        <f t="shared" ref="G22:G32" si="7">G4*$G$17</f>
        <v>0</v>
      </c>
      <c r="H22" s="477">
        <f t="shared" ref="H22:H32" si="8">H4*$H$17</f>
        <v>0</v>
      </c>
      <c r="I22" s="477">
        <f t="shared" ref="I22:I32" si="9">I4*$I$17</f>
        <v>0</v>
      </c>
      <c r="J22" s="477">
        <f t="shared" ref="J22:J32" si="10">J4*$J$17</f>
        <v>156.69827548813231</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32046.345821918039</v>
      </c>
    </row>
    <row r="23" spans="1:17">
      <c r="A23" s="476" t="s">
        <v>156</v>
      </c>
      <c r="B23" s="477">
        <f t="shared" ca="1" si="2"/>
        <v>5836.2939668964173</v>
      </c>
      <c r="C23" s="477">
        <f t="shared" ca="1" si="3"/>
        <v>0</v>
      </c>
      <c r="D23" s="477">
        <f t="shared" ca="1" si="4"/>
        <v>5170.64122280227</v>
      </c>
      <c r="E23" s="477">
        <f t="shared" si="5"/>
        <v>135.10431810832588</v>
      </c>
      <c r="F23" s="477">
        <f t="shared" ca="1" si="6"/>
        <v>1940.8913350309604</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13082.930842837974</v>
      </c>
    </row>
    <row r="24" spans="1:17">
      <c r="A24" s="476" t="s">
        <v>194</v>
      </c>
      <c r="B24" s="477">
        <f t="shared" ca="1" si="2"/>
        <v>310.44956899434476</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310.44956899434476</v>
      </c>
    </row>
    <row r="25" spans="1:17">
      <c r="A25" s="476" t="s">
        <v>112</v>
      </c>
      <c r="B25" s="477">
        <f t="shared" ca="1" si="2"/>
        <v>805.33260593281238</v>
      </c>
      <c r="C25" s="477">
        <f t="shared" ca="1" si="3"/>
        <v>0</v>
      </c>
      <c r="D25" s="477">
        <f t="shared" si="4"/>
        <v>65.100757893271336</v>
      </c>
      <c r="E25" s="477">
        <f t="shared" si="5"/>
        <v>23.29356663457737</v>
      </c>
      <c r="F25" s="477">
        <f t="shared" si="6"/>
        <v>3883.6914973807216</v>
      </c>
      <c r="G25" s="477">
        <f t="shared" si="7"/>
        <v>0</v>
      </c>
      <c r="H25" s="477">
        <f t="shared" si="8"/>
        <v>0</v>
      </c>
      <c r="I25" s="477">
        <f t="shared" si="9"/>
        <v>0</v>
      </c>
      <c r="J25" s="477">
        <f t="shared" si="10"/>
        <v>202.80480828666271</v>
      </c>
      <c r="K25" s="477">
        <f t="shared" si="11"/>
        <v>0</v>
      </c>
      <c r="L25" s="477">
        <f t="shared" si="12"/>
        <v>0</v>
      </c>
      <c r="M25" s="477">
        <f t="shared" si="13"/>
        <v>0</v>
      </c>
      <c r="N25" s="477">
        <f t="shared" si="14"/>
        <v>0</v>
      </c>
      <c r="O25" s="477">
        <f t="shared" si="15"/>
        <v>0</v>
      </c>
      <c r="P25" s="478">
        <f t="shared" si="16"/>
        <v>0</v>
      </c>
      <c r="Q25" s="476">
        <f t="shared" ca="1" si="17"/>
        <v>4980.2232361280448</v>
      </c>
    </row>
    <row r="26" spans="1:17">
      <c r="A26" s="476" t="s">
        <v>638</v>
      </c>
      <c r="B26" s="477">
        <f t="shared" ca="1" si="2"/>
        <v>5600.0151007625318</v>
      </c>
      <c r="C26" s="477">
        <f t="shared" ca="1" si="3"/>
        <v>0</v>
      </c>
      <c r="D26" s="477">
        <f t="shared" si="4"/>
        <v>5992.855058735583</v>
      </c>
      <c r="E26" s="477">
        <f t="shared" si="5"/>
        <v>389.08038409094564</v>
      </c>
      <c r="F26" s="477">
        <f t="shared" si="6"/>
        <v>1933.751099741522</v>
      </c>
      <c r="G26" s="477">
        <f t="shared" si="7"/>
        <v>0</v>
      </c>
      <c r="H26" s="477">
        <f t="shared" si="8"/>
        <v>0</v>
      </c>
      <c r="I26" s="477">
        <f t="shared" si="9"/>
        <v>0</v>
      </c>
      <c r="J26" s="477">
        <f t="shared" si="10"/>
        <v>161.43415721897048</v>
      </c>
      <c r="K26" s="477">
        <f t="shared" si="11"/>
        <v>0</v>
      </c>
      <c r="L26" s="477">
        <f t="shared" si="12"/>
        <v>0</v>
      </c>
      <c r="M26" s="477">
        <f t="shared" si="13"/>
        <v>0</v>
      </c>
      <c r="N26" s="477">
        <f t="shared" si="14"/>
        <v>0</v>
      </c>
      <c r="O26" s="477">
        <f t="shared" si="15"/>
        <v>0</v>
      </c>
      <c r="P26" s="478">
        <f t="shared" si="16"/>
        <v>0</v>
      </c>
      <c r="Q26" s="476">
        <f t="shared" ca="1" si="17"/>
        <v>14077.135800549549</v>
      </c>
    </row>
    <row r="27" spans="1:17" s="482" customFormat="1">
      <c r="A27" s="480" t="s">
        <v>564</v>
      </c>
      <c r="B27" s="780">
        <f t="shared" ca="1" si="2"/>
        <v>18.694658953735534</v>
      </c>
      <c r="C27" s="481">
        <f t="shared" ca="1" si="3"/>
        <v>0</v>
      </c>
      <c r="D27" s="481">
        <f t="shared" si="4"/>
        <v>41.132614796836691</v>
      </c>
      <c r="E27" s="481">
        <f t="shared" si="5"/>
        <v>209.83440966631065</v>
      </c>
      <c r="F27" s="481">
        <f t="shared" si="6"/>
        <v>0</v>
      </c>
      <c r="G27" s="481">
        <f t="shared" si="7"/>
        <v>89999.519970409572</v>
      </c>
      <c r="H27" s="481">
        <f t="shared" si="8"/>
        <v>14059.091351039155</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104328.27300486561</v>
      </c>
    </row>
    <row r="28" spans="1:17">
      <c r="A28" s="476" t="s">
        <v>554</v>
      </c>
      <c r="B28" s="477">
        <f t="shared" ca="1" si="2"/>
        <v>0</v>
      </c>
      <c r="C28" s="477">
        <f t="shared" ca="1" si="3"/>
        <v>0</v>
      </c>
      <c r="D28" s="477">
        <f t="shared" si="4"/>
        <v>0</v>
      </c>
      <c r="E28" s="477">
        <f t="shared" si="5"/>
        <v>0</v>
      </c>
      <c r="F28" s="477">
        <f t="shared" si="6"/>
        <v>0</v>
      </c>
      <c r="G28" s="477">
        <f t="shared" si="7"/>
        <v>435.50555755861473</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435.50555755861473</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311.3719313233463</v>
      </c>
      <c r="C32" s="477">
        <f t="shared" ca="1" si="3"/>
        <v>0</v>
      </c>
      <c r="D32" s="477">
        <f t="shared" si="4"/>
        <v>338.06217846179999</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649.43410978514635</v>
      </c>
    </row>
    <row r="33" spans="1:17" s="486" customFormat="1">
      <c r="A33" s="1038" t="s">
        <v>558</v>
      </c>
      <c r="B33" s="978">
        <f ca="1">SUM(B22:B32)</f>
        <v>21790.797457717053</v>
      </c>
      <c r="C33" s="978">
        <f t="shared" ref="C33:Q33" ca="1" si="18">SUM(C22:C32)</f>
        <v>0</v>
      </c>
      <c r="D33" s="978">
        <f t="shared" ca="1" si="18"/>
        <v>26160.78040168398</v>
      </c>
      <c r="E33" s="978">
        <f t="shared" si="18"/>
        <v>3201.3757399560509</v>
      </c>
      <c r="F33" s="978">
        <f t="shared" ca="1" si="18"/>
        <v>13742.290223279138</v>
      </c>
      <c r="G33" s="978">
        <f t="shared" si="18"/>
        <v>90435.025527968188</v>
      </c>
      <c r="H33" s="978">
        <f t="shared" si="18"/>
        <v>14059.091351039155</v>
      </c>
      <c r="I33" s="978">
        <f t="shared" si="18"/>
        <v>0</v>
      </c>
      <c r="J33" s="978">
        <f t="shared" si="18"/>
        <v>520.9372409937655</v>
      </c>
      <c r="K33" s="978">
        <f t="shared" si="18"/>
        <v>0</v>
      </c>
      <c r="L33" s="978">
        <f t="shared" ca="1" si="18"/>
        <v>0</v>
      </c>
      <c r="M33" s="978">
        <f t="shared" si="18"/>
        <v>0</v>
      </c>
      <c r="N33" s="978">
        <f t="shared" ca="1" si="18"/>
        <v>0</v>
      </c>
      <c r="O33" s="978">
        <f t="shared" si="18"/>
        <v>0</v>
      </c>
      <c r="P33" s="978">
        <f t="shared" si="18"/>
        <v>0</v>
      </c>
      <c r="Q33" s="978">
        <f t="shared" ca="1" si="18"/>
        <v>169910.29794263732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9075.6968255157008</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9075.6968255157008</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0.20237265497669549</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0.20237265497669549</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2019-08-12T08:24:10Z</dcterms:modified>
</cp:coreProperties>
</file>