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H20" s="1"/>
  <c r="I101"/>
  <c r="H8" s="1"/>
  <c r="M76" i="14" s="1"/>
  <c r="B88"/>
  <c r="B18" i="59" s="1"/>
  <c r="Q89" i="14"/>
  <c r="P19" i="59" s="1"/>
  <c r="C20" i="18"/>
  <c r="D87" i="14"/>
  <c r="D17" i="59" s="1"/>
  <c r="D20" s="1"/>
  <c r="D76" i="14"/>
  <c r="D8" i="59" s="1"/>
  <c r="D10" s="1"/>
  <c r="J17" i="18"/>
  <c r="J8"/>
  <c r="F87" i="14"/>
  <c r="E20" i="18"/>
  <c r="E10"/>
  <c r="F76" i="14"/>
  <c r="F8" i="59" s="1"/>
  <c r="F10" s="1"/>
  <c r="I17" i="18"/>
  <c r="M87" i="14"/>
  <c r="H10" i="18"/>
  <c r="H14" i="15"/>
  <c r="H16" s="1"/>
  <c r="G14"/>
  <c r="G16" s="1"/>
  <c r="M78" i="14" l="1"/>
  <c r="M8" i="59"/>
  <c r="M10" s="1"/>
  <c r="H5" i="48"/>
  <c r="I10" i="14"/>
  <c r="I16" s="1"/>
  <c r="O17" i="18"/>
  <c r="O20"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Q90" i="14" l="1"/>
  <c r="B17" i="6" s="1"/>
  <c r="P17" i="59"/>
  <c r="P20" s="1"/>
  <c r="J90" i="14"/>
  <c r="J17" i="59"/>
  <c r="J20" s="1"/>
  <c r="J78" i="14"/>
  <c r="J8" i="59"/>
  <c r="J1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<sst xmlns="http://schemas.openxmlformats.org/spreadsheetml/2006/main" count="2419" uniqueCount="903">
  <si>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</si>
  <si>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</si>
  <si>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</si>
  <si>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</si>
  <si>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</si>
  <si>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</si>
  <si>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</si>
  <si>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</si>
  <si>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</si>
  <si>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</si>
  <si>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</si>
  <si>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</si>
  <si>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</si>
  <si>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</si>
  <si>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</si>
  <si>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</si>
  <si>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</si>
  <si>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</si>
  <si>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</si>
  <si>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</si>
  <si>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</si>
  <si>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</si>
  <si>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</si>
  <si>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</si>
  <si>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</si>
  <si>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</si>
  <si>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</si>
  <si>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</si>
  <si>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</si>
  <si>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</si>
  <si>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</si>
  <si>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</si>
  <si>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</si>
  <si>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</si>
  <si>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</si>
  <si>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</si>
  <si>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</si>
  <si>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</si>
  <si>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</si>
  <si>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</si>
  <si>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</si>
  <si>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</si>
  <si>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</si>
  <si>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</si>
  <si>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</si>
  <si>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</si>
  <si>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</si>
  <si>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</si>
  <si>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</si>
  <si>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</si>
  <si>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</si>
  <si>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</si>
  <si>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</si>
  <si>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</si>
  <si>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</si>
  <si>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</si>
  <si>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</si>
  <si>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</si>
  <si>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</si>
  <si>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</si>
  <si>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</si>
  <si>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</si>
  <si>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</si>
  <si>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</si>
  <si>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</si>
  <si>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</si>
  <si>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</si>
  <si>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</si>
  <si>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</si>
  <si>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</si>
  <si>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</si>
  <si>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</si>
  <si>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</si>
  <si>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</si>
  <si>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</si>
  <si>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</si>
  <si>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</si>
  <si>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</si>
  <si>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</si>
  <si>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</si>
  <si>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</si>
  <si>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</si>
  <si>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</si>
  <si>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</si>
  <si>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</si>
  <si>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</si>
  <si>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</si>
  <si>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</si>
  <si>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</si>
  <si>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</si>
  <si>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</si>
  <si>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</si>
  <si>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</si>
  <si>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</si>
  <si>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</si>
  <si>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</si>
  <si>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</si>
  <si>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</si>
  <si>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</si>
  <si>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</si>
  <si>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</si>
  <si>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</si>
  <si>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</si>
  <si>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</si>
  <si>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</si>
  <si>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</si>
  <si>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</si>
  <si>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</si>
  <si>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</si>
  <si>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</si>
  <si>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</si>
  <si>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</si>
  <si>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</si>
  <si>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</si>
  <si>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</si>
  <si>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</si>
  <si>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</si>
  <si>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</si>
  <si>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</si>
  <si>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</si>
  <si>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</si>
  <si>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</si>
  <si>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</si>
  <si>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</si>
  <si>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</si>
  <si>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</si>
  <si>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</si>
  <si>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</si>
  <si>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</si>
  <si>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</si>
  <si>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</si>
  <si>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</si>
  <si>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</si>
  <si>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</si>
  <si>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</si>
  <si>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</si>
  <si>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</si>
  <si>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</si>
  <si>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</si>
  <si>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</si>
  <si>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</si>
  <si>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</si>
  <si>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</si>
  <si>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</si>
  <si>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</si>
  <si>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</si>
  <si>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</si>
  <si>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</si>
  <si>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</si>
  <si>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</si>
  <si>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</si>
  <si>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</si>
  <si>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</si>
  <si>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</si>
  <si>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</si>
  <si>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</si>
  <si>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</si>
  <si>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</si>
  <si>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</si>
  <si>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</si>
  <si>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</si>
  <si>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</si>
  <si>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</si>
  <si>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</si>
  <si>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</si>
  <si>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</si>
  <si>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</si>
  <si>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</si>
  <si>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</si>
  <si>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</si>
  <si>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</si>
  <si>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</si>
  <si>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</si>
  <si>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</si>
  <si>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</si>
  <si>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</si>
  <si>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</si>
  <si>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</si>
  <si>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</si>
  <si>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</si>
  <si>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</si>
  <si>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</si>
  <si>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</si>
  <si>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</si>
  <si>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</si>
  <si>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</si>
  <si>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</si>
  <si>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</si>
  <si>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</si>
  <si>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</si>
  <si>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</si>
  <si>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</si>
  <si>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</si>
  <si>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</si>
  <si>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</si>
  <si>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</si>
  <si>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</si>
  <si>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</si>
  <si>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</si>
  <si>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</si>
  <si>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</si>
  <si>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</si>
  <si>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</si>
  <si>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</si>
  <si>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</si>
  <si>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</si>
  <si>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</si>
  <si>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</si>
  <si>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</si>
  <si>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</si>
  <si>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</si>
  <si>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</si>
  <si>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</si>
  <si>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</si>
  <si>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</si>
  <si>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</si>
  <si>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</si>
  <si>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</si>
  <si>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</si>
  <si>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</si>
  <si>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</si>
  <si>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</si>
  <si>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</si>
  <si>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</si>
  <si>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</si>
  <si>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</si>
  <si>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</si>
  <si>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</si>
  <si>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</si>
  <si>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</si>
  <si>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</si>
  <si>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</si>
  <si>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</si>
  <si>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</si>
  <si>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</si>
  <si>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</si>
  <si>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</si>
  <si>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</si>
  <si>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</si>
  <si>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</si>
  <si>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</si>
  <si>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</si>
  <si>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</si>
  <si>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</si>
  <si>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</si>
  <si>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</si>
  <si>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</si>
  <si>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</si>
  <si>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</si>
  <si>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</si>
  <si>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</si>
  <si>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</si>
  <si>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</si>
  <si>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</si>
  <si>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</si>
  <si>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</si>
  <si>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</si>
  <si>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</si>
  <si>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</si>
  <si>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</si>
  <si>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</si>
  <si>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</si>
  <si>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</si>
  <si>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</si>
  <si>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</si>
  <si>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</si>
  <si>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</si>
  <si>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</si>
  <si>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</si>
  <si>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</si>
  <si>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</si>
  <si>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</si>
  <si>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</si>
  <si>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</si>
  <si>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</si>
  <si>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</si>
  <si>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</si>
  <si>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</si>
  <si>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</si>
  <si>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</si>
  <si>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</si>
  <si>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</si>
  <si>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</si>
  <si>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</si>
  <si>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</si>
  <si>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</si>
  <si>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</si>
  <si>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</si>
  <si>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</si>
  <si>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</si>
  <si>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</si>
  <si>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</si>
  <si>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</si>
  <si>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</si>
  <si>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</si>
  <si>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</si>
  <si>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</si>
  <si>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</si>
  <si>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</si>
  <si>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</si>
  <si>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</si>
  <si>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</si>
  <si>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</si>
  <si>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</si>
  <si>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</si>
  <si>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</si>
  <si>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</si>
  <si>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</si>
  <si>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</si>
  <si>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</si>
  <si>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</si>
  <si>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</si>
  <si>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</si>
  <si>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</si>
  <si>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</si>
  <si>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</si>
  <si>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</si>
  <si>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</si>
  <si>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</si>
  <si>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</si>
  <si>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</si>
  <si>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</si>
  <si>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</si>
  <si>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</si>
  <si>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</si>
  <si>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</si>
  <si>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</si>
  <si>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</si>
  <si>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</si>
  <si>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</si>
  <si>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</si>
  <si>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</si>
  <si>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</si>
  <si>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</si>
  <si>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</si>
  <si>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</si>
  <si>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</si>
  <si>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</si>
  <si>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</si>
  <si>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</si>
  <si>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</si>
  <si>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</si>
  <si>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</si>
  <si>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</si>
  <si>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</si>
  <si>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</si>
  <si>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</si>
  <si>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</si>
  <si>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</si>
  <si>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</si>
  <si>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</si>
  <si>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</si>
  <si>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</si>
  <si>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</si>
  <si>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</si>
  <si>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</si>
  <si>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</si>
  <si>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</si>
  <si>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</si>
  <si>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</si>
  <si>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</si>
  <si>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</si>
  <si>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</si>
  <si>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</si>
  <si>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</si>
  <si>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</si>
  <si>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</si>
  <si>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</si>
  <si>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</si>
  <si>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</si>
  <si>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</si>
  <si>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</si>
  <si>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</si>
  <si>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</si>
  <si>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</si>
  <si>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</si>
  <si>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</si>
  <si>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</si>
  <si>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</si>
  <si>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</si>
  <si>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</si>
  <si>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</si>
  <si>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</si>
  <si>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</si>
  <si>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</si>
  <si>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</si>
  <si>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</si>
  <si>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</si>
  <si>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</si>
  <si>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</si>
  <si>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</si>
  <si>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</si>
  <si>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</si>
  <si>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</si>
  <si>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</si>
  <si>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</si>
  <si>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</si>
  <si>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</si>
  <si>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</si>
  <si>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</si>
  <si>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</si>
  <si>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</si>
  <si>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</si>
  <si>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</si>
  <si>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</si>
  <si>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</si>
  <si>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</si>
  <si>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</si>
  <si>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</si>
  <si>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</si>
  <si>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</si>
  <si>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</si>
  <si>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</si>
  <si>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</si>
  <si>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</si>
  <si>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</si>
  <si>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</si>
  <si>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</si>
  <si>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</si>
  <si>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</si>
  <si>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</si>
  <si>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</si>
  <si>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</si>
  <si>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</si>
  <si>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</si>
  <si>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</si>
  <si>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</si>
  <si>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</si>
  <si>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</si>
  <si>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</si>
  <si>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</si>
  <si>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</si>
  <si>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</si>
  <si>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</si>
  <si>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</si>
  <si>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</si>
  <si>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</si>
  <si>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</si>
  <si>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</si>
  <si>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</si>
  <si>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</si>
  <si>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</si>
  <si>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</si>
  <si>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</si>
  <si>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</si>
  <si>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</si>
  <si>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</si>
  <si>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</si>
  <si>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</si>
  <si>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</si>
  <si>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</si>
  <si>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</si>
  <si>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</si>
  <si>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</si>
  <si>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</si>
  <si>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</si>
  <si>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</si>
  <si>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</si>
  <si>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</si>
  <si>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</si>
  <si>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</si>
  <si>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</si>
  <si>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</si>
  <si>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</si>
  <si>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</si>
  <si>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</si>
  <si>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</si>
  <si>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</si>
  <si>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</si>
  <si>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</si>
  <si>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</si>
  <si>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</si>
  <si>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</si>
  <si>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</si>
  <si>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</si>
  <si>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</si>
  <si>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</si>
  <si>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</si>
  <si>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</si>
  <si>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</si>
  <si>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</si>
  <si>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</si>
  <si>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</si>
  <si>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</si>
  <si>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</si>
  <si>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</si>
  <si>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</si>
  <si>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</si>
  <si>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</si>
  <si>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</si>
  <si>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</si>
  <si>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</si>
  <si>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</si>
  <si>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</si>
  <si>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</si>
  <si>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</si>
  <si>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</si>
  <si>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</si>
  <si>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</si>
  <si>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</si>
  <si>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</si>
  <si>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</si>
  <si>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</si>
  <si>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</si>
  <si>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</si>
  <si>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</si>
  <si>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</si>
  <si>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</si>
  <si>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</si>
  <si>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</si>
  <si>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</si>
  <si>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</si>
  <si>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</si>
  <si>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</si>
  <si>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</si>
  <si>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</si>
  <si>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</si>
  <si>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</si>
  <si>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</si>
  <si>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</si>
  <si>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</si>
  <si>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</si>
  <si>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</si>
  <si>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</si>
  <si>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</si>
  <si>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</si>
  <si>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</si>
  <si>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</si>
  <si>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</si>
  <si>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</si>
  <si>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</si>
  <si>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</si>
  <si>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</si>
  <si>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</si>
  <si>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</si>
  <si>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</si>
  <si>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</si>
  <si>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</si>
  <si>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</si>
  <si>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</si>
  <si>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</si>
  <si>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</si>
  <si>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</si>
  <si>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</si>
  <si>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</si>
  <si>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</si>
  <si>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</si>
  <si>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</si>
  <si>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</si>
  <si>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</si>
  <si>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</si>
  <si>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</si>
  <si>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</si>
  <si>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</si>
  <si>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</si>
  <si>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</si>
  <si>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</si>
  <si>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</si>
  <si>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</si>
  <si>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</si>
  <si>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</si>
  <si>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</si>
  <si>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</si>
  <si>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</si>
  <si>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</si>
  <si>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</si>
  <si>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</si>
  <si>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</si>
  <si>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</si>
  <si>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</si>
  <si>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</si>
  <si>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</si>
  <si>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</si>
  <si>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</si>
  <si>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</si>
  <si>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</si>
  <si>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</si>
  <si>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</si>
  <si>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</si>
  <si>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</si>
  <si>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</si>
  <si>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</si>
  <si>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</si>
  <si>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</si>
  <si>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</si>
  <si>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</si>
  <si>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</si>
  <si>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</si>
  <si>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</si>
  <si>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</si>
  <si>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</si>
  <si>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</si>
  <si>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</si>
  <si>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</si>
  <si>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</si>
  <si>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</si>
  <si>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</si>
  <si>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</si>
  <si>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</si>
  <si>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</si>
  <si>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</si>
  <si>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</si>
  <si>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</si>
  <si>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</si>
  <si>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</si>
  <si>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</si>
  <si>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</si>
  <si>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</si>
  <si>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</si>
  <si>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</si>
  <si>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</si>
  <si>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</si>
  <si>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</si>
  <si>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</si>
  <si>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</si>
  <si>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</si>
  <si>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</si>
  <si>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</si>
  <si>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</si>
  <si>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</si>
  <si>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</si>
  <si>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</si>
  <si>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</si>
  <si>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</si>
  <si>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</si>
  <si>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</si>
  <si>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</si>
  <si>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</si>
  <si>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</si>
  <si>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</si>
  <si>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</si>
  <si>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</si>
  <si>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</si>
  <si>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</si>
  <si>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</si>
  <si>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</si>
  <si>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</si>
  <si>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</si>
  <si>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</si>
  <si>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</si>
  <si>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</si>
  <si>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</si>
  <si>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</si>
  <si>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</si>
  <si>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</si>
  <si>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</si>
  <si>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</si>
  <si>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</si>
  <si>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</si>
  <si>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</si>
  <si>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</si>
  <si>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</si>
  <si>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</si>
  <si>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</si>
  <si>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</si>
  <si>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</si>
  <si>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</si>
  <si>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</si>
  <si>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</si>
  <si>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</si>
  <si>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</si>
  <si>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</si>
  <si>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</si>
  <si>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</si>
  <si>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</si>
  <si>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</si>
  <si>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</si>
  <si>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</si>
  <si>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</si>
  <si>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</si>
  <si>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</si>
  <si>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</si>
  <si>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</si>
  <si>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</si>
  <si>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</si>
  <si>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</si>
  <si>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</si>
  <si>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</si>
  <si>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</si>
  <si>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</si>
  <si>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</si>
  <si>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</si>
  <si>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</si>
  <si>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</si>
  <si>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</si>
  <si>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</si>
  <si>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</si>
  <si>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</si>
  <si>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</si>
  <si>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</si>
  <si>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</si>
  <si>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</si>
  <si>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</si>
  <si>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</si>
  <si>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</si>
  <si>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</si>
  <si>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</si>
  <si>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</si>
  <si>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</si>
  <si>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</si>
  <si>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</si>
  <si>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</si>
  <si>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</si>
  <si>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</si>
  <si>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</si>
  <si>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</si>
  <si>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</si>
  <si>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</si>
  <si>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</si>
  <si>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</si>
  <si>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</si>
  <si>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</si>
  <si>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</si>
  <si>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</si>
  <si>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</si>
  <si>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</si>
  <si>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</si>
  <si>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</si>
  <si>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</si>
  <si>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</si>
  <si>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</si>
  <si>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</si>
  <si>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</si>
  <si>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</si>
  <si>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</si>
  <si>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</si>
  <si>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</si>
  <si>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</si>
  <si>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</si>
  <si>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</si>
  <si>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</si>
  <si>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</si>
  <si>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</si>
  <si>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</si>
  <si>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</si>
  <si>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</si>
  <si>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</si>
  <si>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</si>
  <si>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</si>
  <si>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</si>
  <si>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</si>
  <si>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</si>
  <si>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</si>
  <si>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</si>
  <si>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</si>
  <si>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</si>
  <si>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</si>
  <si>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</si>
  <si>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</si>
  <si>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</si>
  <si>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</si>
  <si>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</si>
  <si>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</si>
  <si>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</si>
  <si>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</si>
  <si>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</si>
  <si>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</si>
  <si>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</si>
  <si>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</si>
  <si>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</si>
  <si>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</si>
  <si>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</si>
  <si>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</si>
  <si>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</si>
  <si>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</si>
  <si>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</si>
  <si>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</si>
  <si>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</si>
  <si>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</si>
  <si>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</si>
  <si>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</si>
  <si>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</si>
  <si>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</si>
  <si>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</si>
  <si>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</si>
  <si>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</si>
  <si>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</si>
  <si>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</si>
  <si>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</si>
  <si>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</si>
  <si>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</si>
  <si>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</si>
  <si>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</si>
  <si>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</si>
  <si>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</si>
  <si>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</si>
  <si>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</si>
  <si>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</si>
  <si>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</si>
  <si>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</si>
  <si>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</si>
  <si>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</si>
  <si>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</si>
  <si>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</si>
  <si>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</si>
  <si>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</si>
  <si>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</si>
  <si>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</si>
  <si>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</si>
  <si>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</si>
  <si>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</si>
  <si>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</si>
  <si>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</si>
  <si>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</si>
  <si>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</si>
  <si>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</si>
  <si>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</si>
  <si>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</si>
  <si>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</si>
  <si>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</si>
  <si>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</si>
  <si>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</si>
  <si>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</si>
  <si>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</si>
  <si>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</si>
  <si>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</si>
  <si>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</si>
  <si>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</si>
  <si>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</si>
  <si>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</si>
  <si>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</si>
  <si>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</si>
  <si>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</si>
  <si>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</si>
  <si>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</si>
  <si>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</si>
  <si>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</si>
  <si>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</si>
  <si>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</si>
  <si>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</si>
  <si>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</si>
  <si>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</si>
  <si>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</si>
  <si>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</si>
  <si>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</si>
  <si>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</si>
  <si>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</si>
  <si>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</si>
  <si>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</si>
  <si>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</si>
  <si>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</si>
  <si>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</si>
  <si>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</si>
  <si>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</si>
  <si>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</si>
  <si>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</si>
  <si>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</si>
  <si>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</si>
  <si>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</si>
  <si>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</si>
  <si>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</si>
  <si>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</si>
  <si>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</si>
  <si>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</si>
  <si>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</si>
  <si>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</si>
  <si>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</si>
  <si>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</si>
  <si>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</si>
  <si>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</si>
  <si>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</si>
  <si>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</si>
  <si>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</si>
  <si>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</si>
  <si>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</si>
  <si>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</si>
  <si>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</si>
  <si>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</si>
  <si>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</si>
  <si>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</si>
  <si>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</si>
  <si>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</si>
  <si>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</si>
  <si>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</si>
  <si>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</si>
  <si>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</si>
  <si>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</si>
  <si>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</si>
  <si>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</si>
  <si>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</si>
  <si>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</si>
  <si>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</si>
  <si>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31005</t>
  </si>
  <si>
    <t>BRUGGE</t>
  </si>
  <si>
    <t>Paarden&amp;pony's 200 - 600 kg</t>
  </si>
  <si>
    <t>Paarden&amp;pony's &lt; 200 kg</t>
  </si>
  <si>
    <t>referentietaak LNE (2017); Jaarverslag De Lijn (2015)</t>
  </si>
  <si>
    <t>op basis van VEA (maart 2018) en Inventaris Hernieuwbare Energiebronnen (juni 2018)</t>
  </si>
  <si>
    <t>VEA (januari 2017)</t>
  </si>
  <si>
    <t>VEA (juni 2018)</t>
  </si>
  <si>
    <t>Sweetee bvba</t>
  </si>
  <si>
    <t>Hoge Hul 34-38 , 8000 Brugge</t>
  </si>
  <si>
    <t>WKK-0489 Sweetee</t>
  </si>
  <si>
    <t>interne verbrandingsmotor</t>
  </si>
  <si>
    <t>WKK interne verbrandinsgmotor (gas)</t>
  </si>
  <si>
    <t>IMEWO</t>
  </si>
  <si>
    <t>Eric Claus</t>
  </si>
  <si>
    <t>Sint-Jansstraat 10 , 8000 Brugge</t>
  </si>
  <si>
    <t>WKK-0580 Eric Claus</t>
  </si>
  <si>
    <t>stirlingmotor</t>
  </si>
  <si>
    <t>S&amp;R Brugge NV</t>
  </si>
  <si>
    <t>Doornstraat 110 , 8200 Sint-Andries</t>
  </si>
  <si>
    <t>WKK-0662 S&amp;R Brugge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</si>
</sst>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823804.85204536945</c:v>
                </c:pt>
                <c:pt idx="1">
                  <c:v>776633.80430534505</c:v>
                </c:pt>
                <c:pt idx="2">
                  <c:v>8039.3959999999997</c:v>
                </c:pt>
                <c:pt idx="3">
                  <c:v>49329.500054473152</c:v>
                </c:pt>
                <c:pt idx="4">
                  <c:v>345317.76666997385</c:v>
                </c:pt>
                <c:pt idx="5">
                  <c:v>743813.04124760628</c:v>
                </c:pt>
                <c:pt idx="6">
                  <c:v>24232.393619396156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823804.85204536945</c:v>
                </c:pt>
                <c:pt idx="1">
                  <c:v>776633.80430534505</c:v>
                </c:pt>
                <c:pt idx="2">
                  <c:v>8039.3959999999997</c:v>
                </c:pt>
                <c:pt idx="3">
                  <c:v>49329.500054473152</c:v>
                </c:pt>
                <c:pt idx="4">
                  <c:v>345317.76666997385</c:v>
                </c:pt>
                <c:pt idx="5">
                  <c:v>743813.04124760628</c:v>
                </c:pt>
                <c:pt idx="6">
                  <c:v>24232.393619396156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152128.34256195891</c:v>
                </c:pt>
                <c:pt idx="2">
                  <c:v>149230.94045201014</c:v>
                </c:pt>
                <c:pt idx="3">
                  <c:v>1424.781380574143</c:v>
                </c:pt>
                <c:pt idx="4">
                  <c:v>11716.197099762156</c:v>
                </c:pt>
                <c:pt idx="5">
                  <c:v>63170.465056665322</c:v>
                </c:pt>
                <c:pt idx="6">
                  <c:v>190379.47271625992</c:v>
                </c:pt>
                <c:pt idx="7">
                  <c:v>6207.8470299559331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152128.34256195891</c:v>
                </c:pt>
                <c:pt idx="2">
                  <c:v>149230.94045201014</c:v>
                </c:pt>
                <c:pt idx="3">
                  <c:v>1424.781380574143</c:v>
                </c:pt>
                <c:pt idx="4">
                  <c:v>11716.197099762156</c:v>
                </c:pt>
                <c:pt idx="5">
                  <c:v>63170.465056665322</c:v>
                </c:pt>
                <c:pt idx="6">
                  <c:v>190379.47271625992</c:v>
                </c:pt>
                <c:pt idx="7">
                  <c:v>6207.8470299559331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31005</v>
      </c>
      <c r="B6" s="415"/>
      <c r="C6" s="416"/>
    </row>
    <row r="7" spans="1:7" s="413" customFormat="1" ht="15.75" customHeight="1">
      <c r="A7" s="417" t="str">
        <f>txtMunicipality</f>
        <v>BRUGGE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0.17722492841180396</v>
      </c>
      <c r="C17" s="524">
        <f ca="1">'EF ele_warmte'!B22</f>
        <v>0.23705006280279925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0.17722492841180396</v>
      </c>
      <c r="C29" s="525">
        <f ca="1">'EF ele_warmte'!B22</f>
        <v>0.23705006280279925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53346</v>
      </c>
      <c r="C9" s="342">
        <v>53799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4473.79</v>
      </c>
    </row>
    <row r="15" spans="1:6">
      <c r="A15" s="348" t="s">
        <v>184</v>
      </c>
      <c r="B15" s="334">
        <v>842</v>
      </c>
    </row>
    <row r="16" spans="1:6">
      <c r="A16" s="348" t="s">
        <v>6</v>
      </c>
      <c r="B16" s="334">
        <v>1369</v>
      </c>
    </row>
    <row r="17" spans="1:6">
      <c r="A17" s="348" t="s">
        <v>7</v>
      </c>
      <c r="B17" s="334">
        <v>1295</v>
      </c>
    </row>
    <row r="18" spans="1:6">
      <c r="A18" s="348" t="s">
        <v>8</v>
      </c>
      <c r="B18" s="334">
        <v>1811</v>
      </c>
    </row>
    <row r="19" spans="1:6">
      <c r="A19" s="348" t="s">
        <v>9</v>
      </c>
      <c r="B19" s="334">
        <v>1696</v>
      </c>
    </row>
    <row r="20" spans="1:6">
      <c r="A20" s="348" t="s">
        <v>10</v>
      </c>
      <c r="B20" s="334">
        <v>1658</v>
      </c>
    </row>
    <row r="21" spans="1:6">
      <c r="A21" s="348" t="s">
        <v>11</v>
      </c>
      <c r="B21" s="334">
        <v>3599</v>
      </c>
    </row>
    <row r="22" spans="1:6">
      <c r="A22" s="348" t="s">
        <v>12</v>
      </c>
      <c r="B22" s="334">
        <v>14646</v>
      </c>
    </row>
    <row r="23" spans="1:6">
      <c r="A23" s="348" t="s">
        <v>13</v>
      </c>
      <c r="B23" s="334">
        <v>225</v>
      </c>
    </row>
    <row r="24" spans="1:6">
      <c r="A24" s="348" t="s">
        <v>14</v>
      </c>
      <c r="B24" s="334">
        <v>5</v>
      </c>
    </row>
    <row r="25" spans="1:6">
      <c r="A25" s="348" t="s">
        <v>15</v>
      </c>
      <c r="B25" s="334">
        <v>968</v>
      </c>
    </row>
    <row r="26" spans="1:6">
      <c r="A26" s="348" t="s">
        <v>16</v>
      </c>
      <c r="B26" s="334">
        <v>809</v>
      </c>
    </row>
    <row r="27" spans="1:6">
      <c r="A27" s="348" t="s">
        <v>17</v>
      </c>
      <c r="B27" s="334">
        <v>165</v>
      </c>
    </row>
    <row r="28" spans="1:6" s="356" customFormat="1">
      <c r="A28" s="355" t="s">
        <v>18</v>
      </c>
      <c r="B28" s="355">
        <v>177548</v>
      </c>
    </row>
    <row r="29" spans="1:6">
      <c r="A29" s="355" t="s">
        <v>884</v>
      </c>
      <c r="B29" s="355">
        <v>359</v>
      </c>
      <c r="C29" s="356"/>
      <c r="D29" s="356"/>
      <c r="E29" s="356"/>
      <c r="F29" s="356"/>
    </row>
    <row r="30" spans="1:6">
      <c r="A30" s="355" t="s">
        <v>885</v>
      </c>
      <c r="B30" s="341">
        <v>61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9</v>
      </c>
      <c r="F35" s="334">
        <v>974153.21771</v>
      </c>
    </row>
    <row r="36" spans="1:6">
      <c r="A36" s="348" t="s">
        <v>25</v>
      </c>
      <c r="B36" s="348" t="s">
        <v>27</v>
      </c>
      <c r="C36" s="334">
        <v>8</v>
      </c>
      <c r="D36" s="334">
        <v>1449547.7633</v>
      </c>
      <c r="E36" s="334">
        <v>23</v>
      </c>
      <c r="F36" s="334">
        <v>841458.43504999997</v>
      </c>
    </row>
    <row r="37" spans="1:6">
      <c r="A37" s="348" t="s">
        <v>25</v>
      </c>
      <c r="B37" s="348" t="s">
        <v>28</v>
      </c>
      <c r="C37" s="334">
        <v>0</v>
      </c>
      <c r="D37" s="334">
        <v>0</v>
      </c>
      <c r="E37" s="334">
        <v>0</v>
      </c>
      <c r="F37" s="334">
        <v>0</v>
      </c>
    </row>
    <row r="38" spans="1:6">
      <c r="A38" s="348" t="s">
        <v>25</v>
      </c>
      <c r="B38" s="348" t="s">
        <v>29</v>
      </c>
      <c r="C38" s="334">
        <v>5</v>
      </c>
      <c r="D38" s="334">
        <v>560025.81564000004</v>
      </c>
      <c r="E38" s="334">
        <v>10</v>
      </c>
      <c r="F38" s="334">
        <v>377570.84668999998</v>
      </c>
    </row>
    <row r="39" spans="1:6">
      <c r="A39" s="348" t="s">
        <v>30</v>
      </c>
      <c r="B39" s="348" t="s">
        <v>31</v>
      </c>
      <c r="C39" s="334">
        <v>44276</v>
      </c>
      <c r="D39" s="334">
        <v>637847919.05999994</v>
      </c>
      <c r="E39" s="334">
        <v>52974</v>
      </c>
      <c r="F39" s="334">
        <v>178960572.22</v>
      </c>
    </row>
    <row r="40" spans="1:6">
      <c r="A40" s="348" t="s">
        <v>30</v>
      </c>
      <c r="B40" s="348" t="s">
        <v>29</v>
      </c>
      <c r="C40" s="334">
        <v>1</v>
      </c>
      <c r="D40" s="334">
        <v>17260.65206</v>
      </c>
      <c r="E40" s="334">
        <v>3</v>
      </c>
      <c r="F40" s="334">
        <v>48442.837897999998</v>
      </c>
    </row>
    <row r="41" spans="1:6">
      <c r="A41" s="348" t="s">
        <v>32</v>
      </c>
      <c r="B41" s="348" t="s">
        <v>33</v>
      </c>
      <c r="C41" s="334">
        <v>464</v>
      </c>
      <c r="D41" s="334">
        <v>10452167.546</v>
      </c>
      <c r="E41" s="334">
        <v>864</v>
      </c>
      <c r="F41" s="334">
        <v>12545490.925000001</v>
      </c>
    </row>
    <row r="42" spans="1:6">
      <c r="A42" s="348" t="s">
        <v>32</v>
      </c>
      <c r="B42" s="348" t="s">
        <v>34</v>
      </c>
      <c r="C42" s="334">
        <v>0</v>
      </c>
      <c r="D42" s="334">
        <v>0</v>
      </c>
      <c r="E42" s="334">
        <v>4</v>
      </c>
      <c r="F42" s="334">
        <v>3281629.6072999998</v>
      </c>
    </row>
    <row r="43" spans="1:6">
      <c r="A43" s="348" t="s">
        <v>32</v>
      </c>
      <c r="B43" s="348" t="s">
        <v>35</v>
      </c>
      <c r="C43" s="334">
        <v>0</v>
      </c>
      <c r="D43" s="334">
        <v>0</v>
      </c>
      <c r="E43" s="334">
        <v>0</v>
      </c>
      <c r="F43" s="334">
        <v>0</v>
      </c>
    </row>
    <row r="44" spans="1:6">
      <c r="A44" s="348" t="s">
        <v>32</v>
      </c>
      <c r="B44" s="348" t="s">
        <v>36</v>
      </c>
      <c r="C44" s="334">
        <v>58</v>
      </c>
      <c r="D44" s="334">
        <v>5591352.1818000004</v>
      </c>
      <c r="E44" s="334">
        <v>174</v>
      </c>
      <c r="F44" s="334">
        <v>5938523.2152000004</v>
      </c>
    </row>
    <row r="45" spans="1:6">
      <c r="A45" s="348" t="s">
        <v>32</v>
      </c>
      <c r="B45" s="348" t="s">
        <v>37</v>
      </c>
      <c r="C45" s="334">
        <v>3</v>
      </c>
      <c r="D45" s="334">
        <v>59472.681812000003</v>
      </c>
      <c r="E45" s="334">
        <v>19</v>
      </c>
      <c r="F45" s="334">
        <v>3484497.4802000001</v>
      </c>
    </row>
    <row r="46" spans="1:6">
      <c r="A46" s="348" t="s">
        <v>32</v>
      </c>
      <c r="B46" s="348" t="s">
        <v>38</v>
      </c>
      <c r="C46" s="334">
        <v>0</v>
      </c>
      <c r="D46" s="334">
        <v>0</v>
      </c>
      <c r="E46" s="334">
        <v>3</v>
      </c>
      <c r="F46" s="334">
        <v>4453.6339727000004</v>
      </c>
    </row>
    <row r="47" spans="1:6">
      <c r="A47" s="348" t="s">
        <v>32</v>
      </c>
      <c r="B47" s="348" t="s">
        <v>39</v>
      </c>
      <c r="C47" s="334">
        <v>51</v>
      </c>
      <c r="D47" s="334">
        <v>1691145.4068</v>
      </c>
      <c r="E47" s="334">
        <v>59</v>
      </c>
      <c r="F47" s="334">
        <v>4499437.1119999997</v>
      </c>
    </row>
    <row r="48" spans="1:6">
      <c r="A48" s="348" t="s">
        <v>32</v>
      </c>
      <c r="B48" s="348" t="s">
        <v>29</v>
      </c>
      <c r="C48" s="334">
        <v>144</v>
      </c>
      <c r="D48" s="334">
        <v>158662510.16999999</v>
      </c>
      <c r="E48" s="334">
        <v>141</v>
      </c>
      <c r="F48" s="334">
        <v>54620914.614</v>
      </c>
    </row>
    <row r="49" spans="1:6">
      <c r="A49" s="348" t="s">
        <v>32</v>
      </c>
      <c r="B49" s="348" t="s">
        <v>40</v>
      </c>
      <c r="C49" s="334">
        <v>13</v>
      </c>
      <c r="D49" s="334">
        <v>402999.30433000001</v>
      </c>
      <c r="E49" s="334">
        <v>25</v>
      </c>
      <c r="F49" s="334">
        <v>219698.56933999999</v>
      </c>
    </row>
    <row r="50" spans="1:6">
      <c r="A50" s="348" t="s">
        <v>32</v>
      </c>
      <c r="B50" s="348" t="s">
        <v>41</v>
      </c>
      <c r="C50" s="334">
        <v>106</v>
      </c>
      <c r="D50" s="334">
        <v>13039683.066</v>
      </c>
      <c r="E50" s="334">
        <v>134</v>
      </c>
      <c r="F50" s="334">
        <v>20104446.072000001</v>
      </c>
    </row>
    <row r="51" spans="1:6">
      <c r="A51" s="348" t="s">
        <v>42</v>
      </c>
      <c r="B51" s="348" t="s">
        <v>43</v>
      </c>
      <c r="C51" s="334">
        <v>132</v>
      </c>
      <c r="D51" s="334">
        <v>14435543.456</v>
      </c>
      <c r="E51" s="334">
        <v>290</v>
      </c>
      <c r="F51" s="334">
        <v>6617803.8684</v>
      </c>
    </row>
    <row r="52" spans="1:6">
      <c r="A52" s="348" t="s">
        <v>42</v>
      </c>
      <c r="B52" s="348" t="s">
        <v>29</v>
      </c>
      <c r="C52" s="334">
        <v>12</v>
      </c>
      <c r="D52" s="334">
        <v>533147.64000999997</v>
      </c>
      <c r="E52" s="334">
        <v>26</v>
      </c>
      <c r="F52" s="334">
        <v>816609.65954999998</v>
      </c>
    </row>
    <row r="53" spans="1:6">
      <c r="A53" s="348" t="s">
        <v>44</v>
      </c>
      <c r="B53" s="348" t="s">
        <v>45</v>
      </c>
      <c r="C53" s="334">
        <v>1693</v>
      </c>
      <c r="D53" s="334">
        <v>30952805.27</v>
      </c>
      <c r="E53" s="334">
        <v>2821</v>
      </c>
      <c r="F53" s="334">
        <v>10256978.103</v>
      </c>
    </row>
    <row r="54" spans="1:6">
      <c r="A54" s="348" t="s">
        <v>46</v>
      </c>
      <c r="B54" s="348" t="s">
        <v>47</v>
      </c>
      <c r="C54" s="334">
        <v>0</v>
      </c>
      <c r="D54" s="334">
        <v>0</v>
      </c>
      <c r="E54" s="334">
        <v>2</v>
      </c>
      <c r="F54" s="334">
        <v>8039396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515</v>
      </c>
      <c r="D57" s="334">
        <v>52660373.057999998</v>
      </c>
      <c r="E57" s="334">
        <v>730</v>
      </c>
      <c r="F57" s="334">
        <v>32001971.386</v>
      </c>
    </row>
    <row r="58" spans="1:6">
      <c r="A58" s="348" t="s">
        <v>49</v>
      </c>
      <c r="B58" s="348" t="s">
        <v>51</v>
      </c>
      <c r="C58" s="334">
        <v>361</v>
      </c>
      <c r="D58" s="334">
        <v>40838167.586000003</v>
      </c>
      <c r="E58" s="334">
        <v>465</v>
      </c>
      <c r="F58" s="334">
        <v>30860216.778000001</v>
      </c>
    </row>
    <row r="59" spans="1:6">
      <c r="A59" s="348" t="s">
        <v>49</v>
      </c>
      <c r="B59" s="348" t="s">
        <v>52</v>
      </c>
      <c r="C59" s="334">
        <v>1237</v>
      </c>
      <c r="D59" s="334">
        <v>50157159.708999999</v>
      </c>
      <c r="E59" s="334">
        <v>2050</v>
      </c>
      <c r="F59" s="334">
        <v>74350057.310000002</v>
      </c>
    </row>
    <row r="60" spans="1:6">
      <c r="A60" s="348" t="s">
        <v>49</v>
      </c>
      <c r="B60" s="348" t="s">
        <v>53</v>
      </c>
      <c r="C60" s="334">
        <v>1037</v>
      </c>
      <c r="D60" s="334">
        <v>78463228.224999994</v>
      </c>
      <c r="E60" s="334">
        <v>1237</v>
      </c>
      <c r="F60" s="334">
        <v>49064460.5</v>
      </c>
    </row>
    <row r="61" spans="1:6">
      <c r="A61" s="348" t="s">
        <v>49</v>
      </c>
      <c r="B61" s="348" t="s">
        <v>54</v>
      </c>
      <c r="C61" s="334">
        <v>1594</v>
      </c>
      <c r="D61" s="334">
        <v>80128472.643000007</v>
      </c>
      <c r="E61" s="334">
        <v>3075</v>
      </c>
      <c r="F61" s="334">
        <v>92416906.105000004</v>
      </c>
    </row>
    <row r="62" spans="1:6">
      <c r="A62" s="348" t="s">
        <v>49</v>
      </c>
      <c r="B62" s="348" t="s">
        <v>55</v>
      </c>
      <c r="C62" s="334">
        <v>292</v>
      </c>
      <c r="D62" s="334">
        <v>45504864.534000002</v>
      </c>
      <c r="E62" s="334">
        <v>460</v>
      </c>
      <c r="F62" s="334">
        <v>16481571.296</v>
      </c>
    </row>
    <row r="63" spans="1:6">
      <c r="A63" s="348" t="s">
        <v>49</v>
      </c>
      <c r="B63" s="348" t="s">
        <v>29</v>
      </c>
      <c r="C63" s="334">
        <v>367</v>
      </c>
      <c r="D63" s="334">
        <v>37630981.195</v>
      </c>
      <c r="E63" s="334">
        <v>352</v>
      </c>
      <c r="F63" s="334">
        <v>16262043.932</v>
      </c>
    </row>
    <row r="64" spans="1:6">
      <c r="A64" s="348" t="s">
        <v>56</v>
      </c>
      <c r="B64" s="348" t="s">
        <v>57</v>
      </c>
      <c r="C64" s="334">
        <v>0</v>
      </c>
      <c r="D64" s="334">
        <v>0</v>
      </c>
      <c r="E64" s="334">
        <v>0</v>
      </c>
      <c r="F64" s="334">
        <v>0</v>
      </c>
    </row>
    <row r="65" spans="1:6">
      <c r="A65" s="348" t="s">
        <v>56</v>
      </c>
      <c r="B65" s="348" t="s">
        <v>29</v>
      </c>
      <c r="C65" s="334">
        <v>18</v>
      </c>
      <c r="D65" s="334">
        <v>3096475.6849000002</v>
      </c>
      <c r="E65" s="334">
        <v>17</v>
      </c>
      <c r="F65" s="334">
        <v>334969.58347000001</v>
      </c>
    </row>
    <row r="66" spans="1:6">
      <c r="A66" s="348" t="s">
        <v>56</v>
      </c>
      <c r="B66" s="348" t="s">
        <v>58</v>
      </c>
      <c r="C66" s="334">
        <v>6</v>
      </c>
      <c r="D66" s="334">
        <v>50740.086918000001</v>
      </c>
      <c r="E66" s="334">
        <v>127</v>
      </c>
      <c r="F66" s="334">
        <v>7068971.7532000002</v>
      </c>
    </row>
    <row r="67" spans="1:6">
      <c r="A67" s="355" t="s">
        <v>56</v>
      </c>
      <c r="B67" s="355" t="s">
        <v>59</v>
      </c>
      <c r="C67" s="334">
        <v>0</v>
      </c>
      <c r="D67" s="334">
        <v>0</v>
      </c>
      <c r="E67" s="334">
        <v>0</v>
      </c>
      <c r="F67" s="334">
        <v>0</v>
      </c>
    </row>
    <row r="68" spans="1:6">
      <c r="A68" s="341" t="s">
        <v>56</v>
      </c>
      <c r="B68" s="341" t="s">
        <v>60</v>
      </c>
      <c r="C68" s="334">
        <v>31</v>
      </c>
      <c r="D68" s="334">
        <v>629856.04425000004</v>
      </c>
      <c r="E68" s="334">
        <v>81</v>
      </c>
      <c r="F68" s="334">
        <v>3276128.0767000001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567784565</v>
      </c>
      <c r="E73" s="475">
        <v>578366420.49628794</v>
      </c>
    </row>
    <row r="74" spans="1:6">
      <c r="A74" s="348" t="s">
        <v>64</v>
      </c>
      <c r="B74" s="348" t="s">
        <v>667</v>
      </c>
      <c r="C74" s="1294" t="s">
        <v>669</v>
      </c>
      <c r="D74" s="475">
        <v>56333556.582541004</v>
      </c>
      <c r="E74" s="475">
        <v>56381732.594612494</v>
      </c>
    </row>
    <row r="75" spans="1:6">
      <c r="A75" s="348" t="s">
        <v>65</v>
      </c>
      <c r="B75" s="348" t="s">
        <v>666</v>
      </c>
      <c r="C75" s="1294" t="s">
        <v>670</v>
      </c>
      <c r="D75" s="475">
        <v>151568472</v>
      </c>
      <c r="E75" s="475">
        <v>156209294.93094966</v>
      </c>
    </row>
    <row r="76" spans="1:6">
      <c r="A76" s="348" t="s">
        <v>65</v>
      </c>
      <c r="B76" s="348" t="s">
        <v>667</v>
      </c>
      <c r="C76" s="1294" t="s">
        <v>671</v>
      </c>
      <c r="D76" s="475">
        <v>5987274.5825410001</v>
      </c>
      <c r="E76" s="475">
        <v>5961095.4834503606</v>
      </c>
    </row>
    <row r="77" spans="1:6">
      <c r="A77" s="348" t="s">
        <v>66</v>
      </c>
      <c r="B77" s="348" t="s">
        <v>666</v>
      </c>
      <c r="C77" s="1294" t="s">
        <v>672</v>
      </c>
      <c r="D77" s="475">
        <v>90871600</v>
      </c>
      <c r="E77" s="475">
        <v>97773621.040989205</v>
      </c>
    </row>
    <row r="78" spans="1:6">
      <c r="A78" s="341" t="s">
        <v>66</v>
      </c>
      <c r="B78" s="341" t="s">
        <v>667</v>
      </c>
      <c r="C78" s="341" t="s">
        <v>673</v>
      </c>
      <c r="D78" s="1295">
        <v>14616623</v>
      </c>
      <c r="E78" s="1295">
        <v>15216620.008963902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6286526.8349179998</v>
      </c>
      <c r="C83" s="475">
        <v>6286526.8349179998</v>
      </c>
    </row>
    <row r="84" spans="1:6">
      <c r="A84" s="341" t="s">
        <v>337</v>
      </c>
      <c r="B84" s="1295">
        <v>234443.89398521619</v>
      </c>
      <c r="C84" s="1295">
        <v>234443.89398521619</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93307.733506680859</v>
      </c>
    </row>
    <row r="91" spans="1:6">
      <c r="A91" s="348" t="s">
        <v>68</v>
      </c>
      <c r="B91" s="334">
        <v>12501.527838497615</v>
      </c>
    </row>
    <row r="92" spans="1:6">
      <c r="A92" s="341" t="s">
        <v>69</v>
      </c>
      <c r="B92" s="342">
        <v>19908.713111166726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33975</v>
      </c>
    </row>
    <row r="98" spans="1:6">
      <c r="A98" s="348" t="s">
        <v>72</v>
      </c>
      <c r="B98" s="334">
        <v>8</v>
      </c>
    </row>
    <row r="99" spans="1:6">
      <c r="A99" s="348" t="s">
        <v>73</v>
      </c>
      <c r="B99" s="334">
        <v>191</v>
      </c>
    </row>
    <row r="100" spans="1:6">
      <c r="A100" s="348" t="s">
        <v>74</v>
      </c>
      <c r="B100" s="334">
        <v>3941</v>
      </c>
    </row>
    <row r="101" spans="1:6">
      <c r="A101" s="348" t="s">
        <v>75</v>
      </c>
      <c r="B101" s="334">
        <v>356</v>
      </c>
    </row>
    <row r="102" spans="1:6">
      <c r="A102" s="348" t="s">
        <v>76</v>
      </c>
      <c r="B102" s="334">
        <v>1147</v>
      </c>
    </row>
    <row r="103" spans="1:6">
      <c r="A103" s="348" t="s">
        <v>77</v>
      </c>
      <c r="B103" s="334">
        <v>613</v>
      </c>
    </row>
    <row r="104" spans="1:6">
      <c r="A104" s="348" t="s">
        <v>78</v>
      </c>
      <c r="B104" s="334">
        <v>8219</v>
      </c>
    </row>
    <row r="105" spans="1:6">
      <c r="A105" s="341" t="s">
        <v>79</v>
      </c>
      <c r="B105" s="341">
        <v>33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3</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81</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612</v>
      </c>
    </row>
    <row r="130" spans="1:6">
      <c r="A130" s="348" t="s">
        <v>295</v>
      </c>
      <c r="B130" s="334">
        <v>13</v>
      </c>
    </row>
    <row r="131" spans="1:6">
      <c r="A131" s="348" t="s">
        <v>296</v>
      </c>
      <c r="B131" s="334">
        <v>17</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634603.92797661491</v>
      </c>
      <c r="C3" s="43" t="s">
        <v>170</v>
      </c>
      <c r="D3" s="43"/>
      <c r="E3" s="154"/>
      <c r="F3" s="43"/>
      <c r="G3" s="43"/>
      <c r="H3" s="43"/>
      <c r="I3" s="43"/>
      <c r="J3" s="43"/>
      <c r="K3" s="96"/>
    </row>
    <row r="4" spans="1:11">
      <c r="A4" s="383" t="s">
        <v>171</v>
      </c>
      <c r="B4" s="49">
        <f>IF(ISERROR('SEAP template'!B78+'SEAP template'!C78),0,'SEAP template'!B78+'SEAP template'!C78)</f>
        <v>125957.2244563452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56.714227525569719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0.17722492841180396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84.830058188716023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357.85714285714289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0.23705006280279925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8039.3959999999997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8039.3959999999997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0.17722492841180396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1424.781380574143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179009.01505789798</v>
      </c>
      <c r="C5" s="17">
        <f>IF(ISERROR('Eigen informatie GS &amp; warmtenet'!B57),0,'Eigen informatie GS &amp; warmtenet'!B57)</f>
        <v>0</v>
      </c>
      <c r="D5" s="30">
        <f>(SUM(HH_hh_gas_kWh,HH_rest_gas_kWh)/1000)*0.902</f>
        <v>575354.39210027817</v>
      </c>
      <c r="E5" s="17">
        <f>B46*B57</f>
        <v>8662.172258957231</v>
      </c>
      <c r="F5" s="17">
        <f>B51*B62</f>
        <v>0</v>
      </c>
      <c r="G5" s="18"/>
      <c r="H5" s="17"/>
      <c r="I5" s="17"/>
      <c r="J5" s="17">
        <f>B50*B61+C50*C61</f>
        <v>0</v>
      </c>
      <c r="K5" s="17"/>
      <c r="L5" s="17"/>
      <c r="M5" s="17"/>
      <c r="N5" s="17">
        <f>B48*B59+C48*C59</f>
        <v>45853.434789738363</v>
      </c>
      <c r="O5" s="17">
        <f>B69*B70*B71</f>
        <v>1089.6433333333334</v>
      </c>
      <c r="P5" s="17">
        <f>B77*B78*B79/1000-B77*B78*B79/1000/B80</f>
        <v>1334.6666666666667</v>
      </c>
    </row>
    <row r="6" spans="1:16">
      <c r="A6" s="16" t="s">
        <v>624</v>
      </c>
      <c r="B6" s="788">
        <f>kWh_PV_kleiner_dan_10kW</f>
        <v>12501.527838497615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191510.54289639561</v>
      </c>
      <c r="C8" s="21">
        <f>C5</f>
        <v>0</v>
      </c>
      <c r="D8" s="21">
        <f>D5</f>
        <v>575354.39210027817</v>
      </c>
      <c r="E8" s="21">
        <f>E5</f>
        <v>8662.172258957231</v>
      </c>
      <c r="F8" s="21">
        <f>F5</f>
        <v>0</v>
      </c>
      <c r="G8" s="21"/>
      <c r="H8" s="21"/>
      <c r="I8" s="21"/>
      <c r="J8" s="21">
        <f>J5</f>
        <v>0</v>
      </c>
      <c r="K8" s="21"/>
      <c r="L8" s="21">
        <f>L5</f>
        <v>0</v>
      </c>
      <c r="M8" s="21">
        <f>M5</f>
        <v>0</v>
      </c>
      <c r="N8" s="21">
        <f>N5</f>
        <v>45853.434789738363</v>
      </c>
      <c r="O8" s="21">
        <f>O5</f>
        <v>1089.6433333333334</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0.17722492841180396</v>
      </c>
      <c r="C10" s="25">
        <f ca="1">'EF ele_warmte'!B22</f>
        <v>0.23705006280279925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33940.442254919421</v>
      </c>
      <c r="C12" s="23">
        <f ca="1">C10*C8</f>
        <v>0</v>
      </c>
      <c r="D12" s="23">
        <f>D8*D10</f>
        <v>116221.5872042562</v>
      </c>
      <c r="E12" s="23">
        <f>E10*E8</f>
        <v>1966.3131027832915</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33975</v>
      </c>
      <c r="C18" s="166" t="s">
        <v>111</v>
      </c>
      <c r="D18" s="228"/>
      <c r="E18" s="15"/>
    </row>
    <row r="19" spans="1:7">
      <c r="A19" s="171" t="s">
        <v>72</v>
      </c>
      <c r="B19" s="37">
        <f>aantalw2001_ander</f>
        <v>8</v>
      </c>
      <c r="C19" s="166" t="s">
        <v>111</v>
      </c>
      <c r="D19" s="229"/>
      <c r="E19" s="15"/>
    </row>
    <row r="20" spans="1:7">
      <c r="A20" s="171" t="s">
        <v>73</v>
      </c>
      <c r="B20" s="37">
        <f>aantalw2001_propaan</f>
        <v>191</v>
      </c>
      <c r="C20" s="167">
        <f>IF(ISERROR(B20/SUM($B$20,$B$21,$B$22)*100),0,B20/SUM($B$20,$B$21,$B$22)*100)</f>
        <v>4.2557932263814617</v>
      </c>
      <c r="D20" s="229"/>
      <c r="E20" s="15"/>
    </row>
    <row r="21" spans="1:7">
      <c r="A21" s="171" t="s">
        <v>74</v>
      </c>
      <c r="B21" s="37">
        <f>aantalw2001_elektriciteit</f>
        <v>3941</v>
      </c>
      <c r="C21" s="167">
        <f>IF(ISERROR(B21/SUM($B$20,$B$21,$B$22)*100),0,B21/SUM($B$20,$B$21,$B$22)*100)</f>
        <v>87.811942959001783</v>
      </c>
      <c r="D21" s="229"/>
      <c r="E21" s="15"/>
    </row>
    <row r="22" spans="1:7">
      <c r="A22" s="171" t="s">
        <v>75</v>
      </c>
      <c r="B22" s="37">
        <f>aantalw2001_hout</f>
        <v>356</v>
      </c>
      <c r="C22" s="167">
        <f>IF(ISERROR(B22/SUM($B$20,$B$21,$B$22)*100),0,B22/SUM($B$20,$B$21,$B$22)*100)</f>
        <v>7.9322638146167552</v>
      </c>
      <c r="D22" s="229"/>
      <c r="E22" s="15"/>
    </row>
    <row r="23" spans="1:7">
      <c r="A23" s="171" t="s">
        <v>76</v>
      </c>
      <c r="B23" s="37">
        <f>aantalw2001_niet_gespec</f>
        <v>1147</v>
      </c>
      <c r="C23" s="166" t="s">
        <v>111</v>
      </c>
      <c r="D23" s="228"/>
      <c r="E23" s="15"/>
    </row>
    <row r="24" spans="1:7">
      <c r="A24" s="171" t="s">
        <v>77</v>
      </c>
      <c r="B24" s="37">
        <f>aantalw2001_steenkool</f>
        <v>613</v>
      </c>
      <c r="C24" s="166" t="s">
        <v>111</v>
      </c>
      <c r="D24" s="229"/>
      <c r="E24" s="15"/>
    </row>
    <row r="25" spans="1:7">
      <c r="A25" s="171" t="s">
        <v>78</v>
      </c>
      <c r="B25" s="37">
        <f>aantalw2001_stookolie</f>
        <v>8219</v>
      </c>
      <c r="C25" s="166" t="s">
        <v>111</v>
      </c>
      <c r="D25" s="228"/>
      <c r="E25" s="52"/>
    </row>
    <row r="26" spans="1:7">
      <c r="A26" s="171" t="s">
        <v>79</v>
      </c>
      <c r="B26" s="37">
        <f>aantalw2001_WP</f>
        <v>33</v>
      </c>
      <c r="C26" s="166" t="s">
        <v>111</v>
      </c>
      <c r="D26" s="228"/>
      <c r="E26" s="15"/>
    </row>
    <row r="27" spans="1:7" s="15" customFormat="1">
      <c r="A27" s="171"/>
      <c r="B27" s="29"/>
      <c r="C27" s="36"/>
      <c r="D27" s="228"/>
    </row>
    <row r="28" spans="1:7" s="15" customFormat="1">
      <c r="A28" s="230" t="s">
        <v>698</v>
      </c>
      <c r="B28" s="37">
        <f>aantalHuishoudens2011</f>
        <v>53346</v>
      </c>
      <c r="C28" s="36"/>
      <c r="D28" s="228"/>
    </row>
    <row r="29" spans="1:7" s="15" customFormat="1">
      <c r="A29" s="230" t="s">
        <v>699</v>
      </c>
      <c r="B29" s="37">
        <f>SUM(HH_hh_gas_aantal,HH_rest_gas_aantal)</f>
        <v>44277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44277</v>
      </c>
      <c r="C32" s="167">
        <f>IF(ISERROR(B32/SUM($B$32,$B$34,$B$35,$B$36,$B$38,$B$39)*100),0,B32/SUM($B$32,$B$34,$B$35,$B$36,$B$38,$B$39)*100)</f>
        <v>83.108716870635945</v>
      </c>
      <c r="D32" s="233"/>
      <c r="G32" s="15"/>
    </row>
    <row r="33" spans="1:7">
      <c r="A33" s="171" t="s">
        <v>72</v>
      </c>
      <c r="B33" s="34" t="s">
        <v>111</v>
      </c>
      <c r="C33" s="167"/>
      <c r="D33" s="233"/>
      <c r="G33" s="15"/>
    </row>
    <row r="34" spans="1:7">
      <c r="A34" s="171" t="s">
        <v>73</v>
      </c>
      <c r="B34" s="33">
        <f>IF((($B$28-$B$32-$B$39-$B$77-$B$38)*C20/100)&lt;0,0,($B$28-$B$32-$B$39-$B$77-$B$38)*C20/100)</f>
        <v>382.9788324420677</v>
      </c>
      <c r="C34" s="167">
        <f>IF(ISERROR(B34/SUM($B$32,$B$34,$B$35,$B$36,$B$38,$B$39)*100),0,B34/SUM($B$32,$B$34,$B$35,$B$36,$B$38,$B$39)*100)</f>
        <v>0.71885808326839051</v>
      </c>
      <c r="D34" s="233"/>
      <c r="G34" s="15"/>
    </row>
    <row r="35" spans="1:7">
      <c r="A35" s="171" t="s">
        <v>74</v>
      </c>
      <c r="B35" s="33">
        <f>IF((($B$28-$B$32-$B$39-$B$77-$B$38)*C21/100)&lt;0,0,($B$28-$B$32-$B$39-$B$77-$B$38)*C21/100)</f>
        <v>7902.1967468805706</v>
      </c>
      <c r="C35" s="167">
        <f>IF(ISERROR(B35/SUM($B$32,$B$34,$B$35,$B$36,$B$38,$B$39)*100),0,B35/SUM($B$32,$B$34,$B$35,$B$36,$B$38,$B$39)*100)</f>
        <v>14.832563906600669</v>
      </c>
      <c r="D35" s="233"/>
      <c r="G35" s="15"/>
    </row>
    <row r="36" spans="1:7">
      <c r="A36" s="171" t="s">
        <v>75</v>
      </c>
      <c r="B36" s="33">
        <f>IF((($B$28-$B$32-$B$39-$B$77-$B$38)*C22/100)&lt;0,0,($B$28-$B$32-$B$39-$B$77-$B$38)*C22/100)</f>
        <v>713.82442067736179</v>
      </c>
      <c r="C36" s="167">
        <f>IF(ISERROR(B36/SUM($B$32,$B$34,$B$35,$B$36,$B$38,$B$39)*100),0,B36/SUM($B$32,$B$34,$B$35,$B$36,$B$38,$B$39)*100)</f>
        <v>1.3398611394950106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44277</v>
      </c>
      <c r="C44" s="34" t="s">
        <v>111</v>
      </c>
      <c r="D44" s="174"/>
    </row>
    <row r="45" spans="1:7">
      <c r="A45" s="171" t="s">
        <v>72</v>
      </c>
      <c r="B45" s="33" t="str">
        <f t="shared" si="0"/>
        <v>-</v>
      </c>
      <c r="C45" s="34" t="s">
        <v>111</v>
      </c>
      <c r="D45" s="174"/>
    </row>
    <row r="46" spans="1:7">
      <c r="A46" s="171" t="s">
        <v>73</v>
      </c>
      <c r="B46" s="33">
        <f t="shared" si="0"/>
        <v>382.9788324420677</v>
      </c>
      <c r="C46" s="34" t="s">
        <v>111</v>
      </c>
      <c r="D46" s="174"/>
    </row>
    <row r="47" spans="1:7">
      <c r="A47" s="171" t="s">
        <v>74</v>
      </c>
      <c r="B47" s="33">
        <f t="shared" si="0"/>
        <v>7902.1967468805706</v>
      </c>
      <c r="C47" s="34" t="s">
        <v>111</v>
      </c>
      <c r="D47" s="174"/>
    </row>
    <row r="48" spans="1:7">
      <c r="A48" s="171" t="s">
        <v>75</v>
      </c>
      <c r="B48" s="33">
        <f t="shared" si="0"/>
        <v>713.82442067736179</v>
      </c>
      <c r="C48" s="33">
        <f>B48*10</f>
        <v>7138.2442067736174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697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311437.22730699996</v>
      </c>
      <c r="C5" s="17">
        <f>IF(ISERROR('Eigen informatie GS &amp; warmtenet'!B58),0,'Eigen informatie GS &amp; warmtenet'!B58)</f>
        <v>0</v>
      </c>
      <c r="D5" s="30">
        <f>SUM(D6:D12)</f>
        <v>347615.68874890002</v>
      </c>
      <c r="E5" s="17">
        <f>SUM(E6:E12)</f>
        <v>5547.6054908992865</v>
      </c>
      <c r="F5" s="17">
        <f>SUM(F6:F12)</f>
        <v>84538.17344658084</v>
      </c>
      <c r="G5" s="18"/>
      <c r="H5" s="17"/>
      <c r="I5" s="17"/>
      <c r="J5" s="17">
        <f>SUM(J6:J12)</f>
        <v>0</v>
      </c>
      <c r="K5" s="17"/>
      <c r="L5" s="17"/>
      <c r="M5" s="17"/>
      <c r="N5" s="17">
        <f>SUM(N6:N12)</f>
        <v>27240.652645298196</v>
      </c>
      <c r="O5" s="17">
        <f>B38*B39*B40</f>
        <v>20.323333333333334</v>
      </c>
      <c r="P5" s="17">
        <f>B46*B47*B48/1000-B46*B47*B48/1000/B49</f>
        <v>324.13333333333333</v>
      </c>
      <c r="R5" s="32"/>
    </row>
    <row r="6" spans="1:18">
      <c r="A6" s="32" t="s">
        <v>54</v>
      </c>
      <c r="B6" s="37">
        <f>B26</f>
        <v>92416.906105000002</v>
      </c>
      <c r="C6" s="33"/>
      <c r="D6" s="37">
        <f>IF(ISERROR(TER_kantoor_gas_kWh/1000),0,TER_kantoor_gas_kWh/1000)*0.902</f>
        <v>72275.882323986007</v>
      </c>
      <c r="E6" s="33">
        <f>$C$26*'E Balans VL '!I12/100/3.6*1000000</f>
        <v>1209.8511420353507</v>
      </c>
      <c r="F6" s="33">
        <f>$C$26*('E Balans VL '!L12+'E Balans VL '!N12)/100/3.6*1000000</f>
        <v>23565.356056141263</v>
      </c>
      <c r="G6" s="34"/>
      <c r="H6" s="33"/>
      <c r="I6" s="33"/>
      <c r="J6" s="33">
        <f>$C$26*('E Balans VL '!D12+'E Balans VL '!E12)/100/3.6*1000000</f>
        <v>0</v>
      </c>
      <c r="K6" s="33"/>
      <c r="L6" s="33"/>
      <c r="M6" s="33"/>
      <c r="N6" s="33">
        <f>$C$26*'E Balans VL '!Y12/100/3.6*1000000</f>
        <v>92.728115086199466</v>
      </c>
      <c r="O6" s="33"/>
      <c r="P6" s="33"/>
      <c r="R6" s="32"/>
    </row>
    <row r="7" spans="1:18">
      <c r="A7" s="32" t="s">
        <v>53</v>
      </c>
      <c r="B7" s="37">
        <f t="shared" ref="B7:B12" si="0">B27</f>
        <v>49064.460500000001</v>
      </c>
      <c r="C7" s="33"/>
      <c r="D7" s="37">
        <f>IF(ISERROR(TER_horeca_gas_kWh/1000),0,TER_horeca_gas_kWh/1000)*0.902</f>
        <v>70773.831858949998</v>
      </c>
      <c r="E7" s="33">
        <f>$C$27*'E Balans VL '!I9/100/3.6*1000000</f>
        <v>1623.7351934485348</v>
      </c>
      <c r="F7" s="33">
        <f>$C$27*('E Balans VL '!L9+'E Balans VL '!N9)/100/3.6*1000000</f>
        <v>21097.529977210681</v>
      </c>
      <c r="G7" s="34"/>
      <c r="H7" s="33"/>
      <c r="I7" s="33"/>
      <c r="J7" s="33">
        <f>$C$27*('E Balans VL '!D9+'E Balans VL '!E9)/100/3.6*1000000</f>
        <v>0</v>
      </c>
      <c r="K7" s="33"/>
      <c r="L7" s="33"/>
      <c r="M7" s="33"/>
      <c r="N7" s="33">
        <f>$C$27*'E Balans VL '!Y9/100/3.6*1000000</f>
        <v>11.8105281365062</v>
      </c>
      <c r="O7" s="33"/>
      <c r="P7" s="33"/>
      <c r="R7" s="32"/>
    </row>
    <row r="8" spans="1:18">
      <c r="A8" s="6" t="s">
        <v>52</v>
      </c>
      <c r="B8" s="37">
        <f t="shared" si="0"/>
        <v>74350.057310000004</v>
      </c>
      <c r="C8" s="33"/>
      <c r="D8" s="37">
        <f>IF(ISERROR(TER_handel_gas_kWh/1000),0,TER_handel_gas_kWh/1000)*0.902</f>
        <v>45241.758057518004</v>
      </c>
      <c r="E8" s="33">
        <f>$C$28*'E Balans VL '!I13/100/3.6*1000000</f>
        <v>2346.6014122095808</v>
      </c>
      <c r="F8" s="33">
        <f>$C$28*('E Balans VL '!L13+'E Balans VL '!N13)/100/3.6*1000000</f>
        <v>14581.355461716445</v>
      </c>
      <c r="G8" s="34"/>
      <c r="H8" s="33"/>
      <c r="I8" s="33"/>
      <c r="J8" s="33">
        <f>$C$28*('E Balans VL '!D13+'E Balans VL '!E13)/100/3.6*1000000</f>
        <v>0</v>
      </c>
      <c r="K8" s="33"/>
      <c r="L8" s="33"/>
      <c r="M8" s="33"/>
      <c r="N8" s="33">
        <f>$C$28*'E Balans VL '!Y13/100/3.6*1000000</f>
        <v>88.23908314055268</v>
      </c>
      <c r="O8" s="33"/>
      <c r="P8" s="33"/>
      <c r="R8" s="32"/>
    </row>
    <row r="9" spans="1:18">
      <c r="A9" s="32" t="s">
        <v>51</v>
      </c>
      <c r="B9" s="37">
        <f t="shared" si="0"/>
        <v>30860.216778000002</v>
      </c>
      <c r="C9" s="33"/>
      <c r="D9" s="37">
        <f>IF(ISERROR(TER_gezond_gas_kWh/1000),0,TER_gezond_gas_kWh/1000)*0.902</f>
        <v>36836.027162572005</v>
      </c>
      <c r="E9" s="33">
        <f>$C$29*'E Balans VL '!I10/100/3.6*1000000</f>
        <v>3.9510105431944988</v>
      </c>
      <c r="F9" s="33">
        <f>$C$29*('E Balans VL '!L10+'E Balans VL '!N10)/100/3.6*1000000</f>
        <v>6429.4766250805533</v>
      </c>
      <c r="G9" s="34"/>
      <c r="H9" s="33"/>
      <c r="I9" s="33"/>
      <c r="J9" s="33">
        <f>$C$29*('E Balans VL '!D10+'E Balans VL '!E10)/100/3.6*1000000</f>
        <v>0</v>
      </c>
      <c r="K9" s="33"/>
      <c r="L9" s="33"/>
      <c r="M9" s="33"/>
      <c r="N9" s="33">
        <f>$C$29*'E Balans VL '!Y10/100/3.6*1000000</f>
        <v>362.46783251367981</v>
      </c>
      <c r="O9" s="33"/>
      <c r="P9" s="33"/>
      <c r="R9" s="32"/>
    </row>
    <row r="10" spans="1:18">
      <c r="A10" s="32" t="s">
        <v>50</v>
      </c>
      <c r="B10" s="37">
        <f t="shared" si="0"/>
        <v>32001.971386000001</v>
      </c>
      <c r="C10" s="33"/>
      <c r="D10" s="37">
        <f>IF(ISERROR(TER_ander_gas_kWh/1000),0,TER_ander_gas_kWh/1000)*0.902</f>
        <v>47499.656498315999</v>
      </c>
      <c r="E10" s="33">
        <f>$C$30*'E Balans VL '!I14/100/3.6*1000000</f>
        <v>48.123439202128395</v>
      </c>
      <c r="F10" s="33">
        <f>$C$30*('E Balans VL '!L14+'E Balans VL '!N14)/100/3.6*1000000</f>
        <v>7065.0037113783656</v>
      </c>
      <c r="G10" s="34"/>
      <c r="H10" s="33"/>
      <c r="I10" s="33"/>
      <c r="J10" s="33">
        <f>$C$30*('E Balans VL '!D14+'E Balans VL '!E14)/100/3.6*1000000</f>
        <v>0</v>
      </c>
      <c r="K10" s="33"/>
      <c r="L10" s="33"/>
      <c r="M10" s="33"/>
      <c r="N10" s="33">
        <f>$C$30*'E Balans VL '!Y14/100/3.6*1000000</f>
        <v>25219.707103641533</v>
      </c>
      <c r="O10" s="33"/>
      <c r="P10" s="33"/>
      <c r="R10" s="32"/>
    </row>
    <row r="11" spans="1:18">
      <c r="A11" s="32" t="s">
        <v>55</v>
      </c>
      <c r="B11" s="37">
        <f t="shared" si="0"/>
        <v>16481.571296000002</v>
      </c>
      <c r="C11" s="33"/>
      <c r="D11" s="37">
        <f>IF(ISERROR(TER_onderwijs_gas_kWh/1000),0,TER_onderwijs_gas_kWh/1000)*0.902</f>
        <v>41045.387809667998</v>
      </c>
      <c r="E11" s="33">
        <f>$C$31*'E Balans VL '!I11/100/3.6*1000000</f>
        <v>29.025428203156466</v>
      </c>
      <c r="F11" s="33">
        <f>$C$31*('E Balans VL '!L11+'E Balans VL '!N11)/100/3.6*1000000</f>
        <v>7609.8397009025448</v>
      </c>
      <c r="G11" s="34"/>
      <c r="H11" s="33"/>
      <c r="I11" s="33"/>
      <c r="J11" s="33">
        <f>$C$31*('E Balans VL '!D11+'E Balans VL '!E11)/100/3.6*1000000</f>
        <v>0</v>
      </c>
      <c r="K11" s="33"/>
      <c r="L11" s="33"/>
      <c r="M11" s="33"/>
      <c r="N11" s="33">
        <f>$C$31*'E Balans VL '!Y11/100/3.6*1000000</f>
        <v>30.705395244450258</v>
      </c>
      <c r="O11" s="33"/>
      <c r="P11" s="33"/>
      <c r="R11" s="32"/>
    </row>
    <row r="12" spans="1:18">
      <c r="A12" s="32" t="s">
        <v>260</v>
      </c>
      <c r="B12" s="37">
        <f t="shared" si="0"/>
        <v>16262.043932</v>
      </c>
      <c r="C12" s="33"/>
      <c r="D12" s="37">
        <f>IF(ISERROR(TER_rest_gas_kWh/1000),0,TER_rest_gas_kWh/1000)*0.902</f>
        <v>33943.145037890004</v>
      </c>
      <c r="E12" s="33">
        <f>$C$32*'E Balans VL '!I8/100/3.6*1000000</f>
        <v>286.3178652573402</v>
      </c>
      <c r="F12" s="33">
        <f>$C$32*('E Balans VL '!L8+'E Balans VL '!N8)/100/3.6*1000000</f>
        <v>4189.611914150988</v>
      </c>
      <c r="G12" s="34"/>
      <c r="H12" s="33"/>
      <c r="I12" s="33"/>
      <c r="J12" s="33">
        <f>$C$32*('E Balans VL '!D8+'E Balans VL '!E8)/100/3.6*1000000</f>
        <v>0</v>
      </c>
      <c r="K12" s="33"/>
      <c r="L12" s="33"/>
      <c r="M12" s="33"/>
      <c r="N12" s="33">
        <f>$C$32*'E Balans VL '!Y8/100/3.6*1000000</f>
        <v>1434.9945875352739</v>
      </c>
      <c r="O12" s="33"/>
      <c r="P12" s="33"/>
      <c r="R12" s="32"/>
    </row>
    <row r="13" spans="1:18">
      <c r="A13" s="16" t="s">
        <v>491</v>
      </c>
      <c r="B13" s="247">
        <f ca="1">'lokale energieproductie'!N91+'lokale energieproductie'!N60</f>
        <v>210.00000000000003</v>
      </c>
      <c r="C13" s="247">
        <f ca="1">'lokale energieproductie'!O91+'lokale energieproductie'!O60</f>
        <v>300.00000000000006</v>
      </c>
      <c r="D13" s="310">
        <f ca="1">('lokale energieproductie'!P60+'lokale energieproductie'!P91)*(-1)</f>
        <v>-600.00000000000011</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311647.22730699996</v>
      </c>
      <c r="C16" s="21">
        <f t="shared" ca="1" si="1"/>
        <v>300.00000000000006</v>
      </c>
      <c r="D16" s="21">
        <f t="shared" ca="1" si="1"/>
        <v>347015.68874890002</v>
      </c>
      <c r="E16" s="21">
        <f t="shared" si="1"/>
        <v>5547.6054908992865</v>
      </c>
      <c r="F16" s="21">
        <f t="shared" ca="1" si="1"/>
        <v>84538.17344658084</v>
      </c>
      <c r="G16" s="21">
        <f t="shared" si="1"/>
        <v>0</v>
      </c>
      <c r="H16" s="21">
        <f t="shared" si="1"/>
        <v>0</v>
      </c>
      <c r="I16" s="21">
        <f t="shared" si="1"/>
        <v>0</v>
      </c>
      <c r="J16" s="21">
        <f t="shared" si="1"/>
        <v>0</v>
      </c>
      <c r="K16" s="21">
        <f t="shared" si="1"/>
        <v>0</v>
      </c>
      <c r="L16" s="21">
        <f t="shared" ca="1" si="1"/>
        <v>0</v>
      </c>
      <c r="M16" s="21">
        <f t="shared" si="1"/>
        <v>0</v>
      </c>
      <c r="N16" s="21">
        <f t="shared" ca="1" si="1"/>
        <v>27240.652645298196</v>
      </c>
      <c r="O16" s="21">
        <f>O5</f>
        <v>20.323333333333334</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0.17722492841180396</v>
      </c>
      <c r="C18" s="25">
        <f ca="1">'EF ele_warmte'!B22</f>
        <v>0.23705006280279925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55231.657549220261</v>
      </c>
      <c r="C20" s="23">
        <f t="shared" ref="C20:P20" ca="1" si="2">C16*C18</f>
        <v>71.115018840839795</v>
      </c>
      <c r="D20" s="23">
        <f t="shared" ca="1" si="2"/>
        <v>70097.169127277812</v>
      </c>
      <c r="E20" s="23">
        <f t="shared" si="2"/>
        <v>1259.306446434138</v>
      </c>
      <c r="F20" s="23">
        <f t="shared" ca="1" si="2"/>
        <v>22571.692310237086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92416.906105000002</v>
      </c>
      <c r="C26" s="39">
        <f>IF(ISERROR(B26*3.6/1000000/'E Balans VL '!Z12*100),0,B26*3.6/1000000/'E Balans VL '!Z12*100)</f>
        <v>1.9796419246677546</v>
      </c>
      <c r="D26" s="237" t="s">
        <v>660</v>
      </c>
      <c r="F26" s="6"/>
    </row>
    <row r="27" spans="1:18">
      <c r="A27" s="231" t="s">
        <v>53</v>
      </c>
      <c r="B27" s="33">
        <f>IF(ISERROR(TER_horeca_ele_kWh/1000),0,TER_horeca_ele_kWh/1000)</f>
        <v>49064.460500000001</v>
      </c>
      <c r="C27" s="39">
        <f>IF(ISERROR(B27*3.6/1000000/'E Balans VL '!Z9*100),0,B27*3.6/1000000/'E Balans VL '!Z9*100)</f>
        <v>3.9372524088010974</v>
      </c>
      <c r="D27" s="237" t="s">
        <v>660</v>
      </c>
      <c r="F27" s="6"/>
    </row>
    <row r="28" spans="1:18">
      <c r="A28" s="171" t="s">
        <v>52</v>
      </c>
      <c r="B28" s="33">
        <f>IF(ISERROR(TER_handel_ele_kWh/1000),0,TER_handel_ele_kWh/1000)</f>
        <v>74350.057310000004</v>
      </c>
      <c r="C28" s="39">
        <f>IF(ISERROR(B28*3.6/1000000/'E Balans VL '!Z13*100),0,B28*3.6/1000000/'E Balans VL '!Z13*100)</f>
        <v>2.1929002357261749</v>
      </c>
      <c r="D28" s="237" t="s">
        <v>660</v>
      </c>
      <c r="F28" s="6"/>
    </row>
    <row r="29" spans="1:18">
      <c r="A29" s="231" t="s">
        <v>51</v>
      </c>
      <c r="B29" s="33">
        <f>IF(ISERROR(TER_gezond_ele_kWh/1000),0,TER_gezond_ele_kWh/1000)</f>
        <v>30860.216778000002</v>
      </c>
      <c r="C29" s="39">
        <f>IF(ISERROR(B29*3.6/1000000/'E Balans VL '!Z10*100),0,B29*3.6/1000000/'E Balans VL '!Z10*100)</f>
        <v>3.2950437584515839</v>
      </c>
      <c r="D29" s="237" t="s">
        <v>660</v>
      </c>
      <c r="F29" s="6"/>
    </row>
    <row r="30" spans="1:18">
      <c r="A30" s="231" t="s">
        <v>50</v>
      </c>
      <c r="B30" s="33">
        <f>IF(ISERROR(TER_ander_ele_kWh/1000),0,TER_ander_ele_kWh/1000)</f>
        <v>32001.971386000001</v>
      </c>
      <c r="C30" s="39">
        <f>IF(ISERROR(B30*3.6/1000000/'E Balans VL '!Z14*100),0,B30*3.6/1000000/'E Balans VL '!Z14*100)</f>
        <v>2.4172345654572371</v>
      </c>
      <c r="D30" s="237" t="s">
        <v>660</v>
      </c>
      <c r="F30" s="6"/>
    </row>
    <row r="31" spans="1:18">
      <c r="A31" s="231" t="s">
        <v>55</v>
      </c>
      <c r="B31" s="33">
        <f>IF(ISERROR(TER_onderwijs_ele_kWh/1000),0,TER_onderwijs_ele_kWh/1000)</f>
        <v>16481.571296000002</v>
      </c>
      <c r="C31" s="39">
        <f>IF(ISERROR(B31*3.6/1000000/'E Balans VL '!Z11*100),0,B31*3.6/1000000/'E Balans VL '!Z11*100)</f>
        <v>3.3281794420173232</v>
      </c>
      <c r="D31" s="237" t="s">
        <v>660</v>
      </c>
    </row>
    <row r="32" spans="1:18">
      <c r="A32" s="231" t="s">
        <v>260</v>
      </c>
      <c r="B32" s="33">
        <f>IF(ISERROR(TER_rest_ele_kWh/1000),0,TER_rest_ele_kWh/1000)</f>
        <v>16262.043932</v>
      </c>
      <c r="C32" s="39">
        <f>IF(ISERROR(B32*3.6/1000000/'E Balans VL '!Z8*100),0,B32*3.6/1000000/'E Balans VL '!Z8*100)</f>
        <v>0.13483498892909349</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17</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104699.0912290127</v>
      </c>
      <c r="C5" s="17">
        <f>IF(ISERROR('Eigen informatie GS &amp; warmtenet'!B59),0,'Eigen informatie GS &amp; warmtenet'!B59)</f>
        <v>0</v>
      </c>
      <c r="D5" s="30">
        <f>SUM(D6:D15)</f>
        <v>171289.19598178129</v>
      </c>
      <c r="E5" s="17">
        <f>SUM(E6:E15)</f>
        <v>6992.3882390472245</v>
      </c>
      <c r="F5" s="17">
        <f>SUM(F6:F15)</f>
        <v>30568.825580692879</v>
      </c>
      <c r="G5" s="18"/>
      <c r="H5" s="17"/>
      <c r="I5" s="17"/>
      <c r="J5" s="17">
        <f>SUM(J6:J15)</f>
        <v>750.31062201716111</v>
      </c>
      <c r="K5" s="17"/>
      <c r="L5" s="17"/>
      <c r="M5" s="17"/>
      <c r="N5" s="17">
        <f>SUM(N6:N15)</f>
        <v>31017.955017422697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4.4536339727000005</v>
      </c>
      <c r="C7" s="33"/>
      <c r="D7" s="37">
        <f>IF( ISERROR(IND_nonf_gas_kWhh/1000),0,IND_nonf_gas_kWh/1000)*0.902</f>
        <v>0</v>
      </c>
      <c r="E7" s="33">
        <f>C29*'E Balans VL '!I17/100/3.6*1000000</f>
        <v>5.5320799335293117E-2</v>
      </c>
      <c r="F7" s="33">
        <f>C29*'E Balans VL '!L17/100/3.6*1000000+C29*'E Balans VL '!N17/100/3.6*1000000</f>
        <v>1.1785012276006641</v>
      </c>
      <c r="G7" s="34"/>
      <c r="H7" s="33"/>
      <c r="I7" s="33"/>
      <c r="J7" s="40">
        <f>C29*'E Balans VL '!D17/100/3.6*1000000+C29*'E Balans VL '!E17/100/3.6*1000000</f>
        <v>2.2201547466709957</v>
      </c>
      <c r="K7" s="33"/>
      <c r="L7" s="33"/>
      <c r="M7" s="33"/>
      <c r="N7" s="33">
        <f>C29*'E Balans VL '!Y17/100/3.6*1000000</f>
        <v>0</v>
      </c>
      <c r="O7" s="33"/>
      <c r="P7" s="33"/>
      <c r="R7" s="32"/>
    </row>
    <row r="8" spans="1:18">
      <c r="A8" s="6" t="s">
        <v>36</v>
      </c>
      <c r="B8" s="37">
        <f t="shared" si="0"/>
        <v>5938.5232152000008</v>
      </c>
      <c r="C8" s="33"/>
      <c r="D8" s="37">
        <f>IF( ISERROR(IND_metaal_Gas_kWH/1000),0,IND_metaal_Gas_kWH/1000)*0.902</f>
        <v>5043.3996679836</v>
      </c>
      <c r="E8" s="33">
        <f>C30*'E Balans VL '!I18/100/3.6*1000000</f>
        <v>213.68603053345055</v>
      </c>
      <c r="F8" s="33">
        <f>C30*'E Balans VL '!L18/100/3.6*1000000+C30*'E Balans VL '!N18/100/3.6*1000000</f>
        <v>2593.1605818669223</v>
      </c>
      <c r="G8" s="34"/>
      <c r="H8" s="33"/>
      <c r="I8" s="33"/>
      <c r="J8" s="40">
        <f>C30*'E Balans VL '!D18/100/3.6*1000000+C30*'E Balans VL '!E18/100/3.6*1000000</f>
        <v>0</v>
      </c>
      <c r="K8" s="33"/>
      <c r="L8" s="33"/>
      <c r="M8" s="33"/>
      <c r="N8" s="33">
        <f>C30*'E Balans VL '!Y18/100/3.6*1000000</f>
        <v>297.63474789168299</v>
      </c>
      <c r="O8" s="33"/>
      <c r="P8" s="33"/>
      <c r="R8" s="32"/>
    </row>
    <row r="9" spans="1:18">
      <c r="A9" s="6" t="s">
        <v>33</v>
      </c>
      <c r="B9" s="37">
        <f t="shared" si="0"/>
        <v>12545.490925</v>
      </c>
      <c r="C9" s="33"/>
      <c r="D9" s="37">
        <f>IF( ISERROR(IND_andere_gas_kWh/1000),0,IND_andere_gas_kWh/1000)*0.902</f>
        <v>9427.8551264920006</v>
      </c>
      <c r="E9" s="33">
        <f>C31*'E Balans VL '!I19/100/3.6*1000000</f>
        <v>3201.3254343774879</v>
      </c>
      <c r="F9" s="33">
        <f>C31*'E Balans VL '!L19/100/3.6*1000000+C31*'E Balans VL '!N19/100/3.6*1000000</f>
        <v>10800.724730668107</v>
      </c>
      <c r="G9" s="34"/>
      <c r="H9" s="33"/>
      <c r="I9" s="33"/>
      <c r="J9" s="40">
        <f>C31*'E Balans VL '!D19/100/3.6*1000000+C31*'E Balans VL '!E19/100/3.6*1000000</f>
        <v>0</v>
      </c>
      <c r="K9" s="33"/>
      <c r="L9" s="33"/>
      <c r="M9" s="33"/>
      <c r="N9" s="33">
        <f>C31*'E Balans VL '!Y19/100/3.6*1000000</f>
        <v>3923.4046504407934</v>
      </c>
      <c r="O9" s="33"/>
      <c r="P9" s="33"/>
      <c r="R9" s="32"/>
    </row>
    <row r="10" spans="1:18">
      <c r="A10" s="6" t="s">
        <v>41</v>
      </c>
      <c r="B10" s="37">
        <f t="shared" si="0"/>
        <v>20104.446071999999</v>
      </c>
      <c r="C10" s="33"/>
      <c r="D10" s="37">
        <f>IF( ISERROR(IND_voed_gas_kWh/1000),0,IND_voed_gas_kWh/1000)*0.902</f>
        <v>11761.794125532</v>
      </c>
      <c r="E10" s="33">
        <f>C32*'E Balans VL '!I20/100/3.6*1000000</f>
        <v>511.08262481693458</v>
      </c>
      <c r="F10" s="33">
        <f>C32*'E Balans VL '!L20/100/3.6*1000000+C32*'E Balans VL '!N20/100/3.6*1000000</f>
        <v>4549.3343523313479</v>
      </c>
      <c r="G10" s="34"/>
      <c r="H10" s="33"/>
      <c r="I10" s="33"/>
      <c r="J10" s="40">
        <f>C32*'E Balans VL '!D20/100/3.6*1000000+C32*'E Balans VL '!E20/100/3.6*1000000</f>
        <v>0</v>
      </c>
      <c r="K10" s="33"/>
      <c r="L10" s="33"/>
      <c r="M10" s="33"/>
      <c r="N10" s="33">
        <f>C32*'E Balans VL '!Y20/100/3.6*1000000</f>
        <v>7539.7122294457549</v>
      </c>
      <c r="O10" s="33"/>
      <c r="P10" s="33"/>
      <c r="R10" s="32"/>
    </row>
    <row r="11" spans="1:18">
      <c r="A11" s="6" t="s">
        <v>40</v>
      </c>
      <c r="B11" s="37">
        <f t="shared" si="0"/>
        <v>219.69856933999998</v>
      </c>
      <c r="C11" s="33"/>
      <c r="D11" s="37">
        <f>IF( ISERROR(IND_textiel_gas_kWh/1000),0,IND_textiel_gas_kWh/1000)*0.902</f>
        <v>363.50537250566003</v>
      </c>
      <c r="E11" s="33">
        <f>C33*'E Balans VL '!I21/100/3.6*1000000</f>
        <v>0.60313165480374842</v>
      </c>
      <c r="F11" s="33">
        <f>C33*'E Balans VL '!L21/100/3.6*1000000+C33*'E Balans VL '!N21/100/3.6*1000000</f>
        <v>11.647502544489438</v>
      </c>
      <c r="G11" s="34"/>
      <c r="H11" s="33"/>
      <c r="I11" s="33"/>
      <c r="J11" s="40">
        <f>C33*'E Balans VL '!D21/100/3.6*1000000+C33*'E Balans VL '!E21/100/3.6*1000000</f>
        <v>0</v>
      </c>
      <c r="K11" s="33"/>
      <c r="L11" s="33"/>
      <c r="M11" s="33"/>
      <c r="N11" s="33">
        <f>C33*'E Balans VL '!Y21/100/3.6*1000000</f>
        <v>0.44155776808155461</v>
      </c>
      <c r="O11" s="33"/>
      <c r="P11" s="33"/>
      <c r="R11" s="32"/>
    </row>
    <row r="12" spans="1:18">
      <c r="A12" s="6" t="s">
        <v>37</v>
      </c>
      <c r="B12" s="37">
        <f t="shared" si="0"/>
        <v>3484.4974802000002</v>
      </c>
      <c r="C12" s="33"/>
      <c r="D12" s="37">
        <f>IF( ISERROR(IND_min_gas_kWh/1000),0,IND_min_gas_kWh/1000)*0.902</f>
        <v>53.644358994424003</v>
      </c>
      <c r="E12" s="33">
        <f>C34*'E Balans VL '!I22/100/3.6*1000000</f>
        <v>74.036838529257125</v>
      </c>
      <c r="F12" s="33">
        <f>C34*'E Balans VL '!L22/100/3.6*1000000+C34*'E Balans VL '!N22/100/3.6*1000000</f>
        <v>568.52545912578194</v>
      </c>
      <c r="G12" s="34"/>
      <c r="H12" s="33"/>
      <c r="I12" s="33"/>
      <c r="J12" s="40">
        <f>C34*'E Balans VL '!D22/100/3.6*1000000+C34*'E Balans VL '!E22/100/3.6*1000000</f>
        <v>4.059764739521742</v>
      </c>
      <c r="K12" s="33"/>
      <c r="L12" s="33"/>
      <c r="M12" s="33"/>
      <c r="N12" s="33">
        <f>C34*'E Balans VL '!Y22/100/3.6*1000000</f>
        <v>0</v>
      </c>
      <c r="O12" s="33"/>
      <c r="P12" s="33"/>
      <c r="R12" s="32"/>
    </row>
    <row r="13" spans="1:18">
      <c r="A13" s="6" t="s">
        <v>39</v>
      </c>
      <c r="B13" s="37">
        <f t="shared" si="0"/>
        <v>4499.4371119999996</v>
      </c>
      <c r="C13" s="33"/>
      <c r="D13" s="37">
        <f>IF( ISERROR(IND_papier_gas_kWh/1000),0,IND_papier_gas_kWh/1000)*0.902</f>
        <v>1525.4131569336</v>
      </c>
      <c r="E13" s="33">
        <f>C35*'E Balans VL '!I23/100/3.6*1000000</f>
        <v>19.296776807096059</v>
      </c>
      <c r="F13" s="33">
        <f>C35*'E Balans VL '!L23/100/3.6*1000000+C35*'E Balans VL '!N23/100/3.6*1000000</f>
        <v>113.08481998831998</v>
      </c>
      <c r="G13" s="34"/>
      <c r="H13" s="33"/>
      <c r="I13" s="33"/>
      <c r="J13" s="40">
        <f>C35*'E Balans VL '!D23/100/3.6*1000000+C35*'E Balans VL '!E23/100/3.6*1000000</f>
        <v>301.21263625101017</v>
      </c>
      <c r="K13" s="33"/>
      <c r="L13" s="33"/>
      <c r="M13" s="33"/>
      <c r="N13" s="33">
        <f>C35*'E Balans VL '!Y23/100/3.6*1000000</f>
        <v>8190.0455508085324</v>
      </c>
      <c r="O13" s="33"/>
      <c r="P13" s="33"/>
      <c r="R13" s="32"/>
    </row>
    <row r="14" spans="1:18">
      <c r="A14" s="6" t="s">
        <v>34</v>
      </c>
      <c r="B14" s="37">
        <f t="shared" si="0"/>
        <v>3281.6296072999999</v>
      </c>
      <c r="C14" s="33"/>
      <c r="D14" s="37">
        <f>IF( ISERROR(IND_chemie_gas_kWh/1000),0,IND_chemie_gas_kWh/1000)*0.902</f>
        <v>0</v>
      </c>
      <c r="E14" s="33">
        <f>C36*'E Balans VL '!I24/100/3.6*1000000</f>
        <v>7.8671929594716294</v>
      </c>
      <c r="F14" s="33">
        <f>C36*'E Balans VL '!L24/100/3.6*1000000+C36*'E Balans VL '!N24/100/3.6*1000000</f>
        <v>26.335819917077714</v>
      </c>
      <c r="G14" s="34"/>
      <c r="H14" s="33"/>
      <c r="I14" s="33"/>
      <c r="J14" s="40">
        <f>C36*'E Balans VL '!D24/100/3.6*1000000+C36*'E Balans VL '!E24/100/3.6*1000000</f>
        <v>0</v>
      </c>
      <c r="K14" s="33"/>
      <c r="L14" s="33"/>
      <c r="M14" s="33"/>
      <c r="N14" s="33">
        <f>C36*'E Balans VL '!Y24/100/3.6*1000000</f>
        <v>67.828739864169648</v>
      </c>
      <c r="O14" s="33"/>
      <c r="P14" s="33"/>
      <c r="R14" s="32"/>
    </row>
    <row r="15" spans="1:18">
      <c r="A15" s="6" t="s">
        <v>270</v>
      </c>
      <c r="B15" s="37">
        <f t="shared" si="0"/>
        <v>54620.914614000001</v>
      </c>
      <c r="C15" s="33"/>
      <c r="D15" s="37">
        <f>IF( ISERROR(IND_rest_gas_kWh/1000),0,IND_rest_gas_kWh/1000)*0.902</f>
        <v>143113.58417334</v>
      </c>
      <c r="E15" s="33">
        <f>C37*'E Balans VL '!I15/100/3.6*1000000</f>
        <v>2964.4348885693876</v>
      </c>
      <c r="F15" s="33">
        <f>C37*'E Balans VL '!L15/100/3.6*1000000+C37*'E Balans VL '!N15/100/3.6*1000000</f>
        <v>11904.833813023233</v>
      </c>
      <c r="G15" s="34"/>
      <c r="H15" s="33"/>
      <c r="I15" s="33"/>
      <c r="J15" s="40">
        <f>C37*'E Balans VL '!D15/100/3.6*1000000+C37*'E Balans VL '!E15/100/3.6*1000000</f>
        <v>442.8180662799582</v>
      </c>
      <c r="K15" s="33"/>
      <c r="L15" s="33"/>
      <c r="M15" s="33"/>
      <c r="N15" s="33">
        <f>C37*'E Balans VL '!Y15/100/3.6*1000000</f>
        <v>10998.887541203683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104699.0912290127</v>
      </c>
      <c r="C18" s="21">
        <f>C5+C16</f>
        <v>0</v>
      </c>
      <c r="D18" s="21">
        <f>MAX((D5+D16),0)</f>
        <v>171289.19598178129</v>
      </c>
      <c r="E18" s="21">
        <f>MAX((E5+E16),0)</f>
        <v>6992.3882390472245</v>
      </c>
      <c r="F18" s="21">
        <f>MAX((F5+F16),0)</f>
        <v>30568.825580692879</v>
      </c>
      <c r="G18" s="21"/>
      <c r="H18" s="21"/>
      <c r="I18" s="21"/>
      <c r="J18" s="21">
        <f>MAX((J5+J16),0)</f>
        <v>750.31062201716111</v>
      </c>
      <c r="K18" s="21"/>
      <c r="L18" s="21">
        <f>MAX((L5+L16),0)</f>
        <v>0</v>
      </c>
      <c r="M18" s="21"/>
      <c r="N18" s="21">
        <f>MAX((N5+N16),0)</f>
        <v>31017.955017422697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0.17722492841180396</v>
      </c>
      <c r="C20" s="25">
        <f ca="1">'EF ele_warmte'!B22</f>
        <v>0.23705006280279925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18555.288947842706</v>
      </c>
      <c r="C22" s="23">
        <f ca="1">C18*C20</f>
        <v>0</v>
      </c>
      <c r="D22" s="23">
        <f>D18*D20</f>
        <v>34600.417588319826</v>
      </c>
      <c r="E22" s="23">
        <f>E18*E20</f>
        <v>1587.2721302637201</v>
      </c>
      <c r="F22" s="23">
        <f>F18*F20</f>
        <v>8161.8764300449993</v>
      </c>
      <c r="G22" s="23"/>
      <c r="H22" s="23"/>
      <c r="I22" s="23"/>
      <c r="J22" s="23">
        <f>J18*J20</f>
        <v>265.60996019407503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4.4536339727000005</v>
      </c>
      <c r="C29" s="39">
        <f>IF(ISERROR(B29*3.6/1000000/'E Balans VL '!Z17*100),0,B29*3.6/1000000/'E Balans VL '!Z17*100)</f>
        <v>4.7556401388128737E-3</v>
      </c>
      <c r="D29" s="237" t="s">
        <v>660</v>
      </c>
    </row>
    <row r="30" spans="1:18">
      <c r="A30" s="171" t="s">
        <v>36</v>
      </c>
      <c r="B30" s="37">
        <f>IF( ISERROR(IND_metaal_ele_kWh/1000),0,IND_metaal_ele_kWh/1000)</f>
        <v>5938.5232152000008</v>
      </c>
      <c r="C30" s="39">
        <f>IF(ISERROR(B30*3.6/1000000/'E Balans VL '!Z18*100),0,B30*3.6/1000000/'E Balans VL '!Z18*100)</f>
        <v>1.2582457507186966</v>
      </c>
      <c r="D30" s="237" t="s">
        <v>660</v>
      </c>
    </row>
    <row r="31" spans="1:18">
      <c r="A31" s="6" t="s">
        <v>33</v>
      </c>
      <c r="B31" s="37">
        <f>IF( ISERROR(IND_ander_ele_kWh/1000),0,IND_ander_ele_kWh/1000)</f>
        <v>12545.490925</v>
      </c>
      <c r="C31" s="39">
        <f>IF(ISERROR(B31*3.6/1000000/'E Balans VL '!Z19*100),0,B31*3.6/1000000/'E Balans VL '!Z19*100)</f>
        <v>0.52806819964210994</v>
      </c>
      <c r="D31" s="237" t="s">
        <v>660</v>
      </c>
    </row>
    <row r="32" spans="1:18">
      <c r="A32" s="171" t="s">
        <v>41</v>
      </c>
      <c r="B32" s="37">
        <f>IF( ISERROR(IND_voed_ele_kWh/1000),0,IND_voed_ele_kWh/1000)</f>
        <v>20104.446071999999</v>
      </c>
      <c r="C32" s="39">
        <f>IF(ISERROR(B32*3.6/1000000/'E Balans VL '!Z20*100),0,B32*3.6/1000000/'E Balans VL '!Z20*100)</f>
        <v>3.3586751824905385</v>
      </c>
      <c r="D32" s="237" t="s">
        <v>660</v>
      </c>
    </row>
    <row r="33" spans="1:5">
      <c r="A33" s="171" t="s">
        <v>40</v>
      </c>
      <c r="B33" s="37">
        <f>IF( ISERROR(IND_textiel_ele_kWh/1000),0,IND_textiel_ele_kWh/1000)</f>
        <v>219.69856933999998</v>
      </c>
      <c r="C33" s="39">
        <f>IF(ISERROR(B33*3.6/1000000/'E Balans VL '!Z21*100),0,B33*3.6/1000000/'E Balans VL '!Z21*100)</f>
        <v>1.2826659929747412E-2</v>
      </c>
      <c r="D33" s="237" t="s">
        <v>660</v>
      </c>
    </row>
    <row r="34" spans="1:5">
      <c r="A34" s="171" t="s">
        <v>37</v>
      </c>
      <c r="B34" s="37">
        <f>IF( ISERROR(IND_min_ele_kWh/1000),0,IND_min_ele_kWh/1000)</f>
        <v>3484.4974802000002</v>
      </c>
      <c r="C34" s="39">
        <f>IF(ISERROR(B34*3.6/1000000/'E Balans VL '!Z22*100),0,B34*3.6/1000000/'E Balans VL '!Z22*100)</f>
        <v>0.44167884745475977</v>
      </c>
      <c r="D34" s="237" t="s">
        <v>660</v>
      </c>
    </row>
    <row r="35" spans="1:5">
      <c r="A35" s="171" t="s">
        <v>39</v>
      </c>
      <c r="B35" s="37">
        <f>IF( ISERROR(IND_papier_ele_kWh/1000),0,IND_papier_ele_kWh/1000)</f>
        <v>4499.4371119999996</v>
      </c>
      <c r="C35" s="39">
        <f>IF(ISERROR(B35*3.6/1000000/'E Balans VL '!Z22*100),0,B35*3.6/1000000/'E Balans VL '!Z22*100)</f>
        <v>0.57032791933867799</v>
      </c>
      <c r="D35" s="237" t="s">
        <v>660</v>
      </c>
    </row>
    <row r="36" spans="1:5">
      <c r="A36" s="171" t="s">
        <v>34</v>
      </c>
      <c r="B36" s="37">
        <f>IF( ISERROR(IND_chemie_ele_kWh/1000),0,IND_chemie_ele_kWh/1000)</f>
        <v>3281.6296072999999</v>
      </c>
      <c r="C36" s="39">
        <f>IF(ISERROR(B36*3.6/1000000/'E Balans VL '!Z24*100),0,B36*3.6/1000000/'E Balans VL '!Z24*100)</f>
        <v>0.10658743547017058</v>
      </c>
      <c r="D36" s="237" t="s">
        <v>660</v>
      </c>
    </row>
    <row r="37" spans="1:5">
      <c r="A37" s="171" t="s">
        <v>270</v>
      </c>
      <c r="B37" s="37">
        <f>IF( ISERROR(IND_rest_ele_kWh/1000),0,IND_rest_ele_kWh/1000)</f>
        <v>54620.914614000001</v>
      </c>
      <c r="C37" s="39">
        <f>IF(ISERROR(B37*3.6/1000000/'E Balans VL '!Z15*100),0,B37*3.6/1000000/'E Balans VL '!Z15*100)</f>
        <v>0.44097579386635283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7434.4135279499997</v>
      </c>
      <c r="C5" s="17">
        <f>'Eigen informatie GS &amp; warmtenet'!B60</f>
        <v>0</v>
      </c>
      <c r="D5" s="30">
        <f>IF(ISERROR(SUM(LB_lb_gas_kWh,LB_rest_gas_kWh)/1000),0,SUM(LB_lb_gas_kWh,LB_rest_gas_kWh)/1000)*0.902</f>
        <v>13501.75936860102</v>
      </c>
      <c r="E5" s="17">
        <f>B17*'E Balans VL '!I25/3.6*1000000/100</f>
        <v>191.70498003808879</v>
      </c>
      <c r="F5" s="17">
        <f>B17*('E Balans VL '!L25/3.6*1000000+'E Balans VL '!N25/3.6*1000000)/100</f>
        <v>27174.197259937384</v>
      </c>
      <c r="G5" s="18"/>
      <c r="H5" s="17"/>
      <c r="I5" s="17"/>
      <c r="J5" s="17">
        <f>('E Balans VL '!D25+'E Balans VL '!E25)/3.6*1000000*landbouw!B17/100</f>
        <v>1070.2820608038001</v>
      </c>
      <c r="K5" s="17"/>
      <c r="L5" s="17">
        <f>L6*(-1)</f>
        <v>0</v>
      </c>
      <c r="M5" s="17"/>
      <c r="N5" s="17">
        <f>N6*(-1)</f>
        <v>0</v>
      </c>
      <c r="O5" s="17"/>
      <c r="P5" s="17"/>
      <c r="R5" s="32"/>
    </row>
    <row r="6" spans="1:18">
      <c r="A6" s="16" t="s">
        <v>491</v>
      </c>
      <c r="B6" s="17" t="s">
        <v>211</v>
      </c>
      <c r="C6" s="17">
        <f>'lokale energieproductie'!O92+'lokale energieproductie'!O61</f>
        <v>57.857142857142861</v>
      </c>
      <c r="D6" s="310">
        <f>('lokale energieproductie'!P61+'lokale energieproductie'!P92)*(-1)</f>
        <v>-100.71428571428572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7434.4135279499997</v>
      </c>
      <c r="C8" s="21">
        <f>C5+C6</f>
        <v>57.857142857142861</v>
      </c>
      <c r="D8" s="21">
        <f>MAX((D5+D6),0)</f>
        <v>13401.045082886734</v>
      </c>
      <c r="E8" s="21">
        <f>MAX((E5+E6),0)</f>
        <v>191.70498003808879</v>
      </c>
      <c r="F8" s="21">
        <f>MAX((F5+F6),0)</f>
        <v>27174.197259937384</v>
      </c>
      <c r="G8" s="21"/>
      <c r="H8" s="21"/>
      <c r="I8" s="21"/>
      <c r="J8" s="21">
        <f>MAX((J5+J6),0)</f>
        <v>1070.2820608038001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0.17722492841180396</v>
      </c>
      <c r="C10" s="31">
        <f ca="1">'EF ele_warmte'!B22</f>
        <v>0.23705006280279925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1317.5634052746855</v>
      </c>
      <c r="C12" s="23">
        <f ca="1">C8*C10</f>
        <v>13.715039347876242</v>
      </c>
      <c r="D12" s="23">
        <f>D8*D10</f>
        <v>2707.0111067431203</v>
      </c>
      <c r="E12" s="23">
        <f>E8*E10</f>
        <v>43.517030468646155</v>
      </c>
      <c r="F12" s="23">
        <f>F8*F10</f>
        <v>7255.5106684032817</v>
      </c>
      <c r="G12" s="23"/>
      <c r="H12" s="23"/>
      <c r="I12" s="23"/>
      <c r="J12" s="23">
        <f>J8*J10</f>
        <v>378.87984952454519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1.048301551891957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591.67982389562621</v>
      </c>
      <c r="C26" s="247">
        <f>B26*'GWP N2O_CH4'!B5</f>
        <v>12425.27630180815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169.66297656049022</v>
      </c>
      <c r="C27" s="247">
        <f>B27*'GWP N2O_CH4'!B5</f>
        <v>3562.9225077702945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8.6380650541880772</v>
      </c>
      <c r="C28" s="247">
        <f>B28*'GWP N2O_CH4'!B4</f>
        <v>2677.800166798304</v>
      </c>
      <c r="D28" s="50"/>
    </row>
    <row r="29" spans="1:4">
      <c r="A29" s="41" t="s">
        <v>277</v>
      </c>
      <c r="B29" s="247">
        <f>B34*'ha_N2O bodem landbouw'!B4</f>
        <v>29.513953288467423</v>
      </c>
      <c r="C29" s="247">
        <f>B29*'GWP N2O_CH4'!B4</f>
        <v>9149.3255194249014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6.6422433247814517E-3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6.8351107305140318E-4</v>
      </c>
      <c r="C5" s="463" t="s">
        <v>211</v>
      </c>
      <c r="D5" s="448">
        <f>SUM(D6:D11)</f>
        <v>1.5610778193742335E-3</v>
      </c>
      <c r="E5" s="448">
        <f>SUM(E6:E11)</f>
        <v>6.164726694158176E-3</v>
      </c>
      <c r="F5" s="461" t="s">
        <v>211</v>
      </c>
      <c r="G5" s="448">
        <f>SUM(G6:G11)</f>
        <v>2.1674336989202714</v>
      </c>
      <c r="H5" s="448">
        <f>SUM(H6:H11)</f>
        <v>0.42098569593070462</v>
      </c>
      <c r="I5" s="463" t="s">
        <v>211</v>
      </c>
      <c r="J5" s="463" t="s">
        <v>211</v>
      </c>
      <c r="K5" s="463" t="s">
        <v>211</v>
      </c>
      <c r="L5" s="463" t="s">
        <v>211</v>
      </c>
      <c r="M5" s="448">
        <f>SUM(M6:M11)</f>
        <v>8.0898238053822666E-2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4.7898696184077428E-4</v>
      </c>
      <c r="C6" s="449"/>
      <c r="D6" s="892">
        <f>vkm_2011_GW_PW*SUMIFS(TableVerdeelsleutelVkm[CNG],TableVerdeelsleutelVkm[Voertuigtype],"Lichte voertuigen")*SUMIFS(TableECFTransport[EnergieConsumptieFactor (PJ per km)],TableECFTransport[Index],CONCATENATE($A6,"_CNG_CNG"))</f>
        <v>9.5175548336924208E-4</v>
      </c>
      <c r="E6" s="892">
        <f>vkm_2011_GW_PW*SUMIFS(TableVerdeelsleutelVkm[LPG],TableVerdeelsleutelVkm[Voertuigtype],"Lichte voertuigen")*SUMIFS(TableECFTransport[EnergieConsumptieFactor (PJ per km)],TableECFTransport[Index],CONCATENATE($A6,"_LPG_LPG"))</f>
        <v>3.7454990058224712E-3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0.89055114801973345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0.25766884227875719</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3.577959517954251E-2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0.53979927545132422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1.7437822269133072E-4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1.7008249235519492E-2</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1.2786420482234923E-4</v>
      </c>
      <c r="C8" s="449"/>
      <c r="D8" s="451">
        <f>vkm_2011_NGW_PW*SUMIFS(TableVerdeelsleutelVkm[CNG],TableVerdeelsleutelVkm[Voertuigtype],"Lichte voertuigen")*SUMIFS(TableECFTransport[EnergieConsumptieFactor (PJ per km)],TableECFTransport[Index],CONCATENATE($A8,"_CNG_CNG"))</f>
        <v>4.4986248077412606E-4</v>
      </c>
      <c r="E8" s="451">
        <f>vkm_2011_NGW_PW*SUMIFS(TableVerdeelsleutelVkm[LPG],TableVerdeelsleutelVkm[Voertuigtype],"Lichte voertuigen")*SUMIFS(TableECFTransport[EnergieConsumptieFactor (PJ per km)],TableECFTransport[Index],CONCATENATE($A8,"_LPG_LPG"))</f>
        <v>1.6372796040024042E-3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0.36352209769389088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0.11809548868845815</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1.4992567532058947E-2</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7.3228815412460832E-2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2.2372024023347471E-5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2.3072894163506559E-3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7.6659906388279684E-5</v>
      </c>
      <c r="C10" s="449"/>
      <c r="D10" s="451">
        <f>vkm_2011_SW_PW*SUMIFS(TableVerdeelsleutelVkm[CNG],TableVerdeelsleutelVkm[Voertuigtype],"Lichte voertuigen")*SUMIFS(TableECFTransport[EnergieConsumptieFactor (PJ per km)],TableECFTransport[Index],CONCATENATE($A10,"_CNG_CNG"))</f>
        <v>1.5945985523086533E-4</v>
      </c>
      <c r="E10" s="451">
        <f>vkm_2011_SW_PW*SUMIFS(TableVerdeelsleutelVkm[LPG],TableVerdeelsleutelVkm[Voertuigtype],"Lichte voertuigen")*SUMIFS(TableECFTransport[EnergieConsumptieFactor (PJ per km)],TableECFTransport[Index],CONCATENATE($A10,"_LPG_LPG"))</f>
        <v>7.8194808433330008E-4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0.16654596392930379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4.4978049224964137E-2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6.5950315992588191E-3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0.13378639841355844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4.6565491810474079E-5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4.2155050910922358E-3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189.86418695872311</v>
      </c>
      <c r="C14" s="21"/>
      <c r="D14" s="21">
        <f t="shared" ref="D14:M14" si="0">((D5)*10^9/3600)+D12</f>
        <v>433.63272760395375</v>
      </c>
      <c r="E14" s="21">
        <f t="shared" si="0"/>
        <v>1712.4240817106045</v>
      </c>
      <c r="F14" s="21"/>
      <c r="G14" s="21">
        <f t="shared" si="0"/>
        <v>602064.91636674211</v>
      </c>
      <c r="H14" s="21">
        <f t="shared" si="0"/>
        <v>116940.47109186239</v>
      </c>
      <c r="I14" s="21"/>
      <c r="J14" s="21"/>
      <c r="K14" s="21"/>
      <c r="L14" s="21"/>
      <c r="M14" s="21">
        <f t="shared" si="0"/>
        <v>22471.732792728519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0.17722492841180396</v>
      </c>
      <c r="C16" s="56">
        <f ca="1">'EF ele_warmte'!B22</f>
        <v>0.23705006280279925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33.648666941725068</v>
      </c>
      <c r="C18" s="23"/>
      <c r="D18" s="23">
        <f t="shared" ref="D18:M18" si="1">D14*D16</f>
        <v>87.593810975998665</v>
      </c>
      <c r="E18" s="23">
        <f t="shared" si="1"/>
        <v>388.72026654830722</v>
      </c>
      <c r="F18" s="23"/>
      <c r="G18" s="23">
        <f t="shared" si="1"/>
        <v>160751.33266992014</v>
      </c>
      <c r="H18" s="23">
        <f t="shared" si="1"/>
        <v>29118.177301873733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2.9750930146723933E-3</v>
      </c>
      <c r="C50" s="321">
        <f t="shared" ref="C50:P50" si="2">SUM(C51:C52)</f>
        <v>0</v>
      </c>
      <c r="D50" s="321">
        <f t="shared" si="2"/>
        <v>0</v>
      </c>
      <c r="E50" s="321">
        <f t="shared" si="2"/>
        <v>0</v>
      </c>
      <c r="F50" s="321">
        <f t="shared" si="2"/>
        <v>0</v>
      </c>
      <c r="G50" s="321">
        <f t="shared" si="2"/>
        <v>8.1726549293249365E-2</v>
      </c>
      <c r="H50" s="321">
        <f t="shared" si="2"/>
        <v>0</v>
      </c>
      <c r="I50" s="321">
        <f t="shared" si="2"/>
        <v>0</v>
      </c>
      <c r="J50" s="321">
        <f t="shared" si="2"/>
        <v>0</v>
      </c>
      <c r="K50" s="321">
        <f t="shared" si="2"/>
        <v>0</v>
      </c>
      <c r="L50" s="321">
        <f t="shared" si="2"/>
        <v>0</v>
      </c>
      <c r="M50" s="321">
        <f t="shared" si="2"/>
        <v>2.5349747219043919E-3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8.1726549293249365E-2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2.5349747219043919E-3</v>
      </c>
      <c r="N51" s="323"/>
      <c r="O51" s="323"/>
      <c r="P51" s="326"/>
    </row>
    <row r="52" spans="1:18">
      <c r="A52" s="4" t="s">
        <v>330</v>
      </c>
      <c r="B52" s="893">
        <f>vkm_2011_tram*SUMIFS(TableECFTransport[EnergieConsumptieFactor (PJ per km)],TableECFTransport[Index],"Tram_gemiddeld_Electric_Electric")</f>
        <v>2.9750930146723933E-3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826.41472629788711</v>
      </c>
      <c r="C54" s="21">
        <f t="shared" ref="C54:P54" si="3">(C50)*10^9/3600</f>
        <v>0</v>
      </c>
      <c r="D54" s="21">
        <f t="shared" si="3"/>
        <v>0</v>
      </c>
      <c r="E54" s="21">
        <f t="shared" si="3"/>
        <v>0</v>
      </c>
      <c r="F54" s="21">
        <f t="shared" si="3"/>
        <v>0</v>
      </c>
      <c r="G54" s="21">
        <f t="shared" si="3"/>
        <v>22701.819248124826</v>
      </c>
      <c r="H54" s="21">
        <f t="shared" si="3"/>
        <v>0</v>
      </c>
      <c r="I54" s="21">
        <f t="shared" si="3"/>
        <v>0</v>
      </c>
      <c r="J54" s="21">
        <f t="shared" si="3"/>
        <v>0</v>
      </c>
      <c r="K54" s="21">
        <f t="shared" si="3"/>
        <v>0</v>
      </c>
      <c r="L54" s="21">
        <f t="shared" si="3"/>
        <v>0</v>
      </c>
      <c r="M54" s="21">
        <f t="shared" si="3"/>
        <v>704.15964497344214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0.17722492841180396</v>
      </c>
      <c r="C56" s="56">
        <f ca="1">'EF ele_warmte'!B22</f>
        <v>0.23705006280279925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146.46129070660359</v>
      </c>
      <c r="C58" s="23">
        <f t="shared" ref="C58:P58" ca="1" si="4">C54*C56</f>
        <v>0</v>
      </c>
      <c r="D58" s="23">
        <f t="shared" si="4"/>
        <v>0</v>
      </c>
      <c r="E58" s="23">
        <f t="shared" si="4"/>
        <v>0</v>
      </c>
      <c r="F58" s="23">
        <f t="shared" si="4"/>
        <v>0</v>
      </c>
      <c r="G58" s="23">
        <f t="shared" si="4"/>
        <v>6061.3857392493292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319686.62330699997</v>
      </c>
      <c r="D10" s="1012">
        <f ca="1">tertiair!C16</f>
        <v>300.00000000000006</v>
      </c>
      <c r="E10" s="1012">
        <f ca="1">tertiair!D16</f>
        <v>347015.68874890002</v>
      </c>
      <c r="F10" s="1012">
        <f>tertiair!E16</f>
        <v>5547.6054908992865</v>
      </c>
      <c r="G10" s="1012">
        <f ca="1">tertiair!F16</f>
        <v>84538.17344658084</v>
      </c>
      <c r="H10" s="1012">
        <f>tertiair!G16</f>
        <v>0</v>
      </c>
      <c r="I10" s="1012">
        <f>tertiair!H16</f>
        <v>0</v>
      </c>
      <c r="J10" s="1012">
        <f>tertiair!I16</f>
        <v>0</v>
      </c>
      <c r="K10" s="1012">
        <f>tertiair!J16</f>
        <v>0</v>
      </c>
      <c r="L10" s="1012">
        <f>tertiair!K16</f>
        <v>0</v>
      </c>
      <c r="M10" s="1012">
        <f ca="1">tertiair!L16</f>
        <v>0</v>
      </c>
      <c r="N10" s="1012">
        <f>tertiair!M16</f>
        <v>0</v>
      </c>
      <c r="O10" s="1012">
        <f ca="1">tertiair!N16</f>
        <v>27240.652645298196</v>
      </c>
      <c r="P10" s="1012">
        <f>tertiair!O16</f>
        <v>20.323333333333334</v>
      </c>
      <c r="Q10" s="1013">
        <f>tertiair!P16</f>
        <v>324.13333333333333</v>
      </c>
      <c r="R10" s="700">
        <f ca="1">SUM(C10:Q10)</f>
        <v>784673.200305345</v>
      </c>
      <c r="S10" s="67"/>
    </row>
    <row r="11" spans="1:19" s="473" customFormat="1">
      <c r="A11" s="809" t="s">
        <v>225</v>
      </c>
      <c r="B11" s="814"/>
      <c r="C11" s="1012">
        <f>huishoudens!B8</f>
        <v>191510.54289639561</v>
      </c>
      <c r="D11" s="1012">
        <f>huishoudens!C8</f>
        <v>0</v>
      </c>
      <c r="E11" s="1012">
        <f>huishoudens!D8</f>
        <v>575354.39210027817</v>
      </c>
      <c r="F11" s="1012">
        <f>huishoudens!E8</f>
        <v>8662.172258957231</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45853.434789738363</v>
      </c>
      <c r="P11" s="1012">
        <f>huishoudens!O8</f>
        <v>1089.6433333333334</v>
      </c>
      <c r="Q11" s="1013">
        <f>huishoudens!P8</f>
        <v>1334.6666666666667</v>
      </c>
      <c r="R11" s="700">
        <f>SUM(C11:Q11)</f>
        <v>823804.85204536945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104699.0912290127</v>
      </c>
      <c r="D13" s="1012">
        <f>industrie!C18</f>
        <v>0</v>
      </c>
      <c r="E13" s="1012">
        <f>industrie!D18</f>
        <v>171289.19598178129</v>
      </c>
      <c r="F13" s="1012">
        <f>industrie!E18</f>
        <v>6992.3882390472245</v>
      </c>
      <c r="G13" s="1012">
        <f>industrie!F18</f>
        <v>30568.825580692879</v>
      </c>
      <c r="H13" s="1012">
        <f>industrie!G18</f>
        <v>0</v>
      </c>
      <c r="I13" s="1012">
        <f>industrie!H18</f>
        <v>0</v>
      </c>
      <c r="J13" s="1012">
        <f>industrie!I18</f>
        <v>0</v>
      </c>
      <c r="K13" s="1012">
        <f>industrie!J18</f>
        <v>750.31062201716111</v>
      </c>
      <c r="L13" s="1012">
        <f>industrie!K18</f>
        <v>0</v>
      </c>
      <c r="M13" s="1012">
        <f>industrie!L18</f>
        <v>0</v>
      </c>
      <c r="N13" s="1012">
        <f>industrie!M18</f>
        <v>0</v>
      </c>
      <c r="O13" s="1012">
        <f>industrie!N18</f>
        <v>31017.955017422697</v>
      </c>
      <c r="P13" s="1012">
        <f>industrie!O18</f>
        <v>0</v>
      </c>
      <c r="Q13" s="1013">
        <f>industrie!P18</f>
        <v>0</v>
      </c>
      <c r="R13" s="700">
        <f>SUM(C13:Q13)</f>
        <v>345317.76666997385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615896.25743240828</v>
      </c>
      <c r="D16" s="732">
        <f t="shared" ref="D16:R16" ca="1" si="0">SUM(D9:D15)</f>
        <v>300.00000000000006</v>
      </c>
      <c r="E16" s="732">
        <f t="shared" ca="1" si="0"/>
        <v>1093659.2768309594</v>
      </c>
      <c r="F16" s="732">
        <f t="shared" si="0"/>
        <v>21202.16598890374</v>
      </c>
      <c r="G16" s="732">
        <f t="shared" ca="1" si="0"/>
        <v>115106.99902727372</v>
      </c>
      <c r="H16" s="732">
        <f t="shared" si="0"/>
        <v>0</v>
      </c>
      <c r="I16" s="732">
        <f t="shared" si="0"/>
        <v>0</v>
      </c>
      <c r="J16" s="732">
        <f t="shared" si="0"/>
        <v>0</v>
      </c>
      <c r="K16" s="732">
        <f t="shared" si="0"/>
        <v>750.31062201716111</v>
      </c>
      <c r="L16" s="732">
        <f t="shared" si="0"/>
        <v>0</v>
      </c>
      <c r="M16" s="732">
        <f t="shared" ca="1" si="0"/>
        <v>0</v>
      </c>
      <c r="N16" s="732">
        <f t="shared" si="0"/>
        <v>0</v>
      </c>
      <c r="O16" s="732">
        <f t="shared" ca="1" si="0"/>
        <v>104112.04245245925</v>
      </c>
      <c r="P16" s="732">
        <f t="shared" si="0"/>
        <v>1109.9666666666667</v>
      </c>
      <c r="Q16" s="732">
        <f t="shared" si="0"/>
        <v>1658.8000000000002</v>
      </c>
      <c r="R16" s="732">
        <f t="shared" ca="1" si="0"/>
        <v>1953795.8190206881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826.41472629788711</v>
      </c>
      <c r="D19" s="1012">
        <f>transport!C54</f>
        <v>0</v>
      </c>
      <c r="E19" s="1012">
        <f>transport!D54</f>
        <v>0</v>
      </c>
      <c r="F19" s="1012">
        <f>transport!E54</f>
        <v>0</v>
      </c>
      <c r="G19" s="1012">
        <f>transport!F54</f>
        <v>0</v>
      </c>
      <c r="H19" s="1012">
        <f>transport!G54</f>
        <v>22701.819248124826</v>
      </c>
      <c r="I19" s="1012">
        <f>transport!H54</f>
        <v>0</v>
      </c>
      <c r="J19" s="1012">
        <f>transport!I54</f>
        <v>0</v>
      </c>
      <c r="K19" s="1012">
        <f>transport!J54</f>
        <v>0</v>
      </c>
      <c r="L19" s="1012">
        <f>transport!K54</f>
        <v>0</v>
      </c>
      <c r="M19" s="1012">
        <f>transport!L54</f>
        <v>0</v>
      </c>
      <c r="N19" s="1012">
        <f>transport!M54</f>
        <v>704.15964497344214</v>
      </c>
      <c r="O19" s="1012">
        <f>transport!N54</f>
        <v>0</v>
      </c>
      <c r="P19" s="1012">
        <f>transport!O54</f>
        <v>0</v>
      </c>
      <c r="Q19" s="1013">
        <f>transport!P54</f>
        <v>0</v>
      </c>
      <c r="R19" s="700">
        <f>SUM(C19:Q19)</f>
        <v>24232.393619396156</v>
      </c>
      <c r="S19" s="67"/>
    </row>
    <row r="20" spans="1:19" s="473" customFormat="1">
      <c r="A20" s="809" t="s">
        <v>307</v>
      </c>
      <c r="B20" s="814"/>
      <c r="C20" s="1012">
        <f>transport!B14</f>
        <v>189.86418695872311</v>
      </c>
      <c r="D20" s="1012">
        <f>transport!C14</f>
        <v>0</v>
      </c>
      <c r="E20" s="1012">
        <f>transport!D14</f>
        <v>433.63272760395375</v>
      </c>
      <c r="F20" s="1012">
        <f>transport!E14</f>
        <v>1712.4240817106045</v>
      </c>
      <c r="G20" s="1012">
        <f>transport!F14</f>
        <v>0</v>
      </c>
      <c r="H20" s="1012">
        <f>transport!G14</f>
        <v>602064.91636674211</v>
      </c>
      <c r="I20" s="1012">
        <f>transport!H14</f>
        <v>116940.47109186239</v>
      </c>
      <c r="J20" s="1012">
        <f>transport!I14</f>
        <v>0</v>
      </c>
      <c r="K20" s="1012">
        <f>transport!J14</f>
        <v>0</v>
      </c>
      <c r="L20" s="1012">
        <f>transport!K14</f>
        <v>0</v>
      </c>
      <c r="M20" s="1012">
        <f>transport!L14</f>
        <v>0</v>
      </c>
      <c r="N20" s="1012">
        <f>transport!M14</f>
        <v>22471.732792728519</v>
      </c>
      <c r="O20" s="1012">
        <f>transport!N14</f>
        <v>0</v>
      </c>
      <c r="P20" s="1012">
        <f>transport!O14</f>
        <v>0</v>
      </c>
      <c r="Q20" s="1013">
        <f>transport!P14</f>
        <v>0</v>
      </c>
      <c r="R20" s="700">
        <f>SUM(C20:Q20)</f>
        <v>743813.04124760628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1016.2789132566102</v>
      </c>
      <c r="D22" s="812">
        <f t="shared" ref="D22:R22" si="1">SUM(D18:D21)</f>
        <v>0</v>
      </c>
      <c r="E22" s="812">
        <f t="shared" si="1"/>
        <v>433.63272760395375</v>
      </c>
      <c r="F22" s="812">
        <f t="shared" si="1"/>
        <v>1712.4240817106045</v>
      </c>
      <c r="G22" s="812">
        <f t="shared" si="1"/>
        <v>0</v>
      </c>
      <c r="H22" s="812">
        <f t="shared" si="1"/>
        <v>624766.73561486695</v>
      </c>
      <c r="I22" s="812">
        <f t="shared" si="1"/>
        <v>116940.47109186239</v>
      </c>
      <c r="J22" s="812">
        <f t="shared" si="1"/>
        <v>0</v>
      </c>
      <c r="K22" s="812">
        <f t="shared" si="1"/>
        <v>0</v>
      </c>
      <c r="L22" s="812">
        <f t="shared" si="1"/>
        <v>0</v>
      </c>
      <c r="M22" s="812">
        <f t="shared" si="1"/>
        <v>0</v>
      </c>
      <c r="N22" s="812">
        <f t="shared" si="1"/>
        <v>23175.892437701961</v>
      </c>
      <c r="O22" s="812">
        <f t="shared" si="1"/>
        <v>0</v>
      </c>
      <c r="P22" s="812">
        <f t="shared" si="1"/>
        <v>0</v>
      </c>
      <c r="Q22" s="812">
        <f t="shared" si="1"/>
        <v>0</v>
      </c>
      <c r="R22" s="812">
        <f t="shared" si="1"/>
        <v>768045.43486700242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7434.4135279499997</v>
      </c>
      <c r="D24" s="1012">
        <f>+landbouw!C8</f>
        <v>57.857142857142861</v>
      </c>
      <c r="E24" s="1012">
        <f>+landbouw!D8</f>
        <v>13401.045082886734</v>
      </c>
      <c r="F24" s="1012">
        <f>+landbouw!E8</f>
        <v>191.70498003808879</v>
      </c>
      <c r="G24" s="1012">
        <f>+landbouw!F8</f>
        <v>27174.197259937384</v>
      </c>
      <c r="H24" s="1012">
        <f>+landbouw!G8</f>
        <v>0</v>
      </c>
      <c r="I24" s="1012">
        <f>+landbouw!H8</f>
        <v>0</v>
      </c>
      <c r="J24" s="1012">
        <f>+landbouw!I8</f>
        <v>0</v>
      </c>
      <c r="K24" s="1012">
        <f>+landbouw!J8</f>
        <v>1070.2820608038001</v>
      </c>
      <c r="L24" s="1012">
        <f>+landbouw!K8</f>
        <v>0</v>
      </c>
      <c r="M24" s="1012">
        <f>+landbouw!L8</f>
        <v>0</v>
      </c>
      <c r="N24" s="1012">
        <f>+landbouw!M8</f>
        <v>0</v>
      </c>
      <c r="O24" s="1012">
        <f>+landbouw!N8</f>
        <v>0</v>
      </c>
      <c r="P24" s="1012">
        <f>+landbouw!O8</f>
        <v>0</v>
      </c>
      <c r="Q24" s="1013">
        <f>+landbouw!P8</f>
        <v>0</v>
      </c>
      <c r="R24" s="700">
        <f>SUM(C24:Q24)</f>
        <v>49329.500054473152</v>
      </c>
      <c r="S24" s="67"/>
    </row>
    <row r="25" spans="1:19" s="473" customFormat="1" ht="15" thickBot="1">
      <c r="A25" s="831" t="s">
        <v>848</v>
      </c>
      <c r="B25" s="1015"/>
      <c r="C25" s="1016">
        <f>IF(Onbekend_ele_kWh="---",0,Onbekend_ele_kWh)/1000+IF(REST_rest_ele_kWh="---",0,REST_rest_ele_kWh)/1000</f>
        <v>10256.978102999999</v>
      </c>
      <c r="D25" s="1016"/>
      <c r="E25" s="1016">
        <f>IF(onbekend_gas_kWh="---",0,onbekend_gas_kWh)/1000+IF(REST_rest_gas_kWh="---",0,REST_rest_gas_kWh)/1000</f>
        <v>30952.805270000001</v>
      </c>
      <c r="F25" s="1016"/>
      <c r="G25" s="1016"/>
      <c r="H25" s="1016"/>
      <c r="I25" s="1016"/>
      <c r="J25" s="1016"/>
      <c r="K25" s="1016"/>
      <c r="L25" s="1016"/>
      <c r="M25" s="1016"/>
      <c r="N25" s="1016"/>
      <c r="O25" s="1016"/>
      <c r="P25" s="1016"/>
      <c r="Q25" s="1017"/>
      <c r="R25" s="700">
        <f>SUM(C25:Q25)</f>
        <v>41209.783372999998</v>
      </c>
      <c r="S25" s="67"/>
    </row>
    <row r="26" spans="1:19" s="473" customFormat="1" ht="15.75" thickBot="1">
      <c r="A26" s="705" t="s">
        <v>849</v>
      </c>
      <c r="B26" s="817"/>
      <c r="C26" s="812">
        <f>SUM(C24:C25)</f>
        <v>17691.391630949998</v>
      </c>
      <c r="D26" s="812">
        <f t="shared" ref="D26:R26" si="2">SUM(D24:D25)</f>
        <v>57.857142857142861</v>
      </c>
      <c r="E26" s="812">
        <f t="shared" si="2"/>
        <v>44353.850352886737</v>
      </c>
      <c r="F26" s="812">
        <f t="shared" si="2"/>
        <v>191.70498003808879</v>
      </c>
      <c r="G26" s="812">
        <f t="shared" si="2"/>
        <v>27174.197259937384</v>
      </c>
      <c r="H26" s="812">
        <f t="shared" si="2"/>
        <v>0</v>
      </c>
      <c r="I26" s="812">
        <f t="shared" si="2"/>
        <v>0</v>
      </c>
      <c r="J26" s="812">
        <f t="shared" si="2"/>
        <v>0</v>
      </c>
      <c r="K26" s="812">
        <f t="shared" si="2"/>
        <v>1070.2820608038001</v>
      </c>
      <c r="L26" s="812">
        <f t="shared" si="2"/>
        <v>0</v>
      </c>
      <c r="M26" s="812">
        <f t="shared" si="2"/>
        <v>0</v>
      </c>
      <c r="N26" s="812">
        <f t="shared" si="2"/>
        <v>0</v>
      </c>
      <c r="O26" s="812">
        <f t="shared" si="2"/>
        <v>0</v>
      </c>
      <c r="P26" s="812">
        <f t="shared" si="2"/>
        <v>0</v>
      </c>
      <c r="Q26" s="812">
        <f t="shared" si="2"/>
        <v>0</v>
      </c>
      <c r="R26" s="812">
        <f t="shared" si="2"/>
        <v>90539.283427473158</v>
      </c>
      <c r="S26" s="67"/>
    </row>
    <row r="27" spans="1:19" s="473" customFormat="1" ht="17.25" thickTop="1" thickBot="1">
      <c r="A27" s="706" t="s">
        <v>116</v>
      </c>
      <c r="B27" s="805"/>
      <c r="C27" s="707">
        <f ca="1">C22+C16+C26</f>
        <v>634603.92797661491</v>
      </c>
      <c r="D27" s="707">
        <f t="shared" ref="D27:R27" ca="1" si="3">D22+D16+D26</f>
        <v>357.85714285714289</v>
      </c>
      <c r="E27" s="707">
        <f t="shared" ca="1" si="3"/>
        <v>1138446.7599114501</v>
      </c>
      <c r="F27" s="707">
        <f t="shared" si="3"/>
        <v>23106.295050652432</v>
      </c>
      <c r="G27" s="707">
        <f t="shared" ca="1" si="3"/>
        <v>142281.19628721109</v>
      </c>
      <c r="H27" s="707">
        <f t="shared" si="3"/>
        <v>624766.73561486695</v>
      </c>
      <c r="I27" s="707">
        <f t="shared" si="3"/>
        <v>116940.47109186239</v>
      </c>
      <c r="J27" s="707">
        <f t="shared" si="3"/>
        <v>0</v>
      </c>
      <c r="K27" s="707">
        <f t="shared" si="3"/>
        <v>1820.5926828209613</v>
      </c>
      <c r="L27" s="707">
        <f t="shared" si="3"/>
        <v>0</v>
      </c>
      <c r="M27" s="707">
        <f t="shared" ca="1" si="3"/>
        <v>0</v>
      </c>
      <c r="N27" s="707">
        <f t="shared" si="3"/>
        <v>23175.892437701961</v>
      </c>
      <c r="O27" s="707">
        <f t="shared" ca="1" si="3"/>
        <v>104112.04245245925</v>
      </c>
      <c r="P27" s="707">
        <f t="shared" si="3"/>
        <v>1109.9666666666667</v>
      </c>
      <c r="Q27" s="707">
        <f t="shared" si="3"/>
        <v>1658.8000000000002</v>
      </c>
      <c r="R27" s="707">
        <f t="shared" ca="1" si="3"/>
        <v>2812380.5373151638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56656.438929794407</v>
      </c>
      <c r="D40" s="1012">
        <f ca="1">tertiair!C20</f>
        <v>71.115018840839795</v>
      </c>
      <c r="E40" s="1012">
        <f ca="1">tertiair!D20</f>
        <v>70097.169127277812</v>
      </c>
      <c r="F40" s="1012">
        <f>tertiair!E20</f>
        <v>1259.306446434138</v>
      </c>
      <c r="G40" s="1012">
        <f ca="1">tertiair!F20</f>
        <v>22571.692310237086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150655.7218325843</v>
      </c>
    </row>
    <row r="41" spans="1:18">
      <c r="A41" s="822" t="s">
        <v>225</v>
      </c>
      <c r="B41" s="829"/>
      <c r="C41" s="1012">
        <f ca="1">huishoudens!B12</f>
        <v>33940.442254919421</v>
      </c>
      <c r="D41" s="1012">
        <f ca="1">huishoudens!C12</f>
        <v>0</v>
      </c>
      <c r="E41" s="1012">
        <f>huishoudens!D12</f>
        <v>116221.5872042562</v>
      </c>
      <c r="F41" s="1012">
        <f>huishoudens!E12</f>
        <v>1966.3131027832915</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152128.34256195891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18555.288947842706</v>
      </c>
      <c r="D43" s="1012">
        <f ca="1">industrie!C22</f>
        <v>0</v>
      </c>
      <c r="E43" s="1012">
        <f>industrie!D22</f>
        <v>34600.417588319826</v>
      </c>
      <c r="F43" s="1012">
        <f>industrie!E22</f>
        <v>1587.2721302637201</v>
      </c>
      <c r="G43" s="1012">
        <f>industrie!F22</f>
        <v>8161.8764300449993</v>
      </c>
      <c r="H43" s="1012">
        <f>industrie!G22</f>
        <v>0</v>
      </c>
      <c r="I43" s="1012">
        <f>industrie!H22</f>
        <v>0</v>
      </c>
      <c r="J43" s="1012">
        <f>industrie!I22</f>
        <v>0</v>
      </c>
      <c r="K43" s="1012">
        <f>industrie!J22</f>
        <v>265.60996019407503</v>
      </c>
      <c r="L43" s="1012">
        <f>industrie!K22</f>
        <v>0</v>
      </c>
      <c r="M43" s="1012">
        <f>industrie!L22</f>
        <v>0</v>
      </c>
      <c r="N43" s="1012">
        <f>industrie!M22</f>
        <v>0</v>
      </c>
      <c r="O43" s="1012">
        <f>industrie!N22</f>
        <v>0</v>
      </c>
      <c r="P43" s="1012">
        <f>industrie!O22</f>
        <v>0</v>
      </c>
      <c r="Q43" s="774">
        <f>industrie!P22</f>
        <v>0</v>
      </c>
      <c r="R43" s="849">
        <f t="shared" ca="1" si="4"/>
        <v>63170.465056665322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109152.17013255654</v>
      </c>
      <c r="D46" s="732">
        <f t="shared" ref="D46:Q46" ca="1" si="5">SUM(D39:D45)</f>
        <v>71.115018840839795</v>
      </c>
      <c r="E46" s="732">
        <f t="shared" ca="1" si="5"/>
        <v>220919.17391985384</v>
      </c>
      <c r="F46" s="732">
        <f t="shared" si="5"/>
        <v>4812.8916794811494</v>
      </c>
      <c r="G46" s="732">
        <f t="shared" ca="1" si="5"/>
        <v>30733.568740282084</v>
      </c>
      <c r="H46" s="732">
        <f t="shared" si="5"/>
        <v>0</v>
      </c>
      <c r="I46" s="732">
        <f t="shared" si="5"/>
        <v>0</v>
      </c>
      <c r="J46" s="732">
        <f t="shared" si="5"/>
        <v>0</v>
      </c>
      <c r="K46" s="732">
        <f t="shared" si="5"/>
        <v>265.60996019407503</v>
      </c>
      <c r="L46" s="732">
        <f t="shared" si="5"/>
        <v>0</v>
      </c>
      <c r="M46" s="732">
        <f t="shared" ca="1" si="5"/>
        <v>0</v>
      </c>
      <c r="N46" s="732">
        <f t="shared" si="5"/>
        <v>0</v>
      </c>
      <c r="O46" s="732">
        <f t="shared" ca="1" si="5"/>
        <v>0</v>
      </c>
      <c r="P46" s="732">
        <f t="shared" si="5"/>
        <v>0</v>
      </c>
      <c r="Q46" s="732">
        <f t="shared" si="5"/>
        <v>0</v>
      </c>
      <c r="R46" s="732">
        <f ca="1">SUM(R39:R45)</f>
        <v>365954.52945120848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146.46129070660359</v>
      </c>
      <c r="D49" s="1012">
        <f ca="1">transport!C58</f>
        <v>0</v>
      </c>
      <c r="E49" s="1012">
        <f>transport!D58</f>
        <v>0</v>
      </c>
      <c r="F49" s="1012">
        <f>transport!E58</f>
        <v>0</v>
      </c>
      <c r="G49" s="1012">
        <f>transport!F58</f>
        <v>0</v>
      </c>
      <c r="H49" s="1012">
        <f>transport!G58</f>
        <v>6061.3857392493292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6207.8470299559331</v>
      </c>
    </row>
    <row r="50" spans="1:18">
      <c r="A50" s="825" t="s">
        <v>307</v>
      </c>
      <c r="B50" s="835"/>
      <c r="C50" s="703">
        <f ca="1">transport!B18</f>
        <v>33.648666941725068</v>
      </c>
      <c r="D50" s="703">
        <f>transport!C18</f>
        <v>0</v>
      </c>
      <c r="E50" s="703">
        <f>transport!D18</f>
        <v>87.593810975998665</v>
      </c>
      <c r="F50" s="703">
        <f>transport!E18</f>
        <v>388.72026654830722</v>
      </c>
      <c r="G50" s="703">
        <f>transport!F18</f>
        <v>0</v>
      </c>
      <c r="H50" s="703">
        <f>transport!G18</f>
        <v>160751.33266992014</v>
      </c>
      <c r="I50" s="703">
        <f>transport!H18</f>
        <v>29118.177301873733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190379.47271625992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180.10995764832865</v>
      </c>
      <c r="D52" s="732">
        <f t="shared" ref="D52:Q52" ca="1" si="6">SUM(D48:D51)</f>
        <v>0</v>
      </c>
      <c r="E52" s="732">
        <f t="shared" si="6"/>
        <v>87.593810975998665</v>
      </c>
      <c r="F52" s="732">
        <f t="shared" si="6"/>
        <v>388.72026654830722</v>
      </c>
      <c r="G52" s="732">
        <f t="shared" si="6"/>
        <v>0</v>
      </c>
      <c r="H52" s="732">
        <f t="shared" si="6"/>
        <v>166812.71840916947</v>
      </c>
      <c r="I52" s="732">
        <f t="shared" si="6"/>
        <v>29118.177301873733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196587.31974621586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1317.5634052746855</v>
      </c>
      <c r="D54" s="703">
        <f ca="1">+landbouw!C12</f>
        <v>13.715039347876242</v>
      </c>
      <c r="E54" s="703">
        <f>+landbouw!D12</f>
        <v>2707.0111067431203</v>
      </c>
      <c r="F54" s="703">
        <f>+landbouw!E12</f>
        <v>43.517030468646155</v>
      </c>
      <c r="G54" s="703">
        <f>+landbouw!F12</f>
        <v>7255.5106684032817</v>
      </c>
      <c r="H54" s="703">
        <f>+landbouw!G12</f>
        <v>0</v>
      </c>
      <c r="I54" s="703">
        <f>+landbouw!H12</f>
        <v>0</v>
      </c>
      <c r="J54" s="703">
        <f>+landbouw!I12</f>
        <v>0</v>
      </c>
      <c r="K54" s="703">
        <f>+landbouw!J12</f>
        <v>378.87984952454519</v>
      </c>
      <c r="L54" s="703">
        <f>+landbouw!K12</f>
        <v>0</v>
      </c>
      <c r="M54" s="703">
        <f>+landbouw!L12</f>
        <v>0</v>
      </c>
      <c r="N54" s="703">
        <f>+landbouw!M12</f>
        <v>0</v>
      </c>
      <c r="O54" s="703">
        <f>+landbouw!N12</f>
        <v>0</v>
      </c>
      <c r="P54" s="703">
        <f>+landbouw!O12</f>
        <v>0</v>
      </c>
      <c r="Q54" s="704">
        <f>+landbouw!P12</f>
        <v>0</v>
      </c>
      <c r="R54" s="731">
        <f ca="1">SUM(C54:Q54)</f>
        <v>11716.197099762156</v>
      </c>
    </row>
    <row r="55" spans="1:18" ht="15" thickBot="1">
      <c r="A55" s="825" t="s">
        <v>848</v>
      </c>
      <c r="B55" s="835"/>
      <c r="C55" s="703">
        <f ca="1">C25*'EF ele_warmte'!B12</f>
        <v>1817.7922100256158</v>
      </c>
      <c r="D55" s="703"/>
      <c r="E55" s="703">
        <f>E25*EF_CO2_aardgas</f>
        <v>6252.4666645400002</v>
      </c>
      <c r="F55" s="703"/>
      <c r="G55" s="703"/>
      <c r="H55" s="703"/>
      <c r="I55" s="703"/>
      <c r="J55" s="703"/>
      <c r="K55" s="703"/>
      <c r="L55" s="703"/>
      <c r="M55" s="703"/>
      <c r="N55" s="703"/>
      <c r="O55" s="703"/>
      <c r="P55" s="703"/>
      <c r="Q55" s="704"/>
      <c r="R55" s="731">
        <f ca="1">SUM(C55:Q55)</f>
        <v>8070.2588745656158</v>
      </c>
    </row>
    <row r="56" spans="1:18" ht="15.75" thickBot="1">
      <c r="A56" s="823" t="s">
        <v>849</v>
      </c>
      <c r="B56" s="836"/>
      <c r="C56" s="732">
        <f ca="1">SUM(C54:C55)</f>
        <v>3135.355615300301</v>
      </c>
      <c r="D56" s="732">
        <f t="shared" ref="D56:Q56" ca="1" si="7">SUM(D54:D55)</f>
        <v>13.715039347876242</v>
      </c>
      <c r="E56" s="732">
        <f t="shared" si="7"/>
        <v>8959.4777712831201</v>
      </c>
      <c r="F56" s="732">
        <f t="shared" si="7"/>
        <v>43.517030468646155</v>
      </c>
      <c r="G56" s="732">
        <f t="shared" si="7"/>
        <v>7255.5106684032817</v>
      </c>
      <c r="H56" s="732">
        <f t="shared" si="7"/>
        <v>0</v>
      </c>
      <c r="I56" s="732">
        <f t="shared" si="7"/>
        <v>0</v>
      </c>
      <c r="J56" s="732">
        <f t="shared" si="7"/>
        <v>0</v>
      </c>
      <c r="K56" s="732">
        <f t="shared" si="7"/>
        <v>378.87984952454519</v>
      </c>
      <c r="L56" s="732">
        <f t="shared" si="7"/>
        <v>0</v>
      </c>
      <c r="M56" s="732">
        <f t="shared" si="7"/>
        <v>0</v>
      </c>
      <c r="N56" s="732">
        <f t="shared" si="7"/>
        <v>0</v>
      </c>
      <c r="O56" s="732">
        <f t="shared" si="7"/>
        <v>0</v>
      </c>
      <c r="P56" s="732">
        <f t="shared" si="7"/>
        <v>0</v>
      </c>
      <c r="Q56" s="733">
        <f t="shared" si="7"/>
        <v>0</v>
      </c>
      <c r="R56" s="734">
        <f ca="1">SUM(R54:R55)</f>
        <v>19786.455974327771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112467.63570550516</v>
      </c>
      <c r="D61" s="740">
        <f t="shared" ref="D61:Q61" ca="1" si="8">D46+D52+D56</f>
        <v>84.830058188716038</v>
      </c>
      <c r="E61" s="740">
        <f t="shared" ca="1" si="8"/>
        <v>229966.24550211296</v>
      </c>
      <c r="F61" s="740">
        <f t="shared" si="8"/>
        <v>5245.1289764981029</v>
      </c>
      <c r="G61" s="740">
        <f t="shared" ca="1" si="8"/>
        <v>37989.079408685364</v>
      </c>
      <c r="H61" s="740">
        <f t="shared" si="8"/>
        <v>166812.71840916947</v>
      </c>
      <c r="I61" s="740">
        <f t="shared" si="8"/>
        <v>29118.177301873733</v>
      </c>
      <c r="J61" s="740">
        <f t="shared" si="8"/>
        <v>0</v>
      </c>
      <c r="K61" s="740">
        <f t="shared" si="8"/>
        <v>644.48980971862022</v>
      </c>
      <c r="L61" s="740">
        <f t="shared" si="8"/>
        <v>0</v>
      </c>
      <c r="M61" s="740">
        <f t="shared" ca="1" si="8"/>
        <v>0</v>
      </c>
      <c r="N61" s="740">
        <f t="shared" si="8"/>
        <v>0</v>
      </c>
      <c r="O61" s="740">
        <f t="shared" ca="1" si="8"/>
        <v>0</v>
      </c>
      <c r="P61" s="740">
        <f t="shared" si="8"/>
        <v>0</v>
      </c>
      <c r="Q61" s="740">
        <f t="shared" si="8"/>
        <v>0</v>
      </c>
      <c r="R61" s="740">
        <f ca="1">R46+R52+R56</f>
        <v>582328.30517175212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0.17722492841180396</v>
      </c>
      <c r="D63" s="781">
        <f t="shared" ca="1" si="9"/>
        <v>0.23705006280279928</v>
      </c>
      <c r="E63" s="1023">
        <f t="shared" ca="1" si="9"/>
        <v>0.20200000000000004</v>
      </c>
      <c r="F63" s="781">
        <f t="shared" si="9"/>
        <v>0.22700000000000004</v>
      </c>
      <c r="G63" s="781">
        <f t="shared" ca="1" si="9"/>
        <v>0.26700000000000002</v>
      </c>
      <c r="H63" s="781">
        <f t="shared" si="9"/>
        <v>0.26699999999999996</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93307.733506680859</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32410.240949664341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239.25000000000003</v>
      </c>
      <c r="D76" s="1033">
        <f>'lokale energieproductie'!C8</f>
        <v>280.76350260183028</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56.714227525569719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125717.9744563452</v>
      </c>
      <c r="C78" s="755">
        <f>SUM(C72:C77)</f>
        <v>239.25000000000003</v>
      </c>
      <c r="D78" s="756">
        <f t="shared" ref="D78:H78" si="10">SUM(D76:D77)</f>
        <v>280.76350260183028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56.714227525569719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357.85714285714289</v>
      </c>
      <c r="D87" s="777">
        <f>'lokale energieproductie'!C17</f>
        <v>419.95078311245555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84.830058188716023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357.85714285714289</v>
      </c>
      <c r="D90" s="755">
        <f t="shared" ref="D90:H90" si="12">SUM(D87:D89)</f>
        <v>419.95078311245555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84.830058188716023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93307.733506680859</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32410.240949664341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239.25000000000003</v>
      </c>
      <c r="C8" s="570">
        <f>B101</f>
        <v>280.76350260183028</v>
      </c>
      <c r="D8" s="1043"/>
      <c r="E8" s="1043">
        <f>E101</f>
        <v>0</v>
      </c>
      <c r="F8" s="1044"/>
      <c r="G8" s="571"/>
      <c r="H8" s="1043">
        <f>I101</f>
        <v>0</v>
      </c>
      <c r="I8" s="1043">
        <f>G101+F101</f>
        <v>0</v>
      </c>
      <c r="J8" s="1043">
        <f>H101+D101+C101</f>
        <v>0</v>
      </c>
      <c r="K8" s="1043"/>
      <c r="L8" s="1043"/>
      <c r="M8" s="1043"/>
      <c r="N8" s="572"/>
      <c r="O8" s="573">
        <f>C8*$C$12+D8*$D$12+E8*$E$12+F8*$F$12+G8*$G$12+H8*$H$12+I8*$I$12+J8*$J$12</f>
        <v>56.714227525569719</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125957.2244563452</v>
      </c>
      <c r="C10" s="583">
        <f t="shared" ref="C10:L10" si="0">SUM(C8:C9)</f>
        <v>280.76350260183028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56.714227525569719</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357.85714285714289</v>
      </c>
      <c r="C17" s="595">
        <f>B102</f>
        <v>419.95078311245555</v>
      </c>
      <c r="D17" s="596"/>
      <c r="E17" s="596">
        <f>E102</f>
        <v>0</v>
      </c>
      <c r="F17" s="1049"/>
      <c r="G17" s="597"/>
      <c r="H17" s="595">
        <f>I102</f>
        <v>0</v>
      </c>
      <c r="I17" s="596">
        <f>G102+F102</f>
        <v>0</v>
      </c>
      <c r="J17" s="596">
        <f>H102+D102+C102</f>
        <v>0</v>
      </c>
      <c r="K17" s="596"/>
      <c r="L17" s="596"/>
      <c r="M17" s="596"/>
      <c r="N17" s="1050"/>
      <c r="O17" s="598">
        <f>C17*$C$22+E17*$E$22+H17*$H$22+I17*$I$22+J17*$J$22+D17*$D$22+F17*$F$22+G17*$G$22+K17*$K$22+L17*$L$22</f>
        <v>84.830058188716023</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357.85714285714289</v>
      </c>
      <c r="C20" s="582">
        <f>SUM(C17:C19)</f>
        <v>419.95078311245555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84.830058188716023</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31005</v>
      </c>
      <c r="C28" s="796">
        <v>8000</v>
      </c>
      <c r="D28" s="653" t="s">
        <v>890</v>
      </c>
      <c r="E28" s="652" t="s">
        <v>891</v>
      </c>
      <c r="F28" s="652" t="s">
        <v>892</v>
      </c>
      <c r="G28" s="652" t="s">
        <v>893</v>
      </c>
      <c r="H28" s="652" t="s">
        <v>894</v>
      </c>
      <c r="I28" s="652" t="s">
        <v>891</v>
      </c>
      <c r="J28" s="795">
        <v>41207</v>
      </c>
      <c r="K28" s="795">
        <v>41306</v>
      </c>
      <c r="L28" s="652" t="s">
        <v>895</v>
      </c>
      <c r="M28" s="652">
        <v>5.5</v>
      </c>
      <c r="N28" s="652">
        <v>24.75</v>
      </c>
      <c r="O28" s="652">
        <v>35.357142857142861</v>
      </c>
      <c r="P28" s="652">
        <v>70.714285714285722</v>
      </c>
      <c r="Q28" s="652">
        <v>0</v>
      </c>
      <c r="R28" s="652">
        <v>0</v>
      </c>
      <c r="S28" s="652">
        <v>0</v>
      </c>
      <c r="T28" s="652">
        <v>0</v>
      </c>
      <c r="U28" s="652">
        <v>0</v>
      </c>
      <c r="V28" s="652">
        <v>0</v>
      </c>
      <c r="W28" s="652">
        <v>0</v>
      </c>
      <c r="X28" s="652">
        <v>10</v>
      </c>
      <c r="Y28" s="652" t="s">
        <v>112</v>
      </c>
      <c r="Z28" s="654" t="s">
        <v>112</v>
      </c>
    </row>
    <row r="29" spans="1:26" s="606" customFormat="1" ht="12.75">
      <c r="A29" s="605"/>
      <c r="B29" s="796">
        <v>31005</v>
      </c>
      <c r="C29" s="796">
        <v>8000</v>
      </c>
      <c r="D29" s="653" t="s">
        <v>896</v>
      </c>
      <c r="E29" s="652" t="s">
        <v>897</v>
      </c>
      <c r="F29" s="652" t="s">
        <v>898</v>
      </c>
      <c r="G29" s="652" t="s">
        <v>899</v>
      </c>
      <c r="H29" s="652" t="s">
        <v>899</v>
      </c>
      <c r="I29" s="652" t="s">
        <v>897</v>
      </c>
      <c r="J29" s="795">
        <v>41624</v>
      </c>
      <c r="K29" s="795">
        <v>41619</v>
      </c>
      <c r="L29" s="652" t="s">
        <v>895</v>
      </c>
      <c r="M29" s="652">
        <v>1</v>
      </c>
      <c r="N29" s="652">
        <v>4.5</v>
      </c>
      <c r="O29" s="652">
        <v>22.5</v>
      </c>
      <c r="P29" s="652">
        <v>30</v>
      </c>
      <c r="Q29" s="652">
        <v>0</v>
      </c>
      <c r="R29" s="652">
        <v>0</v>
      </c>
      <c r="S29" s="652">
        <v>0</v>
      </c>
      <c r="T29" s="652">
        <v>0</v>
      </c>
      <c r="U29" s="652">
        <v>0</v>
      </c>
      <c r="V29" s="652">
        <v>0</v>
      </c>
      <c r="W29" s="652">
        <v>0</v>
      </c>
      <c r="X29" s="652">
        <v>10</v>
      </c>
      <c r="Y29" s="652" t="s">
        <v>112</v>
      </c>
      <c r="Z29" s="654" t="s">
        <v>112</v>
      </c>
    </row>
    <row r="30" spans="1:26" s="606" customFormat="1" ht="63.75">
      <c r="A30" s="605"/>
      <c r="B30" s="796">
        <v>31005</v>
      </c>
      <c r="C30" s="796">
        <v>8000</v>
      </c>
      <c r="D30" s="653" t="s">
        <v>900</v>
      </c>
      <c r="E30" s="652" t="s">
        <v>901</v>
      </c>
      <c r="F30" s="652" t="s">
        <v>902</v>
      </c>
      <c r="G30" s="652" t="s">
        <v>893</v>
      </c>
      <c r="H30" s="652" t="s">
        <v>894</v>
      </c>
      <c r="I30" s="652" t="s">
        <v>901</v>
      </c>
      <c r="J30" s="795">
        <v>42137</v>
      </c>
      <c r="K30" s="795">
        <v>42107</v>
      </c>
      <c r="L30" s="652" t="s">
        <v>895</v>
      </c>
      <c r="M30" s="652">
        <v>70</v>
      </c>
      <c r="N30" s="652">
        <v>210.00000000000003</v>
      </c>
      <c r="O30" s="652">
        <v>300.00000000000006</v>
      </c>
      <c r="P30" s="652">
        <v>600.00000000000011</v>
      </c>
      <c r="Q30" s="652">
        <v>0</v>
      </c>
      <c r="R30" s="652">
        <v>0</v>
      </c>
      <c r="S30" s="652">
        <v>0</v>
      </c>
      <c r="T30" s="652">
        <v>0</v>
      </c>
      <c r="U30" s="652">
        <v>0</v>
      </c>
      <c r="V30" s="652">
        <v>0</v>
      </c>
      <c r="W30" s="652">
        <v>0</v>
      </c>
      <c r="X30" s="652">
        <v>1600</v>
      </c>
      <c r="Y30" s="652" t="s">
        <v>50</v>
      </c>
      <c r="Z30" s="654" t="s">
        <v>156</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76.5</v>
      </c>
      <c r="N58" s="610">
        <f>SUM(N28:N57)</f>
        <v>239.25000000000003</v>
      </c>
      <c r="O58" s="610">
        <f t="shared" ref="O58:W58" si="2">SUM(O28:O57)</f>
        <v>357.85714285714289</v>
      </c>
      <c r="P58" s="610">
        <f t="shared" si="2"/>
        <v>700.71428571428578</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70</v>
      </c>
      <c r="N60" s="610">
        <f ca="1">SUMIF($Z$28:AD57,"tertiair",N28:N57)</f>
        <v>210.00000000000003</v>
      </c>
      <c r="O60" s="610">
        <f ca="1">SUMIF($Z$28:AE57,"tertiair",O28:O57)</f>
        <v>300.00000000000006</v>
      </c>
      <c r="P60" s="610">
        <f ca="1">SUMIF($Z$28:AF57,"tertiair",P28:P57)</f>
        <v>600.00000000000011</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6.5</v>
      </c>
      <c r="N61" s="615">
        <f t="shared" si="4"/>
        <v>29.25</v>
      </c>
      <c r="O61" s="615">
        <f t="shared" si="4"/>
        <v>57.857142857142861</v>
      </c>
      <c r="P61" s="615">
        <f t="shared" si="4"/>
        <v>100.71428571428572</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0.59931814103714343</v>
      </c>
      <c r="C98" s="635">
        <f>IF(ISERROR(N58/(O58+N58)),0,N58/(N58+O58))</f>
        <v>0.40068185896285663</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280.76350260183028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419.95078311245555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191510.54289639561</v>
      </c>
      <c r="C4" s="477">
        <f>huishoudens!C8</f>
        <v>0</v>
      </c>
      <c r="D4" s="477">
        <f>huishoudens!D8</f>
        <v>575354.39210027817</v>
      </c>
      <c r="E4" s="477">
        <f>huishoudens!E8</f>
        <v>8662.172258957231</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45853.434789738363</v>
      </c>
      <c r="O4" s="477">
        <f>huishoudens!O8</f>
        <v>1089.6433333333334</v>
      </c>
      <c r="P4" s="478">
        <f>huishoudens!P8</f>
        <v>1334.6666666666667</v>
      </c>
      <c r="Q4" s="479">
        <f>SUM(B4:P4)</f>
        <v>823804.85204536945</v>
      </c>
    </row>
    <row r="5" spans="1:17">
      <c r="A5" s="476" t="s">
        <v>156</v>
      </c>
      <c r="B5" s="477">
        <f ca="1">tertiair!B16</f>
        <v>311647.22730699996</v>
      </c>
      <c r="C5" s="477">
        <f ca="1">tertiair!C16</f>
        <v>300.00000000000006</v>
      </c>
      <c r="D5" s="477">
        <f ca="1">tertiair!D16</f>
        <v>347015.68874890002</v>
      </c>
      <c r="E5" s="477">
        <f>tertiair!E16</f>
        <v>5547.6054908992865</v>
      </c>
      <c r="F5" s="477">
        <f ca="1">tertiair!F16</f>
        <v>84538.17344658084</v>
      </c>
      <c r="G5" s="477">
        <f>tertiair!G16</f>
        <v>0</v>
      </c>
      <c r="H5" s="477">
        <f>tertiair!H16</f>
        <v>0</v>
      </c>
      <c r="I5" s="477">
        <f>tertiair!I16</f>
        <v>0</v>
      </c>
      <c r="J5" s="477">
        <f>tertiair!J16</f>
        <v>0</v>
      </c>
      <c r="K5" s="477">
        <f>tertiair!K16</f>
        <v>0</v>
      </c>
      <c r="L5" s="477">
        <f ca="1">tertiair!L16</f>
        <v>0</v>
      </c>
      <c r="M5" s="477">
        <f>tertiair!M16</f>
        <v>0</v>
      </c>
      <c r="N5" s="477">
        <f ca="1">tertiair!N16</f>
        <v>27240.652645298196</v>
      </c>
      <c r="O5" s="477">
        <f>tertiair!O16</f>
        <v>20.323333333333334</v>
      </c>
      <c r="P5" s="478">
        <f>tertiair!P16</f>
        <v>324.13333333333333</v>
      </c>
      <c r="Q5" s="476">
        <f t="shared" ref="Q5:Q14" ca="1" si="0">SUM(B5:P5)</f>
        <v>776633.80430534505</v>
      </c>
    </row>
    <row r="6" spans="1:17">
      <c r="A6" s="476" t="s">
        <v>194</v>
      </c>
      <c r="B6" s="477">
        <f>'openbare verlichting'!B8</f>
        <v>8039.3959999999997</v>
      </c>
      <c r="C6" s="477"/>
      <c r="D6" s="477"/>
      <c r="E6" s="477"/>
      <c r="F6" s="477"/>
      <c r="G6" s="477"/>
      <c r="H6" s="477"/>
      <c r="I6" s="477"/>
      <c r="J6" s="477"/>
      <c r="K6" s="477"/>
      <c r="L6" s="477"/>
      <c r="M6" s="477"/>
      <c r="N6" s="477"/>
      <c r="O6" s="477"/>
      <c r="P6" s="478"/>
      <c r="Q6" s="476">
        <f t="shared" si="0"/>
        <v>8039.3959999999997</v>
      </c>
    </row>
    <row r="7" spans="1:17">
      <c r="A7" s="476" t="s">
        <v>112</v>
      </c>
      <c r="B7" s="477">
        <f>landbouw!B8</f>
        <v>7434.4135279499997</v>
      </c>
      <c r="C7" s="477">
        <f>landbouw!C8</f>
        <v>57.857142857142861</v>
      </c>
      <c r="D7" s="477">
        <f>landbouw!D8</f>
        <v>13401.045082886734</v>
      </c>
      <c r="E7" s="477">
        <f>landbouw!E8</f>
        <v>191.70498003808879</v>
      </c>
      <c r="F7" s="477">
        <f>landbouw!F8</f>
        <v>27174.197259937384</v>
      </c>
      <c r="G7" s="477">
        <f>landbouw!G8</f>
        <v>0</v>
      </c>
      <c r="H7" s="477">
        <f>landbouw!H8</f>
        <v>0</v>
      </c>
      <c r="I7" s="477">
        <f>landbouw!I8</f>
        <v>0</v>
      </c>
      <c r="J7" s="477">
        <f>landbouw!J8</f>
        <v>1070.2820608038001</v>
      </c>
      <c r="K7" s="477">
        <f>landbouw!K8</f>
        <v>0</v>
      </c>
      <c r="L7" s="477">
        <f>landbouw!L8</f>
        <v>0</v>
      </c>
      <c r="M7" s="477">
        <f>landbouw!M8</f>
        <v>0</v>
      </c>
      <c r="N7" s="477">
        <f>landbouw!N8</f>
        <v>0</v>
      </c>
      <c r="O7" s="477">
        <f>landbouw!O8</f>
        <v>0</v>
      </c>
      <c r="P7" s="478">
        <f>landbouw!P8</f>
        <v>0</v>
      </c>
      <c r="Q7" s="476">
        <f t="shared" si="0"/>
        <v>49329.500054473152</v>
      </c>
    </row>
    <row r="8" spans="1:17">
      <c r="A8" s="476" t="s">
        <v>638</v>
      </c>
      <c r="B8" s="477">
        <f>industrie!B18</f>
        <v>104699.0912290127</v>
      </c>
      <c r="C8" s="477">
        <f>industrie!C18</f>
        <v>0</v>
      </c>
      <c r="D8" s="477">
        <f>industrie!D18</f>
        <v>171289.19598178129</v>
      </c>
      <c r="E8" s="477">
        <f>industrie!E18</f>
        <v>6992.3882390472245</v>
      </c>
      <c r="F8" s="477">
        <f>industrie!F18</f>
        <v>30568.825580692879</v>
      </c>
      <c r="G8" s="477">
        <f>industrie!G18</f>
        <v>0</v>
      </c>
      <c r="H8" s="477">
        <f>industrie!H18</f>
        <v>0</v>
      </c>
      <c r="I8" s="477">
        <f>industrie!I18</f>
        <v>0</v>
      </c>
      <c r="J8" s="477">
        <f>industrie!J18</f>
        <v>750.31062201716111</v>
      </c>
      <c r="K8" s="477">
        <f>industrie!K18</f>
        <v>0</v>
      </c>
      <c r="L8" s="477">
        <f>industrie!L18</f>
        <v>0</v>
      </c>
      <c r="M8" s="477">
        <f>industrie!M18</f>
        <v>0</v>
      </c>
      <c r="N8" s="477">
        <f>industrie!N18</f>
        <v>31017.955017422697</v>
      </c>
      <c r="O8" s="477">
        <f>industrie!O18</f>
        <v>0</v>
      </c>
      <c r="P8" s="478">
        <f>industrie!P18</f>
        <v>0</v>
      </c>
      <c r="Q8" s="476">
        <f t="shared" si="0"/>
        <v>345317.76666997385</v>
      </c>
    </row>
    <row r="9" spans="1:17" s="482" customFormat="1">
      <c r="A9" s="480" t="s">
        <v>564</v>
      </c>
      <c r="B9" s="481">
        <f>transport!B14</f>
        <v>189.86418695872311</v>
      </c>
      <c r="C9" s="481">
        <f>transport!C14</f>
        <v>0</v>
      </c>
      <c r="D9" s="481">
        <f>transport!D14</f>
        <v>433.63272760395375</v>
      </c>
      <c r="E9" s="481">
        <f>transport!E14</f>
        <v>1712.4240817106045</v>
      </c>
      <c r="F9" s="481">
        <f>transport!F14</f>
        <v>0</v>
      </c>
      <c r="G9" s="481">
        <f>transport!G14</f>
        <v>602064.91636674211</v>
      </c>
      <c r="H9" s="481">
        <f>transport!H14</f>
        <v>116940.47109186239</v>
      </c>
      <c r="I9" s="481">
        <f>transport!I14</f>
        <v>0</v>
      </c>
      <c r="J9" s="481">
        <f>transport!J14</f>
        <v>0</v>
      </c>
      <c r="K9" s="481">
        <f>transport!K14</f>
        <v>0</v>
      </c>
      <c r="L9" s="481">
        <f>transport!L14</f>
        <v>0</v>
      </c>
      <c r="M9" s="481">
        <f>transport!M14</f>
        <v>22471.732792728519</v>
      </c>
      <c r="N9" s="481">
        <f>transport!N14</f>
        <v>0</v>
      </c>
      <c r="O9" s="481">
        <f>transport!O14</f>
        <v>0</v>
      </c>
      <c r="P9" s="481">
        <f>transport!P14</f>
        <v>0</v>
      </c>
      <c r="Q9" s="480">
        <f>SUM(B9:P9)</f>
        <v>743813.04124760628</v>
      </c>
    </row>
    <row r="10" spans="1:17">
      <c r="A10" s="476" t="s">
        <v>554</v>
      </c>
      <c r="B10" s="477">
        <f>transport!B54</f>
        <v>826.41472629788711</v>
      </c>
      <c r="C10" s="477">
        <f>transport!C54</f>
        <v>0</v>
      </c>
      <c r="D10" s="477">
        <f>transport!D54</f>
        <v>0</v>
      </c>
      <c r="E10" s="477">
        <f>transport!E54</f>
        <v>0</v>
      </c>
      <c r="F10" s="477">
        <f>transport!F54</f>
        <v>0</v>
      </c>
      <c r="G10" s="477">
        <f>transport!G54</f>
        <v>22701.819248124826</v>
      </c>
      <c r="H10" s="477">
        <f>transport!H54</f>
        <v>0</v>
      </c>
      <c r="I10" s="477">
        <f>transport!I54</f>
        <v>0</v>
      </c>
      <c r="J10" s="477">
        <f>transport!J54</f>
        <v>0</v>
      </c>
      <c r="K10" s="477">
        <f>transport!K54</f>
        <v>0</v>
      </c>
      <c r="L10" s="477">
        <f>transport!L54</f>
        <v>0</v>
      </c>
      <c r="M10" s="477">
        <f>transport!M54</f>
        <v>704.15964497344214</v>
      </c>
      <c r="N10" s="477">
        <f>transport!N54</f>
        <v>0</v>
      </c>
      <c r="O10" s="477">
        <f>transport!O54</f>
        <v>0</v>
      </c>
      <c r="P10" s="478">
        <f>transport!P54</f>
        <v>0</v>
      </c>
      <c r="Q10" s="476">
        <f t="shared" si="0"/>
        <v>24232.393619396156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10256.978102999999</v>
      </c>
      <c r="C14" s="484"/>
      <c r="D14" s="484">
        <f>'SEAP template'!E25</f>
        <v>30952.805270000001</v>
      </c>
      <c r="E14" s="484"/>
      <c r="F14" s="484"/>
      <c r="G14" s="484"/>
      <c r="H14" s="484"/>
      <c r="I14" s="484"/>
      <c r="J14" s="484"/>
      <c r="K14" s="484"/>
      <c r="L14" s="484"/>
      <c r="M14" s="484"/>
      <c r="N14" s="484"/>
      <c r="O14" s="484"/>
      <c r="P14" s="485"/>
      <c r="Q14" s="476">
        <f t="shared" si="0"/>
        <v>41209.783372999998</v>
      </c>
    </row>
    <row r="15" spans="1:17" s="486" customFormat="1">
      <c r="A15" s="1038" t="s">
        <v>558</v>
      </c>
      <c r="B15" s="978">
        <f ca="1">SUM(B4:B14)</f>
        <v>634603.92797661491</v>
      </c>
      <c r="C15" s="978">
        <f t="shared" ref="C15:Q15" ca="1" si="1">SUM(C4:C14)</f>
        <v>357.85714285714289</v>
      </c>
      <c r="D15" s="978">
        <f t="shared" ca="1" si="1"/>
        <v>1138446.7599114499</v>
      </c>
      <c r="E15" s="978">
        <f t="shared" si="1"/>
        <v>23106.295050652436</v>
      </c>
      <c r="F15" s="978">
        <f t="shared" ca="1" si="1"/>
        <v>142281.19628721109</v>
      </c>
      <c r="G15" s="978">
        <f t="shared" si="1"/>
        <v>624766.73561486695</v>
      </c>
      <c r="H15" s="978">
        <f t="shared" si="1"/>
        <v>116940.47109186239</v>
      </c>
      <c r="I15" s="978">
        <f t="shared" si="1"/>
        <v>0</v>
      </c>
      <c r="J15" s="978">
        <f t="shared" si="1"/>
        <v>1820.5926828209613</v>
      </c>
      <c r="K15" s="978">
        <f t="shared" si="1"/>
        <v>0</v>
      </c>
      <c r="L15" s="978">
        <f t="shared" ca="1" si="1"/>
        <v>0</v>
      </c>
      <c r="M15" s="978">
        <f t="shared" si="1"/>
        <v>23175.892437701961</v>
      </c>
      <c r="N15" s="978">
        <f t="shared" ca="1" si="1"/>
        <v>104112.04245245925</v>
      </c>
      <c r="O15" s="978">
        <f t="shared" si="1"/>
        <v>1109.9666666666667</v>
      </c>
      <c r="P15" s="978">
        <f t="shared" si="1"/>
        <v>1658.8000000000002</v>
      </c>
      <c r="Q15" s="978">
        <f t="shared" ca="1" si="1"/>
        <v>2812380.5373151642</v>
      </c>
    </row>
    <row r="17" spans="1:17">
      <c r="A17" s="487" t="s">
        <v>559</v>
      </c>
      <c r="B17" s="786">
        <f ca="1">huishoudens!B10</f>
        <v>0.17722492841180396</v>
      </c>
      <c r="C17" s="786">
        <f ca="1">huishoudens!C10</f>
        <v>0.23705006280279925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33940.442254919421</v>
      </c>
      <c r="C22" s="477">
        <f t="shared" ref="C22:C32" ca="1" si="3">C4*$C$17</f>
        <v>0</v>
      </c>
      <c r="D22" s="477">
        <f t="shared" ref="D22:D32" si="4">D4*$D$17</f>
        <v>116221.5872042562</v>
      </c>
      <c r="E22" s="477">
        <f t="shared" ref="E22:E32" si="5">E4*$E$17</f>
        <v>1966.3131027832915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152128.34256195891</v>
      </c>
    </row>
    <row r="23" spans="1:17">
      <c r="A23" s="476" t="s">
        <v>156</v>
      </c>
      <c r="B23" s="477">
        <f t="shared" ca="1" si="2"/>
        <v>55231.657549220261</v>
      </c>
      <c r="C23" s="477">
        <f t="shared" ca="1" si="3"/>
        <v>71.115018840839795</v>
      </c>
      <c r="D23" s="477">
        <f t="shared" ca="1" si="4"/>
        <v>70097.169127277812</v>
      </c>
      <c r="E23" s="477">
        <f t="shared" si="5"/>
        <v>1259.306446434138</v>
      </c>
      <c r="F23" s="477">
        <f t="shared" ca="1" si="6"/>
        <v>22571.692310237086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149230.94045201014</v>
      </c>
    </row>
    <row r="24" spans="1:17">
      <c r="A24" s="476" t="s">
        <v>194</v>
      </c>
      <c r="B24" s="477">
        <f t="shared" ca="1" si="2"/>
        <v>1424.781380574143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1424.781380574143</v>
      </c>
    </row>
    <row r="25" spans="1:17">
      <c r="A25" s="476" t="s">
        <v>112</v>
      </c>
      <c r="B25" s="477">
        <f t="shared" ca="1" si="2"/>
        <v>1317.5634052746855</v>
      </c>
      <c r="C25" s="477">
        <f t="shared" ca="1" si="3"/>
        <v>13.715039347876242</v>
      </c>
      <c r="D25" s="477">
        <f t="shared" si="4"/>
        <v>2707.0111067431203</v>
      </c>
      <c r="E25" s="477">
        <f t="shared" si="5"/>
        <v>43.517030468646155</v>
      </c>
      <c r="F25" s="477">
        <f t="shared" si="6"/>
        <v>7255.5106684032817</v>
      </c>
      <c r="G25" s="477">
        <f t="shared" si="7"/>
        <v>0</v>
      </c>
      <c r="H25" s="477">
        <f t="shared" si="8"/>
        <v>0</v>
      </c>
      <c r="I25" s="477">
        <f t="shared" si="9"/>
        <v>0</v>
      </c>
      <c r="J25" s="477">
        <f t="shared" si="10"/>
        <v>378.87984952454519</v>
      </c>
      <c r="K25" s="477">
        <f t="shared" si="11"/>
        <v>0</v>
      </c>
      <c r="L25" s="477">
        <f t="shared" si="12"/>
        <v>0</v>
      </c>
      <c r="M25" s="477">
        <f t="shared" si="13"/>
        <v>0</v>
      </c>
      <c r="N25" s="477">
        <f t="shared" si="14"/>
        <v>0</v>
      </c>
      <c r="O25" s="477">
        <f t="shared" si="15"/>
        <v>0</v>
      </c>
      <c r="P25" s="478">
        <f t="shared" si="16"/>
        <v>0</v>
      </c>
      <c r="Q25" s="476">
        <f t="shared" ca="1" si="17"/>
        <v>11716.197099762156</v>
      </c>
    </row>
    <row r="26" spans="1:17">
      <c r="A26" s="476" t="s">
        <v>638</v>
      </c>
      <c r="B26" s="477">
        <f t="shared" ca="1" si="2"/>
        <v>18555.288947842706</v>
      </c>
      <c r="C26" s="477">
        <f t="shared" ca="1" si="3"/>
        <v>0</v>
      </c>
      <c r="D26" s="477">
        <f t="shared" si="4"/>
        <v>34600.417588319826</v>
      </c>
      <c r="E26" s="477">
        <f t="shared" si="5"/>
        <v>1587.2721302637201</v>
      </c>
      <c r="F26" s="477">
        <f t="shared" si="6"/>
        <v>8161.8764300449993</v>
      </c>
      <c r="G26" s="477">
        <f t="shared" si="7"/>
        <v>0</v>
      </c>
      <c r="H26" s="477">
        <f t="shared" si="8"/>
        <v>0</v>
      </c>
      <c r="I26" s="477">
        <f t="shared" si="9"/>
        <v>0</v>
      </c>
      <c r="J26" s="477">
        <f t="shared" si="10"/>
        <v>265.60996019407503</v>
      </c>
      <c r="K26" s="477">
        <f t="shared" si="11"/>
        <v>0</v>
      </c>
      <c r="L26" s="477">
        <f t="shared" si="12"/>
        <v>0</v>
      </c>
      <c r="M26" s="477">
        <f t="shared" si="13"/>
        <v>0</v>
      </c>
      <c r="N26" s="477">
        <f t="shared" si="14"/>
        <v>0</v>
      </c>
      <c r="O26" s="477">
        <f t="shared" si="15"/>
        <v>0</v>
      </c>
      <c r="P26" s="478">
        <f t="shared" si="16"/>
        <v>0</v>
      </c>
      <c r="Q26" s="476">
        <f t="shared" ca="1" si="17"/>
        <v>63170.465056665322</v>
      </c>
    </row>
    <row r="27" spans="1:17" s="482" customFormat="1">
      <c r="A27" s="480" t="s">
        <v>564</v>
      </c>
      <c r="B27" s="780">
        <f t="shared" ca="1" si="2"/>
        <v>33.648666941725068</v>
      </c>
      <c r="C27" s="481">
        <f t="shared" ca="1" si="3"/>
        <v>0</v>
      </c>
      <c r="D27" s="481">
        <f t="shared" si="4"/>
        <v>87.593810975998665</v>
      </c>
      <c r="E27" s="481">
        <f t="shared" si="5"/>
        <v>388.72026654830722</v>
      </c>
      <c r="F27" s="481">
        <f t="shared" si="6"/>
        <v>0</v>
      </c>
      <c r="G27" s="481">
        <f t="shared" si="7"/>
        <v>160751.33266992014</v>
      </c>
      <c r="H27" s="481">
        <f t="shared" si="8"/>
        <v>29118.177301873733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190379.47271625992</v>
      </c>
    </row>
    <row r="28" spans="1:17">
      <c r="A28" s="476" t="s">
        <v>554</v>
      </c>
      <c r="B28" s="477">
        <f t="shared" ca="1" si="2"/>
        <v>146.46129070660359</v>
      </c>
      <c r="C28" s="477">
        <f t="shared" ca="1" si="3"/>
        <v>0</v>
      </c>
      <c r="D28" s="477">
        <f t="shared" si="4"/>
        <v>0</v>
      </c>
      <c r="E28" s="477">
        <f t="shared" si="5"/>
        <v>0</v>
      </c>
      <c r="F28" s="477">
        <f t="shared" si="6"/>
        <v>0</v>
      </c>
      <c r="G28" s="477">
        <f t="shared" si="7"/>
        <v>6061.3857392493292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6207.8470299559331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1817.7922100256158</v>
      </c>
      <c r="C32" s="477">
        <f t="shared" ca="1" si="3"/>
        <v>0</v>
      </c>
      <c r="D32" s="477">
        <f t="shared" si="4"/>
        <v>6252.4666645400002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8070.2588745656158</v>
      </c>
    </row>
    <row r="33" spans="1:17" s="486" customFormat="1">
      <c r="A33" s="1038" t="s">
        <v>558</v>
      </c>
      <c r="B33" s="978">
        <f ca="1">SUM(B22:B32)</f>
        <v>112467.63570550516</v>
      </c>
      <c r="C33" s="978">
        <f t="shared" ref="C33:Q33" ca="1" si="18">SUM(C22:C32)</f>
        <v>84.830058188716038</v>
      </c>
      <c r="D33" s="978">
        <f t="shared" ca="1" si="18"/>
        <v>229966.24550211296</v>
      </c>
      <c r="E33" s="978">
        <f t="shared" si="18"/>
        <v>5245.1289764981029</v>
      </c>
      <c r="F33" s="978">
        <f t="shared" ca="1" si="18"/>
        <v>37989.079408685364</v>
      </c>
      <c r="G33" s="978">
        <f t="shared" si="18"/>
        <v>166812.71840916947</v>
      </c>
      <c r="H33" s="978">
        <f t="shared" si="18"/>
        <v>29118.177301873733</v>
      </c>
      <c r="I33" s="978">
        <f t="shared" si="18"/>
        <v>0</v>
      </c>
      <c r="J33" s="978">
        <f t="shared" si="18"/>
        <v>644.48980971862022</v>
      </c>
      <c r="K33" s="978">
        <f t="shared" si="18"/>
        <v>0</v>
      </c>
      <c r="L33" s="978">
        <f t="shared" ca="1" si="18"/>
        <v>0</v>
      </c>
      <c r="M33" s="978">
        <f t="shared" si="18"/>
        <v>0</v>
      </c>
      <c r="N33" s="978">
        <f t="shared" ca="1" si="18"/>
        <v>0</v>
      </c>
      <c r="O33" s="978">
        <f t="shared" si="18"/>
        <v>0</v>
      </c>
      <c r="P33" s="978">
        <f t="shared" si="18"/>
        <v>0</v>
      </c>
      <c r="Q33" s="978">
        <f t="shared" ca="1" si="18"/>
        <v>582328.30517175212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93307.733506680859</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32410.240949664341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239.25000000000003</v>
      </c>
      <c r="D8" s="1055">
        <f>'SEAP template'!D76</f>
        <v>280.76350260183028</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56.714227525569719</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125717.9744563452</v>
      </c>
      <c r="C10" s="1059">
        <f>SUM(C4:C9)</f>
        <v>239.25000000000003</v>
      </c>
      <c r="D10" s="1059">
        <f t="shared" ref="D10:H10" si="0">SUM(D8:D9)</f>
        <v>280.76350260183028</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56.714227525569719</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0.17722492841180396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357.85714285714289</v>
      </c>
      <c r="D17" s="1056">
        <f>'SEAP template'!D87</f>
        <v>419.95078311245555</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84.830058188716023</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357.85714285714289</v>
      </c>
      <c r="D20" s="1059">
        <f t="shared" ref="D20:H20" si="2">SUM(D17:D19)</f>
        <v>419.95078311245555</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84.830058188716023</v>
      </c>
    </row>
    <row r="22" spans="1:16">
      <c r="A22" s="487" t="s">
        <v>871</v>
      </c>
      <c r="B22" s="786" t="s">
        <v>865</v>
      </c>
      <c r="C22" s="786">
        <f ca="1">'EF ele_warmte'!B22</f>
        <v>0.23705006280279925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0.17722492841180396</v>
      </c>
      <c r="C17" s="524">
        <f ca="1">'EF ele_warmte'!B22</f>
        <v>0.23705006280279925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3</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4.6900000000000004</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2019-08-12T08:24:07Z</dcterms:modified>
</cp:coreProperties>
</file>