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R9" s="1"/>
  <c r="G9"/>
  <c r="F9"/>
  <c r="E9"/>
  <c r="D9"/>
  <c r="C9"/>
  <c r="R90"/>
  <c r="R78"/>
  <c r="J56"/>
  <c r="H56"/>
  <c r="I56"/>
  <c r="Q52"/>
  <c r="P52"/>
  <c r="R44"/>
  <c r="R25"/>
  <c r="E25"/>
  <c r="E55" s="1"/>
  <c r="C25"/>
  <c r="N26"/>
  <c r="L26"/>
  <c r="J26"/>
  <c r="I26"/>
  <c r="D22"/>
  <c r="M22"/>
  <c r="R12"/>
  <c r="N19" i="59" l="1"/>
  <c r="N90" i="14"/>
  <c r="L18" i="59"/>
  <c r="L20" s="1"/>
  <c r="L90" i="14"/>
  <c r="K18" i="59"/>
  <c r="K90" i="14"/>
  <c r="L78"/>
  <c r="L8" i="59"/>
  <c r="L10" s="1"/>
  <c r="N20"/>
  <c r="K20"/>
  <c r="O10"/>
  <c r="G78" i="14"/>
  <c r="N10" i="59"/>
  <c r="H89" i="14"/>
  <c r="H19" i="59" s="1"/>
  <c r="O19" i="18"/>
  <c r="K78" i="14"/>
  <c r="B98" i="18"/>
  <c r="B102" s="1"/>
  <c r="C17" s="1"/>
  <c r="O78" i="14"/>
  <c r="O9" i="59"/>
  <c r="H90" i="14"/>
  <c r="H18" i="59"/>
  <c r="H78" i="14"/>
  <c r="H8" i="59"/>
  <c r="H10" s="1"/>
  <c r="H20"/>
  <c r="O20"/>
  <c r="D13" i="15"/>
  <c r="O90" i="14"/>
  <c r="B10" i="18"/>
  <c r="C13" i="15"/>
  <c r="L13"/>
  <c r="N13"/>
  <c r="Q77" i="14"/>
  <c r="P9" i="59" s="1"/>
  <c r="O9" i="18"/>
  <c r="O18"/>
  <c r="G88" i="14"/>
  <c r="F89"/>
  <c r="B89" s="1"/>
  <c r="B19" i="59" s="1"/>
  <c r="I101" i="18"/>
  <c r="H8" s="1"/>
  <c r="E101"/>
  <c r="E8" s="1"/>
  <c r="H101"/>
  <c r="D101"/>
  <c r="G101"/>
  <c r="C101"/>
  <c r="F101"/>
  <c r="B101"/>
  <c r="C8" s="1"/>
  <c r="I102"/>
  <c r="H17" s="1"/>
  <c r="E102"/>
  <c r="E17" s="1"/>
  <c r="H102"/>
  <c r="D102"/>
  <c r="Q88" i="14"/>
  <c r="P18" i="59" s="1"/>
  <c r="B88" i="14"/>
  <c r="B18" i="59" s="1"/>
  <c r="B77" i="14"/>
  <c r="B9" i="59" s="1"/>
  <c r="Q14" i="48"/>
  <c r="O24"/>
  <c r="O30"/>
  <c r="P24"/>
  <c r="P30"/>
  <c r="C77" i="14"/>
  <c r="C9" i="59" s="1"/>
  <c r="C88" i="14"/>
  <c r="C18" i="59" s="1"/>
  <c r="E78" i="14"/>
  <c r="E90"/>
  <c r="N78"/>
  <c r="G102" i="18" l="1"/>
  <c r="C102"/>
  <c r="G90" i="14"/>
  <c r="G18" i="59"/>
  <c r="G20" s="1"/>
  <c r="C89" i="14"/>
  <c r="C19" i="59" s="1"/>
  <c r="F19"/>
  <c r="F102" i="18"/>
  <c r="I17" s="1"/>
  <c r="O17" s="1"/>
  <c r="O20" s="1"/>
  <c r="Q89" i="14"/>
  <c r="P19" i="59" s="1"/>
  <c r="C20" i="18"/>
  <c r="D87" i="14"/>
  <c r="D17" i="59" s="1"/>
  <c r="D20" s="1"/>
  <c r="D76" i="14"/>
  <c r="D8" i="59" s="1"/>
  <c r="D10" s="1"/>
  <c r="C10" i="18"/>
  <c r="J17"/>
  <c r="J8"/>
  <c r="F87" i="14"/>
  <c r="E20" i="18"/>
  <c r="E10"/>
  <c r="F76" i="14"/>
  <c r="F8" i="59" s="1"/>
  <c r="F10" s="1"/>
  <c r="H20" i="18"/>
  <c r="M87" i="14"/>
  <c r="I8" i="18"/>
  <c r="O8" s="1"/>
  <c r="O10" s="1"/>
  <c r="M76" i="14"/>
  <c r="H10" i="18"/>
  <c r="H14" i="15"/>
  <c r="H16" s="1"/>
  <c r="G14"/>
  <c r="G16" s="1"/>
  <c r="I10" i="14" l="1"/>
  <c r="I16" s="1"/>
  <c r="H5" i="48"/>
  <c r="H10" i="14"/>
  <c r="H16" s="1"/>
  <c r="G5" i="48"/>
  <c r="M90" i="14"/>
  <c r="M17" i="59"/>
  <c r="M20" s="1"/>
  <c r="F90" i="14"/>
  <c r="F17" i="59"/>
  <c r="F20" s="1"/>
  <c r="M78" i="14"/>
  <c r="M8" i="59"/>
  <c r="M10" s="1"/>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32"/>
  <c r="D24"/>
  <c r="D31"/>
  <c r="L32"/>
  <c r="L29"/>
  <c r="L28"/>
  <c r="L27"/>
  <c r="L22"/>
  <c r="L31"/>
  <c r="L30"/>
  <c r="L24"/>
  <c r="P5"/>
  <c r="P23" s="1"/>
  <c r="Q10" i="14"/>
  <c r="K32" i="48"/>
  <c r="K28"/>
  <c r="K27"/>
  <c r="K25"/>
  <c r="K26"/>
  <c r="K22"/>
  <c r="K31"/>
  <c r="K24"/>
  <c r="K29"/>
  <c r="K30"/>
  <c r="B7"/>
  <c r="C24" i="14"/>
  <c r="C26" s="1"/>
  <c r="J28" i="48"/>
  <c r="J27"/>
  <c r="J32"/>
  <c r="J29"/>
  <c r="J30"/>
  <c r="J31"/>
  <c r="J24"/>
  <c r="P11" i="14"/>
  <c r="O4" i="48"/>
  <c r="I28"/>
  <c r="I27"/>
  <c r="I32"/>
  <c r="I29"/>
  <c r="I24"/>
  <c r="I31"/>
  <c r="I25"/>
  <c r="I22"/>
  <c r="I30"/>
  <c r="I26"/>
  <c r="D4"/>
  <c r="D22" s="1"/>
  <c r="E11" i="14"/>
  <c r="H32" i="48"/>
  <c r="H25"/>
  <c r="H24"/>
  <c r="H29"/>
  <c r="H30"/>
  <c r="H26"/>
  <c r="H28"/>
  <c r="H22"/>
  <c r="H23"/>
  <c r="N46" i="14"/>
  <c r="E32" i="48"/>
  <c r="E31"/>
  <c r="E29"/>
  <c r="E28"/>
  <c r="E24"/>
  <c r="E30"/>
  <c r="M22"/>
  <c r="M29"/>
  <c r="M32"/>
  <c r="M25"/>
  <c r="M26"/>
  <c r="M24"/>
  <c r="M30"/>
  <c r="M23"/>
  <c r="K5"/>
  <c r="L10" i="14"/>
  <c r="L16" s="1"/>
  <c r="L27" s="1"/>
  <c r="Q11"/>
  <c r="P4" i="48"/>
  <c r="C4"/>
  <c r="D11" i="14"/>
  <c r="G29" i="48"/>
  <c r="G26"/>
  <c r="G32"/>
  <c r="G25"/>
  <c r="G30"/>
  <c r="G24"/>
  <c r="G22"/>
  <c r="G23"/>
  <c r="C11" i="14"/>
  <c r="B4" i="48"/>
  <c r="F27"/>
  <c r="F32"/>
  <c r="F31"/>
  <c r="F29"/>
  <c r="F24"/>
  <c r="F30"/>
  <c r="F28"/>
  <c r="N31"/>
  <c r="N27"/>
  <c r="N32"/>
  <c r="N29"/>
  <c r="N30"/>
  <c r="N24"/>
  <c r="N28"/>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P22" i="48"/>
  <c r="P33" s="1"/>
  <c r="C20" i="14"/>
  <c r="B9" i="48"/>
  <c r="F4"/>
  <c r="F22" s="1"/>
  <c r="G11" i="14"/>
  <c r="I5" i="48"/>
  <c r="J10" i="14"/>
  <c r="J16" s="1"/>
  <c r="J27" s="1"/>
  <c r="J63" s="1"/>
  <c r="M12" i="22"/>
  <c r="M13" i="48"/>
  <c r="M31" s="1"/>
  <c r="N18" i="14"/>
  <c r="K33" i="48"/>
  <c r="J12" i="17"/>
  <c r="K54" i="14" s="1"/>
  <c r="K56" s="1"/>
  <c r="L46"/>
  <c r="L61" s="1"/>
  <c r="L63" s="1"/>
  <c r="J46"/>
  <c r="J61" s="1"/>
  <c r="P8" i="48"/>
  <c r="P26" s="1"/>
  <c r="Q13" i="14"/>
  <c r="Q16" s="1"/>
  <c r="Q27" s="1"/>
  <c r="Q63" s="1"/>
  <c r="F20"/>
  <c r="F22" s="1"/>
  <c r="E9" i="48"/>
  <c r="E27" s="1"/>
  <c r="O22"/>
  <c r="E20" i="14"/>
  <c r="E22" s="1"/>
  <c r="D9" i="48"/>
  <c r="D27" s="1"/>
  <c r="O5"/>
  <c r="O23" s="1"/>
  <c r="P10" i="14"/>
  <c r="H18"/>
  <c r="G13" i="48"/>
  <c r="H13"/>
  <c r="H31" s="1"/>
  <c r="I18" i="14"/>
  <c r="K23" i="48"/>
  <c r="K15"/>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G10" i="48"/>
  <c r="H19" i="14"/>
  <c r="R19" s="1"/>
  <c r="I23" i="48"/>
  <c r="I33" s="1"/>
  <c r="I15"/>
  <c r="K11" i="14"/>
  <c r="J4" i="48"/>
  <c r="E7"/>
  <c r="E25" s="1"/>
  <c r="F24" i="14"/>
  <c r="F26" s="1"/>
  <c r="M9" i="48"/>
  <c r="N20" i="14"/>
  <c r="N22" s="1"/>
  <c r="N27" s="1"/>
  <c r="O22" i="16"/>
  <c r="P43" i="14" s="1"/>
  <c r="O8" i="48"/>
  <c r="P13" i="14"/>
  <c r="R18"/>
  <c r="G31" i="48"/>
  <c r="Q13"/>
  <c r="I20" i="14"/>
  <c r="I22" s="1"/>
  <c r="I27" s="1"/>
  <c r="H9" i="48"/>
  <c r="M10"/>
  <c r="M28" s="1"/>
  <c r="N19" i="14"/>
  <c r="O11"/>
  <c r="N4" i="48"/>
  <c r="N22" s="1"/>
  <c r="P16" i="14"/>
  <c r="P27" s="1"/>
  <c r="G14" i="22"/>
  <c r="P46" i="14"/>
  <c r="P61" s="1"/>
  <c r="C22"/>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H52" l="1"/>
  <c r="H61" s="1"/>
  <c r="H27" i="48"/>
  <c r="H33" s="1"/>
  <c r="H15"/>
  <c r="O26"/>
  <c r="O33" s="1"/>
  <c r="O15"/>
  <c r="E5"/>
  <c r="E23" s="1"/>
  <c r="F10" i="14"/>
  <c r="H20"/>
  <c r="R20" s="1"/>
  <c r="G9" i="48"/>
  <c r="J5"/>
  <c r="J23" s="1"/>
  <c r="K10" i="14"/>
  <c r="J22" i="48"/>
  <c r="H22" i="14"/>
  <c r="H27" s="1"/>
  <c r="M27" i="48"/>
  <c r="M33" s="1"/>
  <c r="M15"/>
  <c r="G28"/>
  <c r="Q10"/>
  <c r="E22"/>
  <c r="Q4"/>
  <c r="P63" i="14"/>
  <c r="R22"/>
  <c r="R11"/>
  <c r="Q7" i="48"/>
  <c r="E20" i="15"/>
  <c r="F40" i="14" s="1"/>
  <c r="J18" i="16"/>
  <c r="E18"/>
  <c r="F18"/>
  <c r="F22" s="1"/>
  <c r="G43" i="14" s="1"/>
  <c r="N18" i="16"/>
  <c r="G18" i="22"/>
  <c r="H50" i="14" s="1"/>
  <c r="H18" i="22"/>
  <c r="I50" i="14" s="1"/>
  <c r="I52" s="1"/>
  <c r="I61" s="1"/>
  <c r="I63" s="1"/>
  <c r="J22" i="16" l="1"/>
  <c r="K43" i="14" s="1"/>
  <c r="K46" s="1"/>
  <c r="K61" s="1"/>
  <c r="K63" s="1"/>
  <c r="J8" i="48"/>
  <c r="K13" i="14"/>
  <c r="F13"/>
  <c r="F16" s="1"/>
  <c r="F27" s="1"/>
  <c r="E8" i="48"/>
  <c r="G27"/>
  <c r="G33" s="1"/>
  <c r="G15"/>
  <c r="Q9"/>
  <c r="F46" i="14"/>
  <c r="F61" s="1"/>
  <c r="K16"/>
  <c r="K27" s="1"/>
  <c r="E22" i="16"/>
  <c r="F43" i="14" s="1"/>
  <c r="H63"/>
  <c r="N8" i="48"/>
  <c r="N26" s="1"/>
  <c r="O13" i="14"/>
  <c r="N22" i="16"/>
  <c r="O43" i="14" s="1"/>
  <c r="G13"/>
  <c r="F8" i="48"/>
  <c r="J26" l="1"/>
  <c r="J33" s="1"/>
  <c r="J15"/>
  <c r="E26"/>
  <c r="E33" s="1"/>
  <c r="E15"/>
  <c r="F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<sst xmlns="http://schemas.openxmlformats.org/spreadsheetml/2006/main" count="2392" uniqueCount="890">
  <si>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</si>
  <si>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</si>
  <si>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</si>
  <si>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</si>
  <si>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</si>
  <si>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</si>
  <si>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</si>
  <si>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</si>
  <si>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</si>
  <si>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</si>
  <si>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</si>
  <si>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</si>
  <si>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</si>
  <si>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</si>
  <si>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</si>
  <si>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</si>
  <si>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</si>
  <si>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</si>
  <si>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</si>
  <si>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</si>
  <si>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</si>
  <si>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</si>
  <si>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</si>
  <si>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</si>
  <si>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</si>
  <si>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</si>
  <si>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</si>
  <si>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</si>
  <si>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</si>
  <si>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</si>
  <si>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</si>
  <si>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</si>
  <si>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</si>
  <si>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</si>
  <si>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</si>
  <si>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</si>
  <si>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</si>
  <si>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</si>
  <si>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</si>
  <si>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</si>
  <si>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</si>
  <si>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</si>
  <si>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</si>
  <si>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</si>
  <si>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</si>
  <si>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</si>
  <si>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</si>
  <si>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</si>
  <si>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</si>
  <si>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</si>
  <si>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</si>
  <si>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</si>
  <si>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</si>
  <si>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</si>
  <si>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</si>
  <si>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</si>
  <si>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</si>
  <si>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</si>
  <si>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</si>
  <si>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</si>
  <si>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</si>
  <si>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</si>
  <si>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</si>
  <si>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</si>
  <si>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</si>
  <si>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</si>
  <si>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</si>
  <si>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</si>
  <si>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</si>
  <si>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</si>
  <si>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</si>
  <si>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</si>
  <si>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</si>
  <si>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</si>
  <si>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</si>
  <si>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</si>
  <si>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</si>
  <si>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</si>
  <si>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</si>
  <si>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</si>
  <si>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</si>
  <si>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</si>
  <si>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</si>
  <si>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</si>
  <si>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</si>
  <si>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</si>
  <si>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</si>
  <si>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</si>
  <si>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</si>
  <si>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</si>
  <si>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</si>
  <si>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</si>
  <si>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</si>
  <si>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</si>
  <si>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</si>
  <si>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</si>
  <si>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</si>
  <si>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</si>
  <si>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</si>
  <si>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</si>
  <si>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</si>
  <si>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</si>
  <si>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</si>
  <si>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</si>
  <si>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</si>
  <si>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</si>
  <si>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</si>
  <si>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</si>
  <si>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</si>
  <si>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</si>
  <si>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</si>
  <si>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</si>
  <si>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</si>
  <si>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</si>
  <si>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</si>
  <si>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</si>
  <si>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</si>
  <si>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</si>
  <si>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</si>
  <si>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</si>
  <si>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</si>
  <si>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</si>
  <si>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</si>
  <si>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</si>
  <si>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</si>
  <si>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</si>
  <si>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</si>
  <si>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</si>
  <si>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</si>
  <si>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</si>
  <si>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</si>
  <si>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</si>
  <si>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</si>
  <si>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</si>
  <si>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</si>
  <si>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</si>
  <si>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</si>
  <si>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</si>
  <si>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</si>
  <si>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</si>
  <si>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</si>
  <si>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</si>
  <si>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</si>
  <si>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</si>
  <si>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</si>
  <si>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</si>
  <si>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</si>
  <si>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</si>
  <si>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</si>
  <si>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</si>
  <si>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</si>
  <si>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</si>
  <si>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</si>
  <si>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</si>
  <si>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</si>
  <si>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</si>
  <si>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</si>
  <si>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</si>
  <si>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</si>
  <si>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</si>
  <si>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</si>
  <si>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</si>
  <si>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</si>
  <si>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</si>
  <si>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</si>
  <si>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</si>
  <si>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</si>
  <si>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</si>
  <si>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</si>
  <si>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</si>
  <si>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</si>
  <si>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</si>
  <si>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</si>
  <si>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</si>
  <si>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</si>
  <si>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</si>
  <si>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</si>
  <si>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</si>
  <si>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</si>
  <si>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</si>
  <si>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</si>
  <si>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</si>
  <si>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</si>
  <si>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</si>
  <si>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</si>
  <si>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</si>
  <si>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</si>
  <si>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</si>
  <si>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</si>
  <si>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</si>
  <si>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</si>
  <si>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</si>
  <si>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</si>
  <si>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</si>
  <si>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</si>
  <si>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</si>
  <si>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</si>
  <si>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</si>
  <si>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</si>
  <si>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</si>
  <si>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</si>
  <si>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</si>
  <si>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</si>
  <si>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</si>
  <si>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</si>
  <si>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</si>
  <si>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</si>
  <si>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</si>
  <si>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</si>
  <si>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</si>
  <si>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</si>
  <si>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</si>
  <si>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</si>
  <si>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</si>
  <si>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</si>
  <si>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</si>
  <si>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</si>
  <si>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</si>
  <si>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</si>
  <si>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</si>
  <si>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</si>
  <si>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</si>
  <si>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</si>
  <si>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</si>
  <si>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</si>
  <si>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</si>
  <si>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</si>
  <si>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</si>
  <si>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</si>
  <si>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</si>
  <si>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</si>
  <si>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</si>
  <si>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</si>
  <si>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</si>
  <si>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</si>
  <si>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</si>
  <si>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</si>
  <si>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</si>
  <si>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</si>
  <si>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</si>
  <si>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</si>
  <si>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</si>
  <si>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</si>
  <si>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</si>
  <si>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</si>
  <si>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</si>
  <si>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</si>
  <si>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</si>
  <si>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</si>
  <si>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</si>
  <si>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</si>
  <si>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</si>
  <si>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</si>
  <si>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</si>
  <si>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</si>
  <si>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</si>
  <si>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</si>
  <si>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</si>
  <si>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</si>
  <si>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</si>
  <si>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</si>
  <si>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</si>
  <si>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</si>
  <si>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</si>
  <si>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</si>
  <si>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</si>
  <si>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</si>
  <si>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</si>
  <si>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</si>
  <si>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</si>
  <si>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</si>
  <si>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</si>
  <si>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</si>
  <si>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</si>
  <si>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</si>
  <si>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</si>
  <si>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</si>
  <si>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</si>
  <si>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</si>
  <si>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</si>
  <si>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</si>
  <si>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</si>
  <si>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</si>
  <si>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</si>
  <si>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</si>
  <si>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</si>
  <si>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</si>
  <si>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</si>
  <si>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</si>
  <si>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</si>
  <si>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</si>
  <si>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</si>
  <si>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</si>
  <si>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</si>
  <si>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</si>
  <si>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</si>
  <si>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</si>
  <si>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</si>
  <si>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</si>
  <si>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</si>
  <si>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</si>
  <si>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</si>
  <si>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</si>
  <si>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</si>
  <si>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</si>
  <si>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</si>
  <si>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</si>
  <si>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</si>
  <si>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</si>
  <si>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</si>
  <si>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</si>
  <si>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</si>
  <si>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</si>
  <si>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</si>
  <si>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</si>
  <si>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</si>
  <si>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</si>
  <si>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</si>
  <si>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</si>
  <si>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</si>
  <si>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</si>
  <si>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</si>
  <si>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</si>
  <si>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</si>
  <si>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</si>
  <si>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</si>
  <si>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</si>
  <si>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</si>
  <si>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</si>
  <si>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</si>
  <si>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</si>
  <si>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</si>
  <si>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</si>
  <si>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</si>
  <si>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</si>
  <si>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</si>
  <si>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</si>
  <si>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</si>
  <si>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</si>
  <si>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</si>
  <si>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</si>
  <si>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</si>
  <si>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</si>
  <si>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</si>
  <si>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</si>
  <si>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</si>
  <si>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</si>
  <si>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</si>
  <si>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</si>
  <si>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</si>
  <si>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</si>
  <si>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</si>
  <si>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</si>
  <si>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</si>
  <si>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</si>
  <si>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</si>
  <si>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</si>
  <si>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</si>
  <si>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</si>
  <si>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</si>
  <si>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</si>
  <si>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</si>
  <si>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</si>
  <si>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</si>
  <si>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</si>
  <si>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</si>
  <si>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</si>
  <si>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</si>
  <si>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</si>
  <si>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</si>
  <si>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</si>
  <si>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</si>
  <si>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</si>
  <si>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</si>
  <si>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</si>
  <si>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</si>
  <si>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</si>
  <si>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</si>
  <si>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</si>
  <si>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</si>
  <si>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</si>
  <si>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</si>
  <si>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</si>
  <si>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</si>
  <si>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</si>
  <si>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</si>
  <si>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</si>
  <si>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</si>
  <si>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</si>
  <si>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</si>
  <si>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</si>
  <si>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</si>
  <si>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</si>
  <si>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</si>
  <si>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</si>
  <si>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</si>
  <si>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</si>
  <si>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</si>
  <si>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</si>
  <si>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</si>
  <si>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</si>
  <si>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</si>
  <si>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</si>
  <si>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</si>
  <si>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</si>
  <si>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</si>
  <si>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</si>
  <si>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</si>
  <si>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</si>
  <si>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</si>
  <si>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</si>
  <si>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</si>
  <si>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</si>
  <si>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</si>
  <si>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</si>
  <si>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</si>
  <si>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</si>
  <si>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</si>
  <si>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</si>
  <si>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</si>
  <si>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</si>
  <si>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</si>
  <si>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</si>
  <si>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</si>
  <si>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</si>
  <si>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</si>
  <si>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</si>
  <si>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</si>
  <si>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</si>
  <si>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</si>
  <si>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</si>
  <si>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</si>
  <si>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</si>
  <si>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</si>
  <si>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</si>
  <si>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</si>
  <si>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</si>
  <si>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</si>
  <si>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</si>
  <si>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</si>
  <si>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</si>
  <si>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</si>
  <si>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</si>
  <si>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</si>
  <si>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</si>
  <si>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</si>
  <si>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</si>
  <si>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</si>
  <si>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</si>
  <si>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</si>
  <si>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</si>
  <si>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</si>
  <si>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</si>
  <si>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</si>
  <si>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</si>
  <si>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</si>
  <si>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</si>
  <si>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</si>
  <si>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</si>
  <si>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</si>
  <si>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</si>
  <si>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</si>
  <si>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</si>
  <si>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</si>
  <si>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</si>
  <si>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</si>
  <si>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</si>
  <si>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</si>
  <si>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</si>
  <si>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</si>
  <si>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</si>
  <si>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</si>
  <si>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</si>
  <si>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</si>
  <si>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</si>
  <si>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</si>
  <si>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</si>
  <si>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</si>
  <si>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</si>
  <si>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</si>
  <si>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</si>
  <si>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</si>
  <si>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</si>
  <si>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</si>
  <si>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</si>
  <si>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</si>
  <si>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</si>
  <si>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</si>
  <si>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</si>
  <si>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</si>
  <si>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</si>
  <si>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</si>
  <si>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</si>
  <si>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</si>
  <si>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</si>
  <si>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</si>
  <si>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</si>
  <si>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</si>
  <si>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</si>
  <si>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</si>
  <si>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</si>
  <si>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</si>
  <si>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</si>
  <si>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</si>
  <si>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</si>
  <si>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</si>
  <si>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</si>
  <si>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</si>
  <si>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</si>
  <si>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</si>
  <si>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</si>
  <si>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</si>
  <si>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</si>
  <si>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</si>
  <si>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</si>
  <si>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</si>
  <si>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</si>
  <si>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</si>
  <si>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</si>
  <si>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</si>
  <si>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</si>
  <si>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</si>
  <si>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</si>
  <si>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</si>
  <si>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</si>
  <si>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</si>
  <si>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</si>
  <si>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</si>
  <si>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</si>
  <si>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</si>
  <si>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</si>
  <si>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</si>
  <si>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</si>
  <si>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</si>
  <si>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</si>
  <si>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</si>
  <si>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</si>
  <si>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</si>
  <si>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</si>
  <si>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</si>
  <si>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</si>
  <si>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</si>
  <si>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</si>
  <si>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</si>
  <si>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</si>
  <si>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</si>
  <si>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</si>
  <si>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</si>
  <si>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</si>
  <si>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</si>
  <si>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</si>
  <si>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</si>
  <si>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</si>
  <si>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</si>
  <si>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</si>
  <si>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</si>
  <si>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</si>
  <si>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</si>
  <si>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</si>
  <si>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</si>
  <si>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</si>
  <si>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</si>
  <si>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</si>
  <si>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</si>
  <si>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</si>
  <si>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</si>
  <si>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</si>
  <si>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</si>
  <si>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</si>
  <si>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</si>
  <si>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</si>
  <si>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</si>
  <si>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</si>
  <si>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</si>
  <si>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</si>
  <si>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</si>
  <si>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</si>
  <si>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</si>
  <si>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</si>
  <si>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</si>
  <si>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</si>
  <si>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</si>
  <si>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</si>
  <si>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</si>
  <si>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</si>
  <si>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</si>
  <si>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</si>
  <si>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</si>
  <si>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</si>
  <si>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</si>
  <si>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</si>
  <si>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</si>
  <si>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</si>
  <si>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</si>
  <si>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</si>
  <si>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</si>
  <si>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</si>
  <si>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</si>
  <si>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</si>
  <si>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</si>
  <si>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</si>
  <si>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</si>
  <si>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</si>
  <si>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</si>
  <si>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</si>
  <si>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</si>
  <si>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</si>
  <si>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</si>
  <si>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</si>
  <si>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</si>
  <si>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</si>
  <si>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</si>
  <si>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</si>
  <si>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</si>
  <si>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</si>
  <si>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</si>
  <si>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</si>
  <si>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</si>
  <si>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</si>
  <si>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</si>
  <si>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</si>
  <si>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</si>
  <si>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</si>
  <si>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</si>
  <si>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</si>
  <si>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</si>
  <si>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</si>
  <si>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</si>
  <si>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</si>
  <si>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</si>
  <si>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</si>
  <si>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</si>
  <si>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</si>
  <si>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</si>
  <si>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</si>
  <si>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</si>
  <si>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</si>
  <si>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</si>
  <si>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</si>
  <si>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</si>
  <si>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</si>
  <si>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</si>
  <si>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</si>
  <si>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</si>
  <si>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</si>
  <si>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</si>
  <si>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</si>
  <si>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</si>
  <si>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</si>
  <si>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</si>
  <si>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</si>
  <si>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</si>
  <si>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</si>
  <si>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</si>
  <si>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</si>
  <si>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</si>
  <si>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</si>
  <si>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</si>
  <si>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</si>
  <si>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</si>
  <si>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</si>
  <si>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</si>
  <si>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</si>
  <si>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</si>
  <si>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</si>
  <si>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</si>
  <si>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</si>
  <si>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</si>
  <si>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</si>
  <si>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</si>
  <si>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</si>
  <si>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</si>
  <si>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</si>
  <si>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</si>
  <si>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</si>
  <si>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</si>
  <si>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</si>
  <si>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</si>
  <si>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</si>
  <si>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</si>
  <si>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</si>
  <si>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</si>
  <si>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</si>
  <si>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</si>
  <si>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</si>
  <si>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</si>
  <si>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</si>
  <si>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</si>
  <si>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</si>
  <si>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</si>
  <si>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</si>
  <si>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</si>
  <si>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</si>
  <si>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</si>
  <si>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</si>
  <si>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</si>
  <si>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</si>
  <si>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</si>
  <si>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</si>
  <si>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</si>
  <si>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</si>
  <si>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</si>
  <si>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</si>
  <si>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</si>
  <si>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</si>
  <si>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</si>
  <si>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</si>
  <si>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</si>
  <si>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</si>
  <si>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</si>
  <si>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</si>
  <si>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</si>
  <si>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</si>
  <si>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</si>
  <si>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</si>
  <si>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</si>
  <si>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</si>
  <si>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</si>
  <si>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</si>
  <si>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</si>
  <si>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</si>
  <si>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</si>
  <si>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</si>
  <si>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</si>
  <si>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</si>
  <si>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</si>
  <si>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</si>
  <si>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</si>
  <si>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</si>
  <si>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</si>
  <si>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</si>
  <si>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</si>
  <si>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</si>
  <si>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</si>
  <si>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</si>
  <si>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</si>
  <si>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</si>
  <si>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</si>
  <si>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</si>
  <si>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</si>
  <si>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</si>
  <si>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</si>
  <si>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</si>
  <si>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</si>
  <si>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</si>
  <si>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</si>
  <si>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</si>
  <si>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</si>
  <si>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</si>
  <si>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</si>
  <si>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</si>
  <si>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</si>
  <si>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</si>
  <si>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</si>
  <si>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</si>
  <si>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</si>
  <si>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</si>
  <si>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</si>
  <si>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</si>
  <si>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</si>
  <si>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</si>
  <si>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</si>
  <si>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</si>
  <si>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</si>
  <si>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</si>
  <si>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</si>
  <si>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</si>
  <si>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</si>
  <si>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</si>
  <si>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</si>
  <si>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</si>
  <si>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</si>
  <si>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</si>
  <si>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</si>
  <si>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</si>
  <si>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</si>
  <si>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</si>
  <si>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</si>
  <si>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</si>
  <si>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</si>
  <si>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</si>
  <si>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</si>
  <si>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</si>
  <si>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</si>
  <si>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</si>
  <si>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</si>
  <si>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</si>
  <si>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</si>
  <si>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</si>
  <si>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</si>
  <si>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</si>
  <si>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</si>
  <si>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</si>
  <si>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</si>
  <si>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</si>
  <si>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</si>
  <si>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</si>
  <si>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</si>
  <si>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</si>
  <si>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</si>
  <si>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</si>
  <si>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</si>
  <si>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</si>
  <si>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</si>
  <si>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</si>
  <si>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</si>
  <si>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</si>
  <si>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</si>
  <si>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</si>
  <si>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</si>
  <si>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</si>
  <si>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</si>
  <si>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</si>
  <si>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</si>
  <si>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</si>
  <si>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</si>
  <si>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</si>
  <si>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</si>
  <si>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</si>
  <si>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</si>
  <si>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</si>
  <si>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</si>
  <si>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</si>
  <si>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</si>
  <si>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</si>
  <si>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</si>
  <si>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</si>
  <si>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</si>
  <si>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</si>
  <si>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</si>
  <si>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</si>
  <si>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</si>
  <si>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</si>
  <si>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</si>
  <si>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</si>
  <si>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</si>
  <si>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</si>
  <si>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</si>
  <si>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</si>
  <si>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</si>
  <si>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</si>
  <si>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</si>
  <si>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</si>
  <si>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</si>
  <si>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</si>
  <si>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</si>
  <si>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</si>
  <si>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</si>
  <si>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</si>
  <si>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</si>
  <si>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</si>
  <si>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</si>
  <si>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</si>
  <si>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</si>
  <si>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</si>
  <si>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</si>
  <si>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</si>
  <si>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</si>
  <si>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</si>
  <si>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</si>
  <si>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</si>
  <si>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</si>
  <si>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</si>
  <si>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</si>
  <si>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</si>
  <si>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</si>
  <si>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</si>
  <si>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</si>
  <si>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</si>
  <si>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</si>
  <si>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</si>
  <si>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</si>
  <si>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</si>
  <si>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</si>
  <si>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</si>
  <si>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</si>
  <si>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</si>
  <si>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</si>
  <si>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</si>
  <si>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</si>
  <si>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</si>
  <si>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</si>
  <si>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31004</t>
  </si>
  <si>
    <t>BLANKENBERGE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</si>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</sst>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130775.06507138802</c:v>
                </c:pt>
                <c:pt idx="1">
                  <c:v>118325.37617436315</c:v>
                </c:pt>
                <c:pt idx="2">
                  <c:v>1760.1775046999999</c:v>
                </c:pt>
                <c:pt idx="3">
                  <c:v>2154.4394643325081</c:v>
                </c:pt>
                <c:pt idx="4">
                  <c:v>5814.2810898112766</c:v>
                </c:pt>
                <c:pt idx="5">
                  <c:v>30290.401905726652</c:v>
                </c:pt>
                <c:pt idx="6">
                  <c:v>1166.2746291821127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130775.06507138802</c:v>
                </c:pt>
                <c:pt idx="1">
                  <c:v>118325.37617436315</c:v>
                </c:pt>
                <c:pt idx="2">
                  <c:v>1760.1775046999999</c:v>
                </c:pt>
                <c:pt idx="3">
                  <c:v>2154.4394643325081</c:v>
                </c:pt>
                <c:pt idx="4">
                  <c:v>5814.2810898112766</c:v>
                </c:pt>
                <c:pt idx="5">
                  <c:v>30290.401905726652</c:v>
                </c:pt>
                <c:pt idx="6">
                  <c:v>1166.2746291821127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26710.546953529716</c:v>
                </c:pt>
                <c:pt idx="2">
                  <c:v>24234.29296823177</c:v>
                </c:pt>
                <c:pt idx="3">
                  <c:v>376.9075589592648</c:v>
                </c:pt>
                <c:pt idx="4">
                  <c:v>543.73088025339621</c:v>
                </c:pt>
                <c:pt idx="5">
                  <c:v>1145.4546294660204</c:v>
                </c:pt>
                <c:pt idx="6">
                  <c:v>7755.1143862837598</c:v>
                </c:pt>
                <c:pt idx="7">
                  <c:v>265.3918649597029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26710.546953529716</c:v>
                </c:pt>
                <c:pt idx="2">
                  <c:v>24234.29296823177</c:v>
                </c:pt>
                <c:pt idx="3">
                  <c:v>376.9075589592648</c:v>
                </c:pt>
                <c:pt idx="4">
                  <c:v>543.73088025339621</c:v>
                </c:pt>
                <c:pt idx="5">
                  <c:v>1145.4546294660204</c:v>
                </c:pt>
                <c:pt idx="6">
                  <c:v>7755.1143862837598</c:v>
                </c:pt>
                <c:pt idx="7">
                  <c:v>265.3918649597029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31004</v>
      </c>
      <c r="B6" s="415"/>
      <c r="C6" s="416"/>
    </row>
    <row r="7" spans="1:7" s="413" customFormat="1" ht="15.75" customHeight="1">
      <c r="A7" s="417" t="str">
        <f>txtMunicipality</f>
        <v>BLANKENBERGE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0.21413042602399576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0.21413042602399576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10248</v>
      </c>
      <c r="C9" s="342">
        <v>10266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1034.51</v>
      </c>
    </row>
    <row r="15" spans="1:6">
      <c r="A15" s="348" t="s">
        <v>184</v>
      </c>
      <c r="B15" s="334">
        <v>4</v>
      </c>
    </row>
    <row r="16" spans="1:6">
      <c r="A16" s="348" t="s">
        <v>6</v>
      </c>
      <c r="B16" s="334">
        <v>141</v>
      </c>
    </row>
    <row r="17" spans="1:6">
      <c r="A17" s="348" t="s">
        <v>7</v>
      </c>
      <c r="B17" s="334">
        <v>126</v>
      </c>
    </row>
    <row r="18" spans="1:6">
      <c r="A18" s="348" t="s">
        <v>8</v>
      </c>
      <c r="B18" s="334">
        <v>169</v>
      </c>
    </row>
    <row r="19" spans="1:6">
      <c r="A19" s="348" t="s">
        <v>9</v>
      </c>
      <c r="B19" s="334">
        <v>186</v>
      </c>
    </row>
    <row r="20" spans="1:6">
      <c r="A20" s="348" t="s">
        <v>10</v>
      </c>
      <c r="B20" s="334">
        <v>234</v>
      </c>
    </row>
    <row r="21" spans="1:6">
      <c r="A21" s="348" t="s">
        <v>11</v>
      </c>
      <c r="B21" s="334">
        <v>1181</v>
      </c>
    </row>
    <row r="22" spans="1:6">
      <c r="A22" s="348" t="s">
        <v>12</v>
      </c>
      <c r="B22" s="334">
        <v>4516</v>
      </c>
    </row>
    <row r="23" spans="1:6">
      <c r="A23" s="348" t="s">
        <v>13</v>
      </c>
      <c r="B23" s="334">
        <v>42</v>
      </c>
    </row>
    <row r="24" spans="1:6">
      <c r="A24" s="348" t="s">
        <v>14</v>
      </c>
      <c r="B24" s="334">
        <v>5</v>
      </c>
    </row>
    <row r="25" spans="1:6">
      <c r="A25" s="348" t="s">
        <v>15</v>
      </c>
      <c r="B25" s="334">
        <v>487</v>
      </c>
    </row>
    <row r="26" spans="1:6">
      <c r="A26" s="348" t="s">
        <v>16</v>
      </c>
      <c r="B26" s="334">
        <v>9</v>
      </c>
    </row>
    <row r="27" spans="1:6">
      <c r="A27" s="348" t="s">
        <v>17</v>
      </c>
      <c r="B27" s="334">
        <v>1</v>
      </c>
    </row>
    <row r="28" spans="1:6" s="356" customFormat="1">
      <c r="A28" s="355" t="s">
        <v>18</v>
      </c>
      <c r="B28" s="355">
        <v>1</v>
      </c>
    </row>
    <row r="29" spans="1:6">
      <c r="A29" s="355" t="s">
        <v>884</v>
      </c>
      <c r="B29" s="355">
        <v>63</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15517</v>
      </c>
    </row>
    <row r="37" spans="1:6">
      <c r="A37" s="348" t="s">
        <v>25</v>
      </c>
      <c r="B37" s="348" t="s">
        <v>28</v>
      </c>
      <c r="C37" s="334">
        <v>0</v>
      </c>
      <c r="D37" s="334">
        <v>0</v>
      </c>
      <c r="E37" s="334">
        <v>0</v>
      </c>
      <c r="F37" s="334">
        <v>0</v>
      </c>
    </row>
    <row r="38" spans="1:6">
      <c r="A38" s="348" t="s">
        <v>25</v>
      </c>
      <c r="B38" s="348" t="s">
        <v>29</v>
      </c>
      <c r="C38" s="334">
        <v>1</v>
      </c>
      <c r="D38" s="334">
        <v>104795.36683</v>
      </c>
      <c r="E38" s="334">
        <v>1</v>
      </c>
      <c r="F38" s="334">
        <v>34305</v>
      </c>
    </row>
    <row r="39" spans="1:6">
      <c r="A39" s="348" t="s">
        <v>30</v>
      </c>
      <c r="B39" s="348" t="s">
        <v>31</v>
      </c>
      <c r="C39" s="334">
        <v>9933</v>
      </c>
      <c r="D39" s="334">
        <v>103202522.04000001</v>
      </c>
      <c r="E39" s="334">
        <v>14402</v>
      </c>
      <c r="F39" s="334">
        <v>34891780.881999999</v>
      </c>
    </row>
    <row r="40" spans="1:6">
      <c r="A40" s="348" t="s">
        <v>30</v>
      </c>
      <c r="B40" s="348" t="s">
        <v>29</v>
      </c>
      <c r="C40" s="334">
        <v>0</v>
      </c>
      <c r="D40" s="334">
        <v>0</v>
      </c>
      <c r="E40" s="334">
        <v>1</v>
      </c>
      <c r="F40" s="334">
        <v>2700.2148837</v>
      </c>
    </row>
    <row r="41" spans="1:6">
      <c r="A41" s="348" t="s">
        <v>32</v>
      </c>
      <c r="B41" s="348" t="s">
        <v>33</v>
      </c>
      <c r="C41" s="334">
        <v>130</v>
      </c>
      <c r="D41" s="334">
        <v>1185523.7372000001</v>
      </c>
      <c r="E41" s="334">
        <v>252</v>
      </c>
      <c r="F41" s="334">
        <v>908231.05562999996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171905.95194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47537.642054999997</v>
      </c>
    </row>
    <row r="48" spans="1:6">
      <c r="A48" s="348" t="s">
        <v>32</v>
      </c>
      <c r="B48" s="348" t="s">
        <v>29</v>
      </c>
      <c r="C48" s="334">
        <v>30</v>
      </c>
      <c r="D48" s="334">
        <v>638720.20623000001</v>
      </c>
      <c r="E48" s="334">
        <v>36</v>
      </c>
      <c r="F48" s="334">
        <v>198358.88258999999</v>
      </c>
    </row>
    <row r="49" spans="1:6">
      <c r="A49" s="348" t="s">
        <v>32</v>
      </c>
      <c r="B49" s="348" t="s">
        <v>40</v>
      </c>
      <c r="C49" s="334">
        <v>0</v>
      </c>
      <c r="D49" s="334">
        <v>0</v>
      </c>
      <c r="E49" s="334">
        <v>0</v>
      </c>
      <c r="F49" s="334">
        <v>0</v>
      </c>
    </row>
    <row r="50" spans="1:6">
      <c r="A50" s="348" t="s">
        <v>32</v>
      </c>
      <c r="B50" s="348" t="s">
        <v>41</v>
      </c>
      <c r="C50" s="334">
        <v>12</v>
      </c>
      <c r="D50" s="334">
        <v>435338.54265999998</v>
      </c>
      <c r="E50" s="334">
        <v>24</v>
      </c>
      <c r="F50" s="334">
        <v>538418.03891999996</v>
      </c>
    </row>
    <row r="51" spans="1:6">
      <c r="A51" s="348" t="s">
        <v>42</v>
      </c>
      <c r="B51" s="348" t="s">
        <v>43</v>
      </c>
      <c r="C51" s="334">
        <v>14</v>
      </c>
      <c r="D51" s="334">
        <v>192793.73624</v>
      </c>
      <c r="E51" s="334">
        <v>32</v>
      </c>
      <c r="F51" s="334">
        <v>378918.26056999998</v>
      </c>
    </row>
    <row r="52" spans="1:6">
      <c r="A52" s="348" t="s">
        <v>42</v>
      </c>
      <c r="B52" s="348" t="s">
        <v>29</v>
      </c>
      <c r="C52" s="334">
        <v>4</v>
      </c>
      <c r="D52" s="334">
        <v>63206.010376999999</v>
      </c>
      <c r="E52" s="334">
        <v>7</v>
      </c>
      <c r="F52" s="334">
        <v>19745.301426999999</v>
      </c>
    </row>
    <row r="53" spans="1:6">
      <c r="A53" s="348" t="s">
        <v>44</v>
      </c>
      <c r="B53" s="348" t="s">
        <v>45</v>
      </c>
      <c r="C53" s="334">
        <v>1243</v>
      </c>
      <c r="D53" s="334">
        <v>9818429.0189999994</v>
      </c>
      <c r="E53" s="334">
        <v>2587</v>
      </c>
      <c r="F53" s="334">
        <v>5475791.8726000004</v>
      </c>
    </row>
    <row r="54" spans="1:6">
      <c r="A54" s="348" t="s">
        <v>46</v>
      </c>
      <c r="B54" s="348" t="s">
        <v>47</v>
      </c>
      <c r="C54" s="334">
        <v>0</v>
      </c>
      <c r="D54" s="334">
        <v>0</v>
      </c>
      <c r="E54" s="334">
        <v>4</v>
      </c>
      <c r="F54" s="334">
        <v>1760177.5046999999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137</v>
      </c>
      <c r="D57" s="334">
        <v>8430543.2382999994</v>
      </c>
      <c r="E57" s="334">
        <v>240</v>
      </c>
      <c r="F57" s="334">
        <v>5844767.8277000003</v>
      </c>
    </row>
    <row r="58" spans="1:6">
      <c r="A58" s="348" t="s">
        <v>49</v>
      </c>
      <c r="B58" s="348" t="s">
        <v>51</v>
      </c>
      <c r="C58" s="334">
        <v>43</v>
      </c>
      <c r="D58" s="334">
        <v>1874460.1529999999</v>
      </c>
      <c r="E58" s="334">
        <v>54</v>
      </c>
      <c r="F58" s="334">
        <v>1026385.2521</v>
      </c>
    </row>
    <row r="59" spans="1:6">
      <c r="A59" s="348" t="s">
        <v>49</v>
      </c>
      <c r="B59" s="348" t="s">
        <v>52</v>
      </c>
      <c r="C59" s="334">
        <v>231</v>
      </c>
      <c r="D59" s="334">
        <v>9143128.8120000008</v>
      </c>
      <c r="E59" s="334">
        <v>431</v>
      </c>
      <c r="F59" s="334">
        <v>9696858.3049999997</v>
      </c>
    </row>
    <row r="60" spans="1:6">
      <c r="A60" s="348" t="s">
        <v>49</v>
      </c>
      <c r="B60" s="348" t="s">
        <v>53</v>
      </c>
      <c r="C60" s="334">
        <v>278</v>
      </c>
      <c r="D60" s="334">
        <v>18522154.173</v>
      </c>
      <c r="E60" s="334">
        <v>419</v>
      </c>
      <c r="F60" s="334">
        <v>13745233.913000001</v>
      </c>
    </row>
    <row r="61" spans="1:6">
      <c r="A61" s="348" t="s">
        <v>49</v>
      </c>
      <c r="B61" s="348" t="s">
        <v>54</v>
      </c>
      <c r="C61" s="334">
        <v>334</v>
      </c>
      <c r="D61" s="334">
        <v>18004094.232999999</v>
      </c>
      <c r="E61" s="334">
        <v>1209</v>
      </c>
      <c r="F61" s="334">
        <v>8356865.273</v>
      </c>
    </row>
    <row r="62" spans="1:6">
      <c r="A62" s="348" t="s">
        <v>49</v>
      </c>
      <c r="B62" s="348" t="s">
        <v>55</v>
      </c>
      <c r="C62" s="334">
        <v>11</v>
      </c>
      <c r="D62" s="334">
        <v>1497559.3193999999</v>
      </c>
      <c r="E62" s="334">
        <v>10</v>
      </c>
      <c r="F62" s="334">
        <v>380347.92728</v>
      </c>
    </row>
    <row r="63" spans="1:6">
      <c r="A63" s="348" t="s">
        <v>49</v>
      </c>
      <c r="B63" s="348" t="s">
        <v>29</v>
      </c>
      <c r="C63" s="334">
        <v>110</v>
      </c>
      <c r="D63" s="334">
        <v>7756920.2138</v>
      </c>
      <c r="E63" s="334">
        <v>108</v>
      </c>
      <c r="F63" s="334">
        <v>2385396.8262999998</v>
      </c>
    </row>
    <row r="64" spans="1:6">
      <c r="A64" s="348" t="s">
        <v>56</v>
      </c>
      <c r="B64" s="348" t="s">
        <v>57</v>
      </c>
      <c r="C64" s="334">
        <v>0</v>
      </c>
      <c r="D64" s="334">
        <v>0</v>
      </c>
      <c r="E64" s="334">
        <v>0</v>
      </c>
      <c r="F64" s="334">
        <v>0</v>
      </c>
    </row>
    <row r="65" spans="1:6">
      <c r="A65" s="348" t="s">
        <v>56</v>
      </c>
      <c r="B65" s="348" t="s">
        <v>29</v>
      </c>
      <c r="C65" s="334">
        <v>4</v>
      </c>
      <c r="D65" s="334">
        <v>179259.89554</v>
      </c>
      <c r="E65" s="334">
        <v>3</v>
      </c>
      <c r="F65" s="334">
        <v>12286.46487</v>
      </c>
    </row>
    <row r="66" spans="1:6">
      <c r="A66" s="348" t="s">
        <v>56</v>
      </c>
      <c r="B66" s="348" t="s">
        <v>58</v>
      </c>
      <c r="C66" s="334">
        <v>0</v>
      </c>
      <c r="D66" s="334">
        <v>0</v>
      </c>
      <c r="E66" s="334">
        <v>17</v>
      </c>
      <c r="F66" s="334">
        <v>445786.81527999998</v>
      </c>
    </row>
    <row r="67" spans="1:6">
      <c r="A67" s="355" t="s">
        <v>56</v>
      </c>
      <c r="B67" s="355" t="s">
        <v>59</v>
      </c>
      <c r="C67" s="334">
        <v>0</v>
      </c>
      <c r="D67" s="334">
        <v>0</v>
      </c>
      <c r="E67" s="334">
        <v>0</v>
      </c>
      <c r="F67" s="334">
        <v>0</v>
      </c>
    </row>
    <row r="68" spans="1:6">
      <c r="A68" s="341" t="s">
        <v>56</v>
      </c>
      <c r="B68" s="341" t="s">
        <v>60</v>
      </c>
      <c r="C68" s="334">
        <v>7</v>
      </c>
      <c r="D68" s="334">
        <v>146613.82363999999</v>
      </c>
      <c r="E68" s="334">
        <v>19</v>
      </c>
      <c r="F68" s="334">
        <v>1703496.8737000001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29971429</v>
      </c>
      <c r="E73" s="475">
        <v>32682016.793456338</v>
      </c>
    </row>
    <row r="74" spans="1:6">
      <c r="A74" s="348" t="s">
        <v>64</v>
      </c>
      <c r="B74" s="348" t="s">
        <v>667</v>
      </c>
      <c r="C74" s="1294" t="s">
        <v>669</v>
      </c>
      <c r="D74" s="475">
        <v>2641560.0993459565</v>
      </c>
      <c r="E74" s="475">
        <v>2703703.1123822075</v>
      </c>
    </row>
    <row r="75" spans="1:6">
      <c r="A75" s="348" t="s">
        <v>65</v>
      </c>
      <c r="B75" s="348" t="s">
        <v>666</v>
      </c>
      <c r="C75" s="1294" t="s">
        <v>670</v>
      </c>
      <c r="D75" s="475">
        <v>4039327</v>
      </c>
      <c r="E75" s="475">
        <v>4191559.1006153799</v>
      </c>
    </row>
    <row r="76" spans="1:6">
      <c r="A76" s="348" t="s">
        <v>65</v>
      </c>
      <c r="B76" s="348" t="s">
        <v>667</v>
      </c>
      <c r="C76" s="1294" t="s">
        <v>671</v>
      </c>
      <c r="D76" s="475">
        <v>543701.09934595646</v>
      </c>
      <c r="E76" s="475">
        <v>564811.34522573266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93789.801308087044</v>
      </c>
      <c r="C83" s="475">
        <v>93789.801308087044</v>
      </c>
    </row>
    <row r="84" spans="1:6">
      <c r="A84" s="341" t="s">
        <v>337</v>
      </c>
      <c r="B84" s="1295">
        <v>231794.81043736063</v>
      </c>
      <c r="C84" s="1295">
        <v>231794.81043736063</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1875.0523507166126</v>
      </c>
    </row>
    <row r="92" spans="1:6">
      <c r="A92" s="341" t="s">
        <v>69</v>
      </c>
      <c r="B92" s="342">
        <v>876.80324235087016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2</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88529.519907965921</v>
      </c>
      <c r="C3" s="43" t="s">
        <v>170</v>
      </c>
      <c r="D3" s="43"/>
      <c r="E3" s="154"/>
      <c r="F3" s="43"/>
      <c r="G3" s="43"/>
      <c r="H3" s="43"/>
      <c r="I3" s="43"/>
      <c r="J3" s="43"/>
      <c r="K3" s="96"/>
    </row>
    <row r="4" spans="1:11">
      <c r="A4" s="383" t="s">
        <v>171</v>
      </c>
      <c r="B4" s="49">
        <f>IF(ISERROR('SEAP template'!B78+'SEAP template'!C78),0,'SEAP template'!B78+'SEAP template'!C78)</f>
        <v>2751.8555930674829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0.21413042602399576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1760.1775046999999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1760.1775046999999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0.21413042602399576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376.9075589592648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34894.481096883697</v>
      </c>
      <c r="C5" s="17">
        <f>IF(ISERROR('Eigen informatie GS &amp; warmtenet'!B57),0,'Eigen informatie GS &amp; warmtenet'!B57)</f>
        <v>0</v>
      </c>
      <c r="D5" s="30">
        <f>(SUM(HH_hh_gas_kWh,HH_rest_gas_kWh)/1000)*0.902</f>
        <v>93088.674880080012</v>
      </c>
      <c r="E5" s="17">
        <f>B46*B57</f>
        <v>146.07385865787026</v>
      </c>
      <c r="F5" s="17">
        <f>B51*B62</f>
        <v>0</v>
      </c>
      <c r="G5" s="18"/>
      <c r="H5" s="17"/>
      <c r="I5" s="17"/>
      <c r="J5" s="17">
        <f>B50*B61+C50*C61</f>
        <v>0</v>
      </c>
      <c r="K5" s="17"/>
      <c r="L5" s="17"/>
      <c r="M5" s="17"/>
      <c r="N5" s="17">
        <f>B48*B59+C48*C59</f>
        <v>505.04621838316217</v>
      </c>
      <c r="O5" s="17">
        <f>B69*B70*B71</f>
        <v>170.40333333333334</v>
      </c>
      <c r="P5" s="17">
        <f>B77*B78*B79/1000-B77*B78*B79/1000/B80</f>
        <v>95.333333333333343</v>
      </c>
    </row>
    <row r="6" spans="1:16">
      <c r="A6" s="16" t="s">
        <v>624</v>
      </c>
      <c r="B6" s="788">
        <f>kWh_PV_kleiner_dan_10kW</f>
        <v>1875.0523507166126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36769.533447600312</v>
      </c>
      <c r="C8" s="21">
        <f>C5</f>
        <v>0</v>
      </c>
      <c r="D8" s="21">
        <f>D5</f>
        <v>93088.674880080012</v>
      </c>
      <c r="E8" s="21">
        <f>E5</f>
        <v>146.07385865787026</v>
      </c>
      <c r="F8" s="21">
        <f>F5</f>
        <v>0</v>
      </c>
      <c r="G8" s="21"/>
      <c r="H8" s="21"/>
      <c r="I8" s="21"/>
      <c r="J8" s="21">
        <f>J5</f>
        <v>0</v>
      </c>
      <c r="K8" s="21"/>
      <c r="L8" s="21">
        <f>L5</f>
        <v>0</v>
      </c>
      <c r="M8" s="21">
        <f>M5</f>
        <v>0</v>
      </c>
      <c r="N8" s="21">
        <f>N5</f>
        <v>505.04621838316217</v>
      </c>
      <c r="O8" s="21">
        <f>O5</f>
        <v>170.40333333333334</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0.21413042602399576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7873.4758618382166</v>
      </c>
      <c r="C12" s="23">
        <f ca="1">C10*C8</f>
        <v>0</v>
      </c>
      <c r="D12" s="23">
        <f>D8*D10</f>
        <v>18803.912325776164</v>
      </c>
      <c r="E12" s="23">
        <f>E10*E8</f>
        <v>33.158765915336552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10248</v>
      </c>
      <c r="C28" s="36"/>
      <c r="D28" s="228"/>
    </row>
    <row r="29" spans="1:7" s="15" customFormat="1">
      <c r="A29" s="230" t="s">
        <v>699</v>
      </c>
      <c r="B29" s="37">
        <f>SUM(HH_hh_gas_aantal,HH_rest_gas_aantal)</f>
        <v>9933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9933</v>
      </c>
      <c r="C32" s="167">
        <f>IF(ISERROR(B32/SUM($B$32,$B$34,$B$35,$B$36,$B$38,$B$39)*100),0,B32/SUM($B$32,$B$34,$B$35,$B$36,$B$38,$B$39)*100)</f>
        <v>96.973542907351359</v>
      </c>
      <c r="D32" s="233"/>
      <c r="G32" s="15"/>
    </row>
    <row r="33" spans="1:7">
      <c r="A33" s="171" t="s">
        <v>72</v>
      </c>
      <c r="B33" s="34" t="s">
        <v>111</v>
      </c>
      <c r="C33" s="167"/>
      <c r="D33" s="233"/>
      <c r="G33" s="15"/>
    </row>
    <row r="34" spans="1:7">
      <c r="A34" s="171" t="s">
        <v>73</v>
      </c>
      <c r="B34" s="33">
        <f>IF((($B$28-$B$32-$B$39-$B$77-$B$38)*C20/100)&lt;0,0,($B$28-$B$32-$B$39-$B$77-$B$38)*C20/100)</f>
        <v>6.4583333333333321</v>
      </c>
      <c r="C34" s="167">
        <f>IF(ISERROR(B34/SUM($B$32,$B$34,$B$35,$B$36,$B$38,$B$39)*100),0,B34/SUM($B$32,$B$34,$B$35,$B$36,$B$38,$B$39)*100)</f>
        <v>6.3051189430179941E-2</v>
      </c>
      <c r="D34" s="233"/>
      <c r="G34" s="15"/>
    </row>
    <row r="35" spans="1:7">
      <c r="A35" s="171" t="s">
        <v>74</v>
      </c>
      <c r="B35" s="33">
        <f>IF((($B$28-$B$32-$B$39-$B$77-$B$38)*C21/100)&lt;0,0,($B$28-$B$32-$B$39-$B$77-$B$38)*C21/100)</f>
        <v>295.67934782608694</v>
      </c>
      <c r="C35" s="167">
        <f>IF(ISERROR(B35/SUM($B$32,$B$34,$B$35,$B$36,$B$38,$B$39)*100),0,B35/SUM($B$32,$B$34,$B$35,$B$36,$B$38,$B$39)*100)</f>
        <v>2.8866479334773691</v>
      </c>
      <c r="D35" s="233"/>
      <c r="G35" s="15"/>
    </row>
    <row r="36" spans="1:7">
      <c r="A36" s="171" t="s">
        <v>75</v>
      </c>
      <c r="B36" s="33">
        <f>IF((($B$28-$B$32-$B$39-$B$77-$B$38)*C22/100)&lt;0,0,($B$28-$B$32-$B$39-$B$77-$B$38)*C22/100)</f>
        <v>7.8623188405797109</v>
      </c>
      <c r="C36" s="167">
        <f>IF(ISERROR(B36/SUM($B$32,$B$34,$B$35,$B$36,$B$38,$B$39)*100),0,B36/SUM($B$32,$B$34,$B$35,$B$36,$B$38,$B$39)*100)</f>
        <v>7.6757969741088658E-2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9933</v>
      </c>
      <c r="C44" s="34" t="s">
        <v>111</v>
      </c>
      <c r="D44" s="174"/>
    </row>
    <row r="45" spans="1:7">
      <c r="A45" s="171" t="s">
        <v>72</v>
      </c>
      <c r="B45" s="33" t="str">
        <f t="shared" si="0"/>
        <v>-</v>
      </c>
      <c r="C45" s="34" t="s">
        <v>111</v>
      </c>
      <c r="D45" s="174"/>
    </row>
    <row r="46" spans="1:7">
      <c r="A46" s="171" t="s">
        <v>73</v>
      </c>
      <c r="B46" s="33">
        <f t="shared" si="0"/>
        <v>6.4583333333333321</v>
      </c>
      <c r="C46" s="34" t="s">
        <v>111</v>
      </c>
      <c r="D46" s="174"/>
    </row>
    <row r="47" spans="1:7">
      <c r="A47" s="171" t="s">
        <v>74</v>
      </c>
      <c r="B47" s="33">
        <f t="shared" si="0"/>
        <v>295.67934782608694</v>
      </c>
      <c r="C47" s="34" t="s">
        <v>111</v>
      </c>
      <c r="D47" s="174"/>
    </row>
    <row r="48" spans="1:7">
      <c r="A48" s="171" t="s">
        <v>75</v>
      </c>
      <c r="B48" s="33">
        <f t="shared" si="0"/>
        <v>7.8623188405797109</v>
      </c>
      <c r="C48" s="33">
        <f>B48*10</f>
        <v>78.623188405797109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41435.855324380005</v>
      </c>
      <c r="C5" s="17">
        <f>IF(ISERROR('Eigen informatie GS &amp; warmtenet'!B58),0,'Eigen informatie GS &amp; warmtenet'!B58)</f>
        <v>0</v>
      </c>
      <c r="D5" s="30">
        <f>SUM(D6:D12)</f>
        <v>58836.431848535001</v>
      </c>
      <c r="E5" s="17">
        <f>SUM(E6:E12)</f>
        <v>921.92186326815897</v>
      </c>
      <c r="F5" s="17">
        <f>SUM(F6:F12)</f>
        <v>12237.37872130217</v>
      </c>
      <c r="G5" s="18"/>
      <c r="H5" s="17"/>
      <c r="I5" s="17"/>
      <c r="J5" s="17">
        <f>SUM(J6:J12)</f>
        <v>0</v>
      </c>
      <c r="K5" s="17"/>
      <c r="L5" s="17"/>
      <c r="M5" s="17"/>
      <c r="N5" s="17">
        <f>SUM(N6:N12)</f>
        <v>4852.5284168778117</v>
      </c>
      <c r="O5" s="17">
        <f>B38*B39*B40</f>
        <v>3.1266666666666669</v>
      </c>
      <c r="P5" s="17">
        <f>B46*B47*B48/1000-B46*B47*B48/1000/B49</f>
        <v>38.133333333333333</v>
      </c>
      <c r="R5" s="32"/>
    </row>
    <row r="6" spans="1:18">
      <c r="A6" s="32" t="s">
        <v>54</v>
      </c>
      <c r="B6" s="37">
        <f>B26</f>
        <v>8356.8652729999994</v>
      </c>
      <c r="C6" s="33"/>
      <c r="D6" s="37">
        <f>IF(ISERROR(TER_kantoor_gas_kWh/1000),0,TER_kantoor_gas_kWh/1000)*0.902</f>
        <v>16239.692998166</v>
      </c>
      <c r="E6" s="33">
        <f>$C$26*'E Balans VL '!I12/100/3.6*1000000</f>
        <v>109.40166058889093</v>
      </c>
      <c r="F6" s="33">
        <f>$C$26*('E Balans VL '!L12+'E Balans VL '!N12)/100/3.6*1000000</f>
        <v>2130.9142879951114</v>
      </c>
      <c r="G6" s="34"/>
      <c r="H6" s="33"/>
      <c r="I6" s="33"/>
      <c r="J6" s="33">
        <f>$C$26*('E Balans VL '!D12+'E Balans VL '!E12)/100/3.6*1000000</f>
        <v>0</v>
      </c>
      <c r="K6" s="33"/>
      <c r="L6" s="33"/>
      <c r="M6" s="33"/>
      <c r="N6" s="33">
        <f>$C$26*'E Balans VL '!Y12/100/3.6*1000000</f>
        <v>8.3850065691896472</v>
      </c>
      <c r="O6" s="33"/>
      <c r="P6" s="33"/>
      <c r="R6" s="32"/>
    </row>
    <row r="7" spans="1:18">
      <c r="A7" s="32" t="s">
        <v>53</v>
      </c>
      <c r="B7" s="37">
        <f t="shared" ref="B7:B12" si="0">B27</f>
        <v>13745.233913</v>
      </c>
      <c r="C7" s="33"/>
      <c r="D7" s="37">
        <f>IF(ISERROR(TER_horeca_gas_kWh/1000),0,TER_horeca_gas_kWh/1000)*0.902</f>
        <v>16706.983064045999</v>
      </c>
      <c r="E7" s="33">
        <f>$C$27*'E Balans VL '!I9/100/3.6*1000000</f>
        <v>454.88363306716496</v>
      </c>
      <c r="F7" s="33">
        <f>$C$27*('E Balans VL '!L9+'E Balans VL '!N9)/100/3.6*1000000</f>
        <v>5910.3979044728385</v>
      </c>
      <c r="G7" s="34"/>
      <c r="H7" s="33"/>
      <c r="I7" s="33"/>
      <c r="J7" s="33">
        <f>$C$27*('E Balans VL '!D9+'E Balans VL '!E9)/100/3.6*1000000</f>
        <v>0</v>
      </c>
      <c r="K7" s="33"/>
      <c r="L7" s="33"/>
      <c r="M7" s="33"/>
      <c r="N7" s="33">
        <f>$C$27*'E Balans VL '!Y9/100/3.6*1000000</f>
        <v>3.3086774055600934</v>
      </c>
      <c r="O7" s="33"/>
      <c r="P7" s="33"/>
      <c r="R7" s="32"/>
    </row>
    <row r="8" spans="1:18">
      <c r="A8" s="6" t="s">
        <v>52</v>
      </c>
      <c r="B8" s="37">
        <f t="shared" si="0"/>
        <v>9696.8583049999997</v>
      </c>
      <c r="C8" s="33"/>
      <c r="D8" s="37">
        <f>IF(ISERROR(TER_handel_gas_kWh/1000),0,TER_handel_gas_kWh/1000)*0.902</f>
        <v>8247.1021884240017</v>
      </c>
      <c r="E8" s="33">
        <f>$C$28*'E Balans VL '!I13/100/3.6*1000000</f>
        <v>306.04766446425759</v>
      </c>
      <c r="F8" s="33">
        <f>$C$28*('E Balans VL '!L13+'E Balans VL '!N13)/100/3.6*1000000</f>
        <v>1901.7246646840842</v>
      </c>
      <c r="G8" s="34"/>
      <c r="H8" s="33"/>
      <c r="I8" s="33"/>
      <c r="J8" s="33">
        <f>$C$28*('E Balans VL '!D13+'E Balans VL '!E13)/100/3.6*1000000</f>
        <v>0</v>
      </c>
      <c r="K8" s="33"/>
      <c r="L8" s="33"/>
      <c r="M8" s="33"/>
      <c r="N8" s="33">
        <f>$C$28*'E Balans VL '!Y13/100/3.6*1000000</f>
        <v>11.508288186107027</v>
      </c>
      <c r="O8" s="33"/>
      <c r="P8" s="33"/>
      <c r="R8" s="32"/>
    </row>
    <row r="9" spans="1:18">
      <c r="A9" s="32" t="s">
        <v>51</v>
      </c>
      <c r="B9" s="37">
        <f t="shared" si="0"/>
        <v>1026.3852521000001</v>
      </c>
      <c r="C9" s="33"/>
      <c r="D9" s="37">
        <f>IF(ISERROR(TER_gezond_gas_kWh/1000),0,TER_gezond_gas_kWh/1000)*0.902</f>
        <v>1690.7630580059999</v>
      </c>
      <c r="E9" s="33">
        <f>$C$29*'E Balans VL '!I10/100/3.6*1000000</f>
        <v>0.13140733850312436</v>
      </c>
      <c r="F9" s="33">
        <f>$C$29*('E Balans VL '!L10+'E Balans VL '!N10)/100/3.6*1000000</f>
        <v>213.83906776082077</v>
      </c>
      <c r="G9" s="34"/>
      <c r="H9" s="33"/>
      <c r="I9" s="33"/>
      <c r="J9" s="33">
        <f>$C$29*('E Balans VL '!D10+'E Balans VL '!E10)/100/3.6*1000000</f>
        <v>0</v>
      </c>
      <c r="K9" s="33"/>
      <c r="L9" s="33"/>
      <c r="M9" s="33"/>
      <c r="N9" s="33">
        <f>$C$29*'E Balans VL '!Y10/100/3.6*1000000</f>
        <v>12.05537991936311</v>
      </c>
      <c r="O9" s="33"/>
      <c r="P9" s="33"/>
      <c r="R9" s="32"/>
    </row>
    <row r="10" spans="1:18">
      <c r="A10" s="32" t="s">
        <v>50</v>
      </c>
      <c r="B10" s="37">
        <f t="shared" si="0"/>
        <v>5844.7678277000005</v>
      </c>
      <c r="C10" s="33"/>
      <c r="D10" s="37">
        <f>IF(ISERROR(TER_ander_gas_kWh/1000),0,TER_ander_gas_kWh/1000)*0.902</f>
        <v>7604.3500009465988</v>
      </c>
      <c r="E10" s="33">
        <f>$C$30*'E Balans VL '!I14/100/3.6*1000000</f>
        <v>8.7891563245983395</v>
      </c>
      <c r="F10" s="33">
        <f>$C$30*('E Balans VL '!L14+'E Balans VL '!N14)/100/3.6*1000000</f>
        <v>1290.3363326207486</v>
      </c>
      <c r="G10" s="34"/>
      <c r="H10" s="33"/>
      <c r="I10" s="33"/>
      <c r="J10" s="33">
        <f>$C$30*('E Balans VL '!D14+'E Balans VL '!E14)/100/3.6*1000000</f>
        <v>0</v>
      </c>
      <c r="K10" s="33"/>
      <c r="L10" s="33"/>
      <c r="M10" s="33"/>
      <c r="N10" s="33">
        <f>$C$30*'E Balans VL '!Y14/100/3.6*1000000</f>
        <v>4606.0703862720839</v>
      </c>
      <c r="O10" s="33"/>
      <c r="P10" s="33"/>
      <c r="R10" s="32"/>
    </row>
    <row r="11" spans="1:18">
      <c r="A11" s="32" t="s">
        <v>55</v>
      </c>
      <c r="B11" s="37">
        <f t="shared" si="0"/>
        <v>380.34792728000002</v>
      </c>
      <c r="C11" s="33"/>
      <c r="D11" s="37">
        <f>IF(ISERROR(TER_onderwijs_gas_kWh/1000),0,TER_onderwijs_gas_kWh/1000)*0.902</f>
        <v>1350.7985060987999</v>
      </c>
      <c r="E11" s="33">
        <f>$C$31*'E Balans VL '!I11/100/3.6*1000000</f>
        <v>0.66982457298621234</v>
      </c>
      <c r="F11" s="33">
        <f>$C$31*('E Balans VL '!L11+'E Balans VL '!N11)/100/3.6*1000000</f>
        <v>175.61352040953713</v>
      </c>
      <c r="G11" s="34"/>
      <c r="H11" s="33"/>
      <c r="I11" s="33"/>
      <c r="J11" s="33">
        <f>$C$31*('E Balans VL '!D11+'E Balans VL '!E11)/100/3.6*1000000</f>
        <v>0</v>
      </c>
      <c r="K11" s="33"/>
      <c r="L11" s="33"/>
      <c r="M11" s="33"/>
      <c r="N11" s="33">
        <f>$C$31*'E Balans VL '!Y11/100/3.6*1000000</f>
        <v>0.7085934482699594</v>
      </c>
      <c r="O11" s="33"/>
      <c r="P11" s="33"/>
      <c r="R11" s="32"/>
    </row>
    <row r="12" spans="1:18">
      <c r="A12" s="32" t="s">
        <v>260</v>
      </c>
      <c r="B12" s="37">
        <f t="shared" si="0"/>
        <v>2385.3968262999997</v>
      </c>
      <c r="C12" s="33"/>
      <c r="D12" s="37">
        <f>IF(ISERROR(TER_rest_gas_kWh/1000),0,TER_rest_gas_kWh/1000)*0.902</f>
        <v>6996.7420328476001</v>
      </c>
      <c r="E12" s="33">
        <f>$C$32*'E Balans VL '!I8/100/3.6*1000000</f>
        <v>41.99851691175779</v>
      </c>
      <c r="F12" s="33">
        <f>$C$32*('E Balans VL '!L8+'E Balans VL '!N8)/100/3.6*1000000</f>
        <v>614.55294335902863</v>
      </c>
      <c r="G12" s="34"/>
      <c r="H12" s="33"/>
      <c r="I12" s="33"/>
      <c r="J12" s="33">
        <f>$C$32*('E Balans VL '!D8+'E Balans VL '!E8)/100/3.6*1000000</f>
        <v>0</v>
      </c>
      <c r="K12" s="33"/>
      <c r="L12" s="33"/>
      <c r="M12" s="33"/>
      <c r="N12" s="33">
        <f>$C$32*'E Balans VL '!Y8/100/3.6*1000000</f>
        <v>210.49208507723759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41435.855324380005</v>
      </c>
      <c r="C16" s="21">
        <f t="shared" ca="1" si="1"/>
        <v>0</v>
      </c>
      <c r="D16" s="21">
        <f t="shared" ca="1" si="1"/>
        <v>58836.431848535001</v>
      </c>
      <c r="E16" s="21">
        <f t="shared" si="1"/>
        <v>921.92186326815897</v>
      </c>
      <c r="F16" s="21">
        <f t="shared" ca="1" si="1"/>
        <v>12237.37872130217</v>
      </c>
      <c r="G16" s="21">
        <f t="shared" si="1"/>
        <v>0</v>
      </c>
      <c r="H16" s="21">
        <f t="shared" si="1"/>
        <v>0</v>
      </c>
      <c r="I16" s="21">
        <f t="shared" si="1"/>
        <v>0</v>
      </c>
      <c r="J16" s="21">
        <f t="shared" si="1"/>
        <v>0</v>
      </c>
      <c r="K16" s="21">
        <f t="shared" si="1"/>
        <v>0</v>
      </c>
      <c r="L16" s="21">
        <f t="shared" ca="1" si="1"/>
        <v>0</v>
      </c>
      <c r="M16" s="21">
        <f t="shared" si="1"/>
        <v>0</v>
      </c>
      <c r="N16" s="21">
        <f t="shared" ca="1" si="1"/>
        <v>4852.5284168778117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0.21413042602399576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8872.6773532781444</v>
      </c>
      <c r="C20" s="23">
        <f t="shared" ref="C20:P20" ca="1" si="2">C16*C18</f>
        <v>0</v>
      </c>
      <c r="D20" s="23">
        <f t="shared" ca="1" si="2"/>
        <v>11884.959233404072</v>
      </c>
      <c r="E20" s="23">
        <f t="shared" si="2"/>
        <v>209.27626296187211</v>
      </c>
      <c r="F20" s="23">
        <f t="shared" ca="1" si="2"/>
        <v>3267.3801185876796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8356.8652729999994</v>
      </c>
      <c r="C26" s="39">
        <f>IF(ISERROR(B26*3.6/1000000/'E Balans VL '!Z12*100),0,B26*3.6/1000000/'E Balans VL '!Z12*100)</f>
        <v>0.17901054634348754</v>
      </c>
      <c r="D26" s="237" t="s">
        <v>660</v>
      </c>
      <c r="F26" s="6"/>
    </row>
    <row r="27" spans="1:18">
      <c r="A27" s="231" t="s">
        <v>53</v>
      </c>
      <c r="B27" s="33">
        <f>IF(ISERROR(TER_horeca_ele_kWh/1000),0,TER_horeca_ele_kWh/1000)</f>
        <v>13745.233913</v>
      </c>
      <c r="C27" s="39">
        <f>IF(ISERROR(B27*3.6/1000000/'E Balans VL '!Z9*100),0,B27*3.6/1000000/'E Balans VL '!Z9*100)</f>
        <v>1.103007243572846</v>
      </c>
      <c r="D27" s="237" t="s">
        <v>660</v>
      </c>
      <c r="F27" s="6"/>
    </row>
    <row r="28" spans="1:18">
      <c r="A28" s="171" t="s">
        <v>52</v>
      </c>
      <c r="B28" s="33">
        <f>IF(ISERROR(TER_handel_ele_kWh/1000),0,TER_handel_ele_kWh/1000)</f>
        <v>9696.8583049999997</v>
      </c>
      <c r="C28" s="39">
        <f>IF(ISERROR(B28*3.6/1000000/'E Balans VL '!Z13*100),0,B28*3.6/1000000/'E Balans VL '!Z13*100)</f>
        <v>0.28600170103672262</v>
      </c>
      <c r="D28" s="237" t="s">
        <v>660</v>
      </c>
      <c r="F28" s="6"/>
    </row>
    <row r="29" spans="1:18">
      <c r="A29" s="231" t="s">
        <v>51</v>
      </c>
      <c r="B29" s="33">
        <f>IF(ISERROR(TER_gezond_ele_kWh/1000),0,TER_gezond_ele_kWh/1000)</f>
        <v>1026.3852521000001</v>
      </c>
      <c r="C29" s="39">
        <f>IF(ISERROR(B29*3.6/1000000/'E Balans VL '!Z10*100),0,B29*3.6/1000000/'E Balans VL '!Z10*100)</f>
        <v>0.10959042650373893</v>
      </c>
      <c r="D29" s="237" t="s">
        <v>660</v>
      </c>
      <c r="F29" s="6"/>
    </row>
    <row r="30" spans="1:18">
      <c r="A30" s="231" t="s">
        <v>50</v>
      </c>
      <c r="B30" s="33">
        <f>IF(ISERROR(TER_ander_ele_kWh/1000),0,TER_ander_ele_kWh/1000)</f>
        <v>5844.7678277000005</v>
      </c>
      <c r="C30" s="39">
        <f>IF(ISERROR(B30*3.6/1000000/'E Balans VL '!Z14*100),0,B30*3.6/1000000/'E Balans VL '!Z14*100)</f>
        <v>0.44147826550365415</v>
      </c>
      <c r="D30" s="237" t="s">
        <v>660</v>
      </c>
      <c r="F30" s="6"/>
    </row>
    <row r="31" spans="1:18">
      <c r="A31" s="231" t="s">
        <v>55</v>
      </c>
      <c r="B31" s="33">
        <f>IF(ISERROR(TER_onderwijs_ele_kWh/1000),0,TER_onderwijs_ele_kWh/1000)</f>
        <v>380.34792728000002</v>
      </c>
      <c r="C31" s="39">
        <f>IF(ISERROR(B31*3.6/1000000/'E Balans VL '!Z11*100),0,B31*3.6/1000000/'E Balans VL '!Z11*100)</f>
        <v>7.6804943512540913E-2</v>
      </c>
      <c r="D31" s="237" t="s">
        <v>660</v>
      </c>
    </row>
    <row r="32" spans="1:18">
      <c r="A32" s="231" t="s">
        <v>260</v>
      </c>
      <c r="B32" s="33">
        <f>IF(ISERROR(TER_rest_ele_kWh/1000),0,TER_rest_ele_kWh/1000)</f>
        <v>2385.3968262999997</v>
      </c>
      <c r="C32" s="39">
        <f>IF(ISERROR(B32*3.6/1000000/'E Balans VL '!Z8*100),0,B32*3.6/1000000/'E Balans VL '!Z8*100)</f>
        <v>1.9778261331144902E-2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1864.451571135</v>
      </c>
      <c r="C5" s="17">
        <f>IF(ISERROR('Eigen informatie GS &amp; warmtenet'!B59),0,'Eigen informatie GS &amp; warmtenet'!B59)</f>
        <v>0</v>
      </c>
      <c r="D5" s="30">
        <f>SUM(D6:D15)</f>
        <v>2038.14340245318</v>
      </c>
      <c r="E5" s="17">
        <f>SUM(E6:E15)</f>
        <v>262.60242307841952</v>
      </c>
      <c r="F5" s="17">
        <f>SUM(F6:F15)</f>
        <v>1023.2481832129887</v>
      </c>
      <c r="G5" s="18"/>
      <c r="H5" s="17"/>
      <c r="I5" s="17"/>
      <c r="J5" s="17">
        <f>SUM(J6:J15)</f>
        <v>4.790502784076196</v>
      </c>
      <c r="K5" s="17"/>
      <c r="L5" s="17"/>
      <c r="M5" s="17"/>
      <c r="N5" s="17">
        <f>SUM(N6:N15)</f>
        <v>621.04500714761286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171.90595193999999</v>
      </c>
      <c r="C8" s="33"/>
      <c r="D8" s="37">
        <f>IF( ISERROR(IND_metaal_Gas_kWH/1000),0,IND_metaal_Gas_kWH/1000)*0.902</f>
        <v>0</v>
      </c>
      <c r="E8" s="33">
        <f>C30*'E Balans VL '!I18/100/3.6*1000000</f>
        <v>6.185696201559022</v>
      </c>
      <c r="F8" s="33">
        <f>C30*'E Balans VL '!L18/100/3.6*1000000+C30*'E Balans VL '!N18/100/3.6*1000000</f>
        <v>75.065756620790481</v>
      </c>
      <c r="G8" s="34"/>
      <c r="H8" s="33"/>
      <c r="I8" s="33"/>
      <c r="J8" s="40">
        <f>C30*'E Balans VL '!D18/100/3.6*1000000+C30*'E Balans VL '!E18/100/3.6*1000000</f>
        <v>0</v>
      </c>
      <c r="K8" s="33"/>
      <c r="L8" s="33"/>
      <c r="M8" s="33"/>
      <c r="N8" s="33">
        <f>C30*'E Balans VL '!Y18/100/3.6*1000000</f>
        <v>8.615809488759993</v>
      </c>
      <c r="O8" s="33"/>
      <c r="P8" s="33"/>
      <c r="R8" s="32"/>
    </row>
    <row r="9" spans="1:18">
      <c r="A9" s="6" t="s">
        <v>33</v>
      </c>
      <c r="B9" s="37">
        <f t="shared" si="0"/>
        <v>908.23105563000001</v>
      </c>
      <c r="C9" s="33"/>
      <c r="D9" s="37">
        <f>IF( ISERROR(IND_andere_gas_kWh/1000),0,IND_andere_gas_kWh/1000)*0.902</f>
        <v>1069.3424109544001</v>
      </c>
      <c r="E9" s="33">
        <f>C31*'E Balans VL '!I19/100/3.6*1000000</f>
        <v>231.7600160935778</v>
      </c>
      <c r="F9" s="33">
        <f>C31*'E Balans VL '!L19/100/3.6*1000000+C31*'E Balans VL '!N19/100/3.6*1000000</f>
        <v>781.91867359736204</v>
      </c>
      <c r="G9" s="34"/>
      <c r="H9" s="33"/>
      <c r="I9" s="33"/>
      <c r="J9" s="40">
        <f>C31*'E Balans VL '!D19/100/3.6*1000000+C31*'E Balans VL '!E19/100/3.6*1000000</f>
        <v>0</v>
      </c>
      <c r="K9" s="33"/>
      <c r="L9" s="33"/>
      <c r="M9" s="33"/>
      <c r="N9" s="33">
        <f>C31*'E Balans VL '!Y19/100/3.6*1000000</f>
        <v>284.0349547607276</v>
      </c>
      <c r="O9" s="33"/>
      <c r="P9" s="33"/>
      <c r="R9" s="32"/>
    </row>
    <row r="10" spans="1:18">
      <c r="A10" s="6" t="s">
        <v>41</v>
      </c>
      <c r="B10" s="37">
        <f t="shared" si="0"/>
        <v>538.41803891999996</v>
      </c>
      <c r="C10" s="33"/>
      <c r="D10" s="37">
        <f>IF( ISERROR(IND_voed_gas_kWh/1000),0,IND_voed_gas_kWh/1000)*0.902</f>
        <v>392.67536547931996</v>
      </c>
      <c r="E10" s="33">
        <f>C32*'E Balans VL '!I20/100/3.6*1000000</f>
        <v>13.687325857898923</v>
      </c>
      <c r="F10" s="33">
        <f>C32*'E Balans VL '!L20/100/3.6*1000000+C32*'E Balans VL '!N20/100/3.6*1000000</f>
        <v>121.83591985580935</v>
      </c>
      <c r="G10" s="34"/>
      <c r="H10" s="33"/>
      <c r="I10" s="33"/>
      <c r="J10" s="40">
        <f>C32*'E Balans VL '!D20/100/3.6*1000000+C32*'E Balans VL '!E20/100/3.6*1000000</f>
        <v>0</v>
      </c>
      <c r="K10" s="33"/>
      <c r="L10" s="33"/>
      <c r="M10" s="33"/>
      <c r="N10" s="33">
        <f>C32*'E Balans VL '!Y20/100/3.6*1000000</f>
        <v>201.92135898999589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47.537642054999999</v>
      </c>
      <c r="C13" s="33"/>
      <c r="D13" s="37">
        <f>IF( ISERROR(IND_papier_gas_kWh/1000),0,IND_papier_gas_kWh/1000)*0.902</f>
        <v>0</v>
      </c>
      <c r="E13" s="33">
        <f>C35*'E Balans VL '!I23/100/3.6*1000000</f>
        <v>0.20387511722843216</v>
      </c>
      <c r="F13" s="33">
        <f>C35*'E Balans VL '!L23/100/3.6*1000000+C35*'E Balans VL '!N23/100/3.6*1000000</f>
        <v>1.194768492290212</v>
      </c>
      <c r="G13" s="34"/>
      <c r="H13" s="33"/>
      <c r="I13" s="33"/>
      <c r="J13" s="40">
        <f>C35*'E Balans VL '!D23/100/3.6*1000000+C35*'E Balans VL '!E23/100/3.6*1000000</f>
        <v>3.1823844023410901</v>
      </c>
      <c r="K13" s="33"/>
      <c r="L13" s="33"/>
      <c r="M13" s="33"/>
      <c r="N13" s="33">
        <f>C35*'E Balans VL '!Y23/100/3.6*1000000</f>
        <v>86.529813422688719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198.35888259000001</v>
      </c>
      <c r="C15" s="33"/>
      <c r="D15" s="37">
        <f>IF( ISERROR(IND_rest_gas_kWh/1000),0,IND_rest_gas_kWh/1000)*0.902</f>
        <v>576.12562601946001</v>
      </c>
      <c r="E15" s="33">
        <f>C37*'E Balans VL '!I15/100/3.6*1000000</f>
        <v>10.765509808155388</v>
      </c>
      <c r="F15" s="33">
        <f>C37*'E Balans VL '!L15/100/3.6*1000000+C37*'E Balans VL '!N15/100/3.6*1000000</f>
        <v>43.23306464673653</v>
      </c>
      <c r="G15" s="34"/>
      <c r="H15" s="33"/>
      <c r="I15" s="33"/>
      <c r="J15" s="40">
        <f>C37*'E Balans VL '!D15/100/3.6*1000000+C37*'E Balans VL '!E15/100/3.6*1000000</f>
        <v>1.6081183817351059</v>
      </c>
      <c r="K15" s="33"/>
      <c r="L15" s="33"/>
      <c r="M15" s="33"/>
      <c r="N15" s="33">
        <f>C37*'E Balans VL '!Y15/100/3.6*1000000</f>
        <v>39.943070485440622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1864.451571135</v>
      </c>
      <c r="C18" s="21">
        <f>C5+C16</f>
        <v>0</v>
      </c>
      <c r="D18" s="21">
        <f>MAX((D5+D16),0)</f>
        <v>2038.14340245318</v>
      </c>
      <c r="E18" s="21">
        <f>MAX((E5+E16),0)</f>
        <v>262.60242307841952</v>
      </c>
      <c r="F18" s="21">
        <f>MAX((F5+F16),0)</f>
        <v>1023.2481832129887</v>
      </c>
      <c r="G18" s="21"/>
      <c r="H18" s="21"/>
      <c r="I18" s="21"/>
      <c r="J18" s="21">
        <f>MAX((J5+J16),0)</f>
        <v>4.790502784076196</v>
      </c>
      <c r="K18" s="21"/>
      <c r="L18" s="21">
        <f>MAX((L5+L16),0)</f>
        <v>0</v>
      </c>
      <c r="M18" s="21"/>
      <c r="N18" s="21">
        <f>MAX((N5+N16),0)</f>
        <v>621.04500714761286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0.21413042602399576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399.23580922824578</v>
      </c>
      <c r="C22" s="23">
        <f ca="1">C18*C20</f>
        <v>0</v>
      </c>
      <c r="D22" s="23">
        <f>D18*D20</f>
        <v>411.70496729554236</v>
      </c>
      <c r="E22" s="23">
        <f>E18*E20</f>
        <v>59.610750038801235</v>
      </c>
      <c r="F22" s="23">
        <f>F18*F20</f>
        <v>273.20726491786797</v>
      </c>
      <c r="G22" s="23"/>
      <c r="H22" s="23"/>
      <c r="I22" s="23"/>
      <c r="J22" s="23">
        <f>J18*J20</f>
        <v>1.6958379855629733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171.90595193999999</v>
      </c>
      <c r="C30" s="39">
        <f>IF(ISERROR(B30*3.6/1000000/'E Balans VL '!Z18*100),0,B30*3.6/1000000/'E Balans VL '!Z18*100)</f>
        <v>3.6423185649611507E-2</v>
      </c>
      <c r="D30" s="237" t="s">
        <v>660</v>
      </c>
    </row>
    <row r="31" spans="1:18">
      <c r="A31" s="6" t="s">
        <v>33</v>
      </c>
      <c r="B31" s="37">
        <f>IF( ISERROR(IND_ander_ele_kWh/1000),0,IND_ander_ele_kWh/1000)</f>
        <v>908.23105563000001</v>
      </c>
      <c r="C31" s="39">
        <f>IF(ISERROR(B31*3.6/1000000/'E Balans VL '!Z19*100),0,B31*3.6/1000000/'E Balans VL '!Z19*100)</f>
        <v>3.8229507420060337E-2</v>
      </c>
      <c r="D31" s="237" t="s">
        <v>660</v>
      </c>
    </row>
    <row r="32" spans="1:18">
      <c r="A32" s="171" t="s">
        <v>41</v>
      </c>
      <c r="B32" s="37">
        <f>IF( ISERROR(IND_voed_ele_kWh/1000),0,IND_voed_ele_kWh/1000)</f>
        <v>538.41803891999996</v>
      </c>
      <c r="C32" s="39">
        <f>IF(ISERROR(B32*3.6/1000000/'E Balans VL '!Z20*100),0,B32*3.6/1000000/'E Balans VL '!Z20*100)</f>
        <v>8.9948825182723943E-2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47.537642054999999</v>
      </c>
      <c r="C35" s="39">
        <f>IF(ISERROR(B35*3.6/1000000/'E Balans VL '!Z22*100),0,B35*3.6/1000000/'E Balans VL '!Z22*100)</f>
        <v>6.025652500217674E-3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198.35888259000001</v>
      </c>
      <c r="C37" s="39">
        <f>IF(ISERROR(B37*3.6/1000000/'E Balans VL '!Z15*100),0,B37*3.6/1000000/'E Balans VL '!Z15*100)</f>
        <v>1.6014280672288111E-3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398.66356199699999</v>
      </c>
      <c r="C5" s="17">
        <f>'Eigen informatie GS &amp; warmtenet'!B60</f>
        <v>0</v>
      </c>
      <c r="D5" s="30">
        <f>IF(ISERROR(SUM(LB_lb_gas_kWh,LB_rest_gas_kWh)/1000),0,SUM(LB_lb_gas_kWh,LB_rest_gas_kWh)/1000)*0.902</f>
        <v>230.91177144853401</v>
      </c>
      <c r="E5" s="17">
        <f>B17*'E Balans VL '!I25/3.6*1000000/100</f>
        <v>10.280002572795043</v>
      </c>
      <c r="F5" s="17">
        <f>B17*('E Balans VL '!L25/3.6*1000000+'E Balans VL '!N25/3.6*1000000)/100</f>
        <v>1457.1912408863541</v>
      </c>
      <c r="G5" s="18"/>
      <c r="H5" s="17"/>
      <c r="I5" s="17"/>
      <c r="J5" s="17">
        <f>('E Balans VL '!D25+'E Balans VL '!E25)/3.6*1000000*landbouw!B17/100</f>
        <v>57.392887427824881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398.66356199699999</v>
      </c>
      <c r="C8" s="21">
        <f>C5+C6</f>
        <v>0</v>
      </c>
      <c r="D8" s="21">
        <f>MAX((D5+D6),0)</f>
        <v>230.91177144853401</v>
      </c>
      <c r="E8" s="21">
        <f>MAX((E5+E6),0)</f>
        <v>10.280002572795043</v>
      </c>
      <c r="F8" s="21">
        <f>MAX((F5+F6),0)</f>
        <v>1457.1912408863541</v>
      </c>
      <c r="G8" s="21"/>
      <c r="H8" s="21"/>
      <c r="I8" s="21"/>
      <c r="J8" s="21">
        <f>MAX((J5+J6),0)</f>
        <v>57.392887427824881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0.21413042602399576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85.365998370661259</v>
      </c>
      <c r="C12" s="23">
        <f ca="1">C8*C10</f>
        <v>0</v>
      </c>
      <c r="D12" s="23">
        <f>D8*D10</f>
        <v>46.644177832603873</v>
      </c>
      <c r="E12" s="23">
        <f>E8*E10</f>
        <v>2.3335605840244749</v>
      </c>
      <c r="F12" s="23">
        <f>F8*F10</f>
        <v>389.07006131665656</v>
      </c>
      <c r="G12" s="23"/>
      <c r="H12" s="23"/>
      <c r="I12" s="23"/>
      <c r="J12" s="23">
        <f>J8*J10</f>
        <v>20.317082149450005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5.6214202929799853E-2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69.106618721092872</v>
      </c>
      <c r="C26" s="247">
        <f>B26*'GWP N2O_CH4'!B5</f>
        <v>1451.2389931429502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37.706597536864216</v>
      </c>
      <c r="C27" s="247">
        <f>B27*'GWP N2O_CH4'!B5</f>
        <v>791.83854827414848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0.97366778103012075</v>
      </c>
      <c r="C28" s="247">
        <f>B28*'GWP N2O_CH4'!B4</f>
        <v>301.83701211933743</v>
      </c>
      <c r="D28" s="50"/>
    </row>
    <row r="29" spans="1:4">
      <c r="A29" s="41" t="s">
        <v>277</v>
      </c>
      <c r="B29" s="247">
        <f>B34*'ha_N2O bodem landbouw'!B4</f>
        <v>6.8247458679223731</v>
      </c>
      <c r="C29" s="247">
        <f>B29*'GWP N2O_CH4'!B4</f>
        <v>2115.6712190559356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1.5359386877613075E-3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2.8691707542891528E-5</v>
      </c>
      <c r="C5" s="463" t="s">
        <v>211</v>
      </c>
      <c r="D5" s="448">
        <f>SUM(D6:D11)</f>
        <v>6.2228872491329809E-5</v>
      </c>
      <c r="E5" s="448">
        <f>SUM(E6:E11)</f>
        <v>2.4134603433253771E-4</v>
      </c>
      <c r="F5" s="461" t="s">
        <v>211</v>
      </c>
      <c r="G5" s="448">
        <f>SUM(G6:G11)</f>
        <v>8.865893505025732E-2</v>
      </c>
      <c r="H5" s="448">
        <f>SUM(H6:H11)</f>
        <v>1.6758942098821603E-2</v>
      </c>
      <c r="I5" s="463" t="s">
        <v>211</v>
      </c>
      <c r="J5" s="463" t="s">
        <v>211</v>
      </c>
      <c r="K5" s="463" t="s">
        <v>211</v>
      </c>
      <c r="L5" s="463" t="s">
        <v>211</v>
      </c>
      <c r="M5" s="448">
        <f>SUM(M6:M11)</f>
        <v>3.2953030971702591E-3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2.5284103520384489E-5</v>
      </c>
      <c r="C6" s="449"/>
      <c r="D6" s="892">
        <f>vkm_2011_GW_PW*SUMIFS(TableVerdeelsleutelVkm[CNG],TableVerdeelsleutelVkm[Voertuigtype],"Lichte voertuigen")*SUMIFS(TableECFTransport[EnergieConsumptieFactor (PJ per km)],TableECFTransport[Index],CONCATENATE($A6,"_CNG_CNG"))</f>
        <v>5.0239956584874617E-5</v>
      </c>
      <c r="E6" s="892">
        <f>vkm_2011_GW_PW*SUMIFS(TableVerdeelsleutelVkm[LPG],TableVerdeelsleutelVkm[Voertuigtype],"Lichte voertuigen")*SUMIFS(TableECFTransport[EnergieConsumptieFactor (PJ per km)],TableECFTransport[Index],CONCATENATE($A6,"_LPG_LPG"))</f>
        <v>1.9771223883583165E-4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4.7009186492665452E-2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1.3601467683204754E-2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1.8886839528165064E-3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2.5311951067722868E-2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8.1768413570934085E-6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7.9754084893343886E-4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3.4076040225070388E-6</v>
      </c>
      <c r="C8" s="449"/>
      <c r="D8" s="451">
        <f>vkm_2011_NGW_PW*SUMIFS(TableVerdeelsleutelVkm[CNG],TableVerdeelsleutelVkm[Voertuigtype],"Lichte voertuigen")*SUMIFS(TableECFTransport[EnergieConsumptieFactor (PJ per km)],TableECFTransport[Index],CONCATENATE($A8,"_CNG_CNG"))</f>
        <v>1.1988915906455191E-5</v>
      </c>
      <c r="E8" s="451">
        <f>vkm_2011_NGW_PW*SUMIFS(TableVerdeelsleutelVkm[LPG],TableVerdeelsleutelVkm[Voertuigtype],"Lichte voertuigen")*SUMIFS(TableECFTransport[EnergieConsumptieFactor (PJ per km)],TableECFTransport[Index],CONCATENATE($A8,"_LPG_LPG"))</f>
        <v>4.3633795496706065E-5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9.6879291909175626E-3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3.147265983109492E-3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3.9955461734528193E-4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6.6498682989514328E-3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2.0315911502635471E-6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2.0952367807503195E-4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7.9699187619143128</v>
      </c>
      <c r="C14" s="21"/>
      <c r="D14" s="21">
        <f t="shared" ref="D14:M14" si="0">((D5)*10^9/3600)+D12</f>
        <v>17.285797914258278</v>
      </c>
      <c r="E14" s="21">
        <f t="shared" si="0"/>
        <v>67.04056509237158</v>
      </c>
      <c r="F14" s="21"/>
      <c r="G14" s="21">
        <f t="shared" si="0"/>
        <v>24627.481958404813</v>
      </c>
      <c r="H14" s="21">
        <f t="shared" si="0"/>
        <v>4655.2616941171118</v>
      </c>
      <c r="I14" s="21"/>
      <c r="J14" s="21"/>
      <c r="K14" s="21"/>
      <c r="L14" s="21"/>
      <c r="M14" s="21">
        <f t="shared" si="0"/>
        <v>915.36197143618313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0.21413042602399576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1.7066020998653486</v>
      </c>
      <c r="C18" s="23"/>
      <c r="D18" s="23">
        <f t="shared" ref="D18:M18" si="1">D14*D16</f>
        <v>3.4917311786801726</v>
      </c>
      <c r="E18" s="23">
        <f t="shared" si="1"/>
        <v>15.218208275968349</v>
      </c>
      <c r="F18" s="23"/>
      <c r="G18" s="23">
        <f t="shared" si="1"/>
        <v>6575.5376828940853</v>
      </c>
      <c r="H18" s="23">
        <f t="shared" si="1"/>
        <v>1159.1601618351608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2.9414761444501066E-3</v>
      </c>
      <c r="C50" s="321">
        <f t="shared" ref="C50:P50" si="2">SUM(C51:C52)</f>
        <v>0</v>
      </c>
      <c r="D50" s="321">
        <f t="shared" si="2"/>
        <v>0</v>
      </c>
      <c r="E50" s="321">
        <f t="shared" si="2"/>
        <v>0</v>
      </c>
      <c r="F50" s="321">
        <f t="shared" si="2"/>
        <v>0</v>
      </c>
      <c r="G50" s="321">
        <f t="shared" si="2"/>
        <v>1.2192927861588332E-3</v>
      </c>
      <c r="H50" s="321">
        <f t="shared" si="2"/>
        <v>0</v>
      </c>
      <c r="I50" s="321">
        <f t="shared" si="2"/>
        <v>0</v>
      </c>
      <c r="J50" s="321">
        <f t="shared" si="2"/>
        <v>0</v>
      </c>
      <c r="K50" s="321">
        <f t="shared" si="2"/>
        <v>0</v>
      </c>
      <c r="L50" s="321">
        <f t="shared" si="2"/>
        <v>0</v>
      </c>
      <c r="M50" s="321">
        <f t="shared" si="2"/>
        <v>3.7819734446665619E-5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1.2192927861588332E-3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3.7819734446665619E-5</v>
      </c>
      <c r="N51" s="323"/>
      <c r="O51" s="323"/>
      <c r="P51" s="326"/>
    </row>
    <row r="52" spans="1:18">
      <c r="A52" s="4" t="s">
        <v>330</v>
      </c>
      <c r="B52" s="893">
        <f>vkm_2011_tram*SUMIFS(TableECFTransport[EnergieConsumptieFactor (PJ per km)],TableECFTransport[Index],"Tram_gemiddeld_Electric_Electric")</f>
        <v>2.9414761444501066E-3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817.07670679169632</v>
      </c>
      <c r="C54" s="21">
        <f t="shared" ref="C54:P54" si="3">(C50)*10^9/3600</f>
        <v>0</v>
      </c>
      <c r="D54" s="21">
        <f t="shared" si="3"/>
        <v>0</v>
      </c>
      <c r="E54" s="21">
        <f t="shared" si="3"/>
        <v>0</v>
      </c>
      <c r="F54" s="21">
        <f t="shared" si="3"/>
        <v>0</v>
      </c>
      <c r="G54" s="21">
        <f t="shared" si="3"/>
        <v>338.69244059967588</v>
      </c>
      <c r="H54" s="21">
        <f t="shared" si="3"/>
        <v>0</v>
      </c>
      <c r="I54" s="21">
        <f t="shared" si="3"/>
        <v>0</v>
      </c>
      <c r="J54" s="21">
        <f t="shared" si="3"/>
        <v>0</v>
      </c>
      <c r="K54" s="21">
        <f t="shared" si="3"/>
        <v>0</v>
      </c>
      <c r="L54" s="21">
        <f t="shared" si="3"/>
        <v>0</v>
      </c>
      <c r="M54" s="21">
        <f t="shared" si="3"/>
        <v>10.505481790740451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0.21413042602399576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174.96098331958942</v>
      </c>
      <c r="C58" s="23">
        <f t="shared" ref="C58:P58" ca="1" si="4">C54*C56</f>
        <v>0</v>
      </c>
      <c r="D58" s="23">
        <f t="shared" si="4"/>
        <v>0</v>
      </c>
      <c r="E58" s="23">
        <f t="shared" si="4"/>
        <v>0</v>
      </c>
      <c r="F58" s="23">
        <f t="shared" si="4"/>
        <v>0</v>
      </c>
      <c r="G58" s="23">
        <f t="shared" si="4"/>
        <v>90.430881640113469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43196.032829080003</v>
      </c>
      <c r="D10" s="1012">
        <f ca="1">tertiair!C16</f>
        <v>0</v>
      </c>
      <c r="E10" s="1012">
        <f ca="1">tertiair!D16</f>
        <v>58836.431848535001</v>
      </c>
      <c r="F10" s="1012">
        <f>tertiair!E16</f>
        <v>921.92186326815897</v>
      </c>
      <c r="G10" s="1012">
        <f ca="1">tertiair!F16</f>
        <v>12237.37872130217</v>
      </c>
      <c r="H10" s="1012">
        <f>tertiair!G16</f>
        <v>0</v>
      </c>
      <c r="I10" s="1012">
        <f>tertiair!H16</f>
        <v>0</v>
      </c>
      <c r="J10" s="1012">
        <f>tertiair!I16</f>
        <v>0</v>
      </c>
      <c r="K10" s="1012">
        <f>tertiair!J16</f>
        <v>0</v>
      </c>
      <c r="L10" s="1012">
        <f>tertiair!K16</f>
        <v>0</v>
      </c>
      <c r="M10" s="1012">
        <f ca="1">tertiair!L16</f>
        <v>0</v>
      </c>
      <c r="N10" s="1012">
        <f>tertiair!M16</f>
        <v>0</v>
      </c>
      <c r="O10" s="1012">
        <f ca="1">tertiair!N16</f>
        <v>4852.5284168778117</v>
      </c>
      <c r="P10" s="1012">
        <f>tertiair!O16</f>
        <v>3.1266666666666669</v>
      </c>
      <c r="Q10" s="1013">
        <f>tertiair!P16</f>
        <v>38.133333333333333</v>
      </c>
      <c r="R10" s="700">
        <f ca="1">SUM(C10:Q10)</f>
        <v>120085.55367906314</v>
      </c>
      <c r="S10" s="67"/>
    </row>
    <row r="11" spans="1:19" s="473" customFormat="1">
      <c r="A11" s="809" t="s">
        <v>225</v>
      </c>
      <c r="B11" s="814"/>
      <c r="C11" s="1012">
        <f>huishoudens!B8</f>
        <v>36769.533447600312</v>
      </c>
      <c r="D11" s="1012">
        <f>huishoudens!C8</f>
        <v>0</v>
      </c>
      <c r="E11" s="1012">
        <f>huishoudens!D8</f>
        <v>93088.674880080012</v>
      </c>
      <c r="F11" s="1012">
        <f>huishoudens!E8</f>
        <v>146.07385865787026</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505.04621838316217</v>
      </c>
      <c r="P11" s="1012">
        <f>huishoudens!O8</f>
        <v>170.40333333333334</v>
      </c>
      <c r="Q11" s="1013">
        <f>huishoudens!P8</f>
        <v>95.333333333333343</v>
      </c>
      <c r="R11" s="700">
        <f>SUM(C11:Q11)</f>
        <v>130775.06507138802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1864.451571135</v>
      </c>
      <c r="D13" s="1012">
        <f>industrie!C18</f>
        <v>0</v>
      </c>
      <c r="E13" s="1012">
        <f>industrie!D18</f>
        <v>2038.14340245318</v>
      </c>
      <c r="F13" s="1012">
        <f>industrie!E18</f>
        <v>262.60242307841952</v>
      </c>
      <c r="G13" s="1012">
        <f>industrie!F18</f>
        <v>1023.2481832129887</v>
      </c>
      <c r="H13" s="1012">
        <f>industrie!G18</f>
        <v>0</v>
      </c>
      <c r="I13" s="1012">
        <f>industrie!H18</f>
        <v>0</v>
      </c>
      <c r="J13" s="1012">
        <f>industrie!I18</f>
        <v>0</v>
      </c>
      <c r="K13" s="1012">
        <f>industrie!J18</f>
        <v>4.790502784076196</v>
      </c>
      <c r="L13" s="1012">
        <f>industrie!K18</f>
        <v>0</v>
      </c>
      <c r="M13" s="1012">
        <f>industrie!L18</f>
        <v>0</v>
      </c>
      <c r="N13" s="1012">
        <f>industrie!M18</f>
        <v>0</v>
      </c>
      <c r="O13" s="1012">
        <f>industrie!N18</f>
        <v>621.04500714761286</v>
      </c>
      <c r="P13" s="1012">
        <f>industrie!O18</f>
        <v>0</v>
      </c>
      <c r="Q13" s="1013">
        <f>industrie!P18</f>
        <v>0</v>
      </c>
      <c r="R13" s="700">
        <f>SUM(C13:Q13)</f>
        <v>5814.2810898112766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81830.01784781531</v>
      </c>
      <c r="D16" s="732">
        <f t="shared" ref="D16:R16" ca="1" si="0">SUM(D9:D15)</f>
        <v>0</v>
      </c>
      <c r="E16" s="732">
        <f t="shared" ca="1" si="0"/>
        <v>153963.2501310682</v>
      </c>
      <c r="F16" s="732">
        <f t="shared" si="0"/>
        <v>1330.5981450044487</v>
      </c>
      <c r="G16" s="732">
        <f t="shared" ca="1" si="0"/>
        <v>13260.626904515158</v>
      </c>
      <c r="H16" s="732">
        <f t="shared" si="0"/>
        <v>0</v>
      </c>
      <c r="I16" s="732">
        <f t="shared" si="0"/>
        <v>0</v>
      </c>
      <c r="J16" s="732">
        <f t="shared" si="0"/>
        <v>0</v>
      </c>
      <c r="K16" s="732">
        <f t="shared" si="0"/>
        <v>4.790502784076196</v>
      </c>
      <c r="L16" s="732">
        <f t="shared" si="0"/>
        <v>0</v>
      </c>
      <c r="M16" s="732">
        <f t="shared" ca="1" si="0"/>
        <v>0</v>
      </c>
      <c r="N16" s="732">
        <f t="shared" si="0"/>
        <v>0</v>
      </c>
      <c r="O16" s="732">
        <f t="shared" ca="1" si="0"/>
        <v>5978.6196424085865</v>
      </c>
      <c r="P16" s="732">
        <f t="shared" si="0"/>
        <v>173.53</v>
      </c>
      <c r="Q16" s="732">
        <f t="shared" si="0"/>
        <v>133.46666666666667</v>
      </c>
      <c r="R16" s="732">
        <f t="shared" ca="1" si="0"/>
        <v>256674.89984026243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817.07670679169632</v>
      </c>
      <c r="D19" s="1012">
        <f>transport!C54</f>
        <v>0</v>
      </c>
      <c r="E19" s="1012">
        <f>transport!D54</f>
        <v>0</v>
      </c>
      <c r="F19" s="1012">
        <f>transport!E54</f>
        <v>0</v>
      </c>
      <c r="G19" s="1012">
        <f>transport!F54</f>
        <v>0</v>
      </c>
      <c r="H19" s="1012">
        <f>transport!G54</f>
        <v>338.69244059967588</v>
      </c>
      <c r="I19" s="1012">
        <f>transport!H54</f>
        <v>0</v>
      </c>
      <c r="J19" s="1012">
        <f>transport!I54</f>
        <v>0</v>
      </c>
      <c r="K19" s="1012">
        <f>transport!J54</f>
        <v>0</v>
      </c>
      <c r="L19" s="1012">
        <f>transport!K54</f>
        <v>0</v>
      </c>
      <c r="M19" s="1012">
        <f>transport!L54</f>
        <v>0</v>
      </c>
      <c r="N19" s="1012">
        <f>transport!M54</f>
        <v>10.505481790740451</v>
      </c>
      <c r="O19" s="1012">
        <f>transport!N54</f>
        <v>0</v>
      </c>
      <c r="P19" s="1012">
        <f>transport!O54</f>
        <v>0</v>
      </c>
      <c r="Q19" s="1013">
        <f>transport!P54</f>
        <v>0</v>
      </c>
      <c r="R19" s="700">
        <f>SUM(C19:Q19)</f>
        <v>1166.2746291821127</v>
      </c>
      <c r="S19" s="67"/>
    </row>
    <row r="20" spans="1:19" s="473" customFormat="1">
      <c r="A20" s="809" t="s">
        <v>307</v>
      </c>
      <c r="B20" s="814"/>
      <c r="C20" s="1012">
        <f>transport!B14</f>
        <v>7.9699187619143128</v>
      </c>
      <c r="D20" s="1012">
        <f>transport!C14</f>
        <v>0</v>
      </c>
      <c r="E20" s="1012">
        <f>transport!D14</f>
        <v>17.285797914258278</v>
      </c>
      <c r="F20" s="1012">
        <f>transport!E14</f>
        <v>67.04056509237158</v>
      </c>
      <c r="G20" s="1012">
        <f>transport!F14</f>
        <v>0</v>
      </c>
      <c r="H20" s="1012">
        <f>transport!G14</f>
        <v>24627.481958404813</v>
      </c>
      <c r="I20" s="1012">
        <f>transport!H14</f>
        <v>4655.2616941171118</v>
      </c>
      <c r="J20" s="1012">
        <f>transport!I14</f>
        <v>0</v>
      </c>
      <c r="K20" s="1012">
        <f>transport!J14</f>
        <v>0</v>
      </c>
      <c r="L20" s="1012">
        <f>transport!K14</f>
        <v>0</v>
      </c>
      <c r="M20" s="1012">
        <f>transport!L14</f>
        <v>0</v>
      </c>
      <c r="N20" s="1012">
        <f>transport!M14</f>
        <v>915.36197143618313</v>
      </c>
      <c r="O20" s="1012">
        <f>transport!N14</f>
        <v>0</v>
      </c>
      <c r="P20" s="1012">
        <f>transport!O14</f>
        <v>0</v>
      </c>
      <c r="Q20" s="1013">
        <f>transport!P14</f>
        <v>0</v>
      </c>
      <c r="R20" s="700">
        <f>SUM(C20:Q20)</f>
        <v>30290.401905726652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825.04662555361062</v>
      </c>
      <c r="D22" s="812">
        <f t="shared" ref="D22:R22" si="1">SUM(D18:D21)</f>
        <v>0</v>
      </c>
      <c r="E22" s="812">
        <f t="shared" si="1"/>
        <v>17.285797914258278</v>
      </c>
      <c r="F22" s="812">
        <f t="shared" si="1"/>
        <v>67.04056509237158</v>
      </c>
      <c r="G22" s="812">
        <f t="shared" si="1"/>
        <v>0</v>
      </c>
      <c r="H22" s="812">
        <f t="shared" si="1"/>
        <v>24966.174399004489</v>
      </c>
      <c r="I22" s="812">
        <f t="shared" si="1"/>
        <v>4655.2616941171118</v>
      </c>
      <c r="J22" s="812">
        <f t="shared" si="1"/>
        <v>0</v>
      </c>
      <c r="K22" s="812">
        <f t="shared" si="1"/>
        <v>0</v>
      </c>
      <c r="L22" s="812">
        <f t="shared" si="1"/>
        <v>0</v>
      </c>
      <c r="M22" s="812">
        <f t="shared" si="1"/>
        <v>0</v>
      </c>
      <c r="N22" s="812">
        <f t="shared" si="1"/>
        <v>925.86745322692354</v>
      </c>
      <c r="O22" s="812">
        <f t="shared" si="1"/>
        <v>0</v>
      </c>
      <c r="P22" s="812">
        <f t="shared" si="1"/>
        <v>0</v>
      </c>
      <c r="Q22" s="812">
        <f t="shared" si="1"/>
        <v>0</v>
      </c>
      <c r="R22" s="812">
        <f t="shared" si="1"/>
        <v>31456.676534908765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398.66356199699999</v>
      </c>
      <c r="D24" s="1012">
        <f>+landbouw!C8</f>
        <v>0</v>
      </c>
      <c r="E24" s="1012">
        <f>+landbouw!D8</f>
        <v>230.91177144853401</v>
      </c>
      <c r="F24" s="1012">
        <f>+landbouw!E8</f>
        <v>10.280002572795043</v>
      </c>
      <c r="G24" s="1012">
        <f>+landbouw!F8</f>
        <v>1457.1912408863541</v>
      </c>
      <c r="H24" s="1012">
        <f>+landbouw!G8</f>
        <v>0</v>
      </c>
      <c r="I24" s="1012">
        <f>+landbouw!H8</f>
        <v>0</v>
      </c>
      <c r="J24" s="1012">
        <f>+landbouw!I8</f>
        <v>0</v>
      </c>
      <c r="K24" s="1012">
        <f>+landbouw!J8</f>
        <v>57.392887427824881</v>
      </c>
      <c r="L24" s="1012">
        <f>+landbouw!K8</f>
        <v>0</v>
      </c>
      <c r="M24" s="1012">
        <f>+landbouw!L8</f>
        <v>0</v>
      </c>
      <c r="N24" s="1012">
        <f>+landbouw!M8</f>
        <v>0</v>
      </c>
      <c r="O24" s="1012">
        <f>+landbouw!N8</f>
        <v>0</v>
      </c>
      <c r="P24" s="1012">
        <f>+landbouw!O8</f>
        <v>0</v>
      </c>
      <c r="Q24" s="1013">
        <f>+landbouw!P8</f>
        <v>0</v>
      </c>
      <c r="R24" s="700">
        <f>SUM(C24:Q24)</f>
        <v>2154.4394643325081</v>
      </c>
      <c r="S24" s="67"/>
    </row>
    <row r="25" spans="1:19" s="473" customFormat="1" ht="15" thickBot="1">
      <c r="A25" s="831" t="s">
        <v>848</v>
      </c>
      <c r="B25" s="1015"/>
      <c r="C25" s="1016">
        <f>IF(Onbekend_ele_kWh="---",0,Onbekend_ele_kWh)/1000+IF(REST_rest_ele_kWh="---",0,REST_rest_ele_kWh)/1000</f>
        <v>5475.7918726000007</v>
      </c>
      <c r="D25" s="1016"/>
      <c r="E25" s="1016">
        <f>IF(onbekend_gas_kWh="---",0,onbekend_gas_kWh)/1000+IF(REST_rest_gas_kWh="---",0,REST_rest_gas_kWh)/1000</f>
        <v>9818.4290189999992</v>
      </c>
      <c r="F25" s="1016"/>
      <c r="G25" s="1016"/>
      <c r="H25" s="1016"/>
      <c r="I25" s="1016"/>
      <c r="J25" s="1016"/>
      <c r="K25" s="1016"/>
      <c r="L25" s="1016"/>
      <c r="M25" s="1016"/>
      <c r="N25" s="1016"/>
      <c r="O25" s="1016"/>
      <c r="P25" s="1016"/>
      <c r="Q25" s="1017"/>
      <c r="R25" s="700">
        <f>SUM(C25:Q25)</f>
        <v>15294.2208916</v>
      </c>
      <c r="S25" s="67"/>
    </row>
    <row r="26" spans="1:19" s="473" customFormat="1" ht="15.75" thickBot="1">
      <c r="A26" s="705" t="s">
        <v>849</v>
      </c>
      <c r="B26" s="817"/>
      <c r="C26" s="812">
        <f>SUM(C24:C25)</f>
        <v>5874.4554345970009</v>
      </c>
      <c r="D26" s="812">
        <f t="shared" ref="D26:R26" si="2">SUM(D24:D25)</f>
        <v>0</v>
      </c>
      <c r="E26" s="812">
        <f t="shared" si="2"/>
        <v>10049.340790448534</v>
      </c>
      <c r="F26" s="812">
        <f t="shared" si="2"/>
        <v>10.280002572795043</v>
      </c>
      <c r="G26" s="812">
        <f t="shared" si="2"/>
        <v>1457.1912408863541</v>
      </c>
      <c r="H26" s="812">
        <f t="shared" si="2"/>
        <v>0</v>
      </c>
      <c r="I26" s="812">
        <f t="shared" si="2"/>
        <v>0</v>
      </c>
      <c r="J26" s="812">
        <f t="shared" si="2"/>
        <v>0</v>
      </c>
      <c r="K26" s="812">
        <f t="shared" si="2"/>
        <v>57.392887427824881</v>
      </c>
      <c r="L26" s="812">
        <f t="shared" si="2"/>
        <v>0</v>
      </c>
      <c r="M26" s="812">
        <f t="shared" si="2"/>
        <v>0</v>
      </c>
      <c r="N26" s="812">
        <f t="shared" si="2"/>
        <v>0</v>
      </c>
      <c r="O26" s="812">
        <f t="shared" si="2"/>
        <v>0</v>
      </c>
      <c r="P26" s="812">
        <f t="shared" si="2"/>
        <v>0</v>
      </c>
      <c r="Q26" s="812">
        <f t="shared" si="2"/>
        <v>0</v>
      </c>
      <c r="R26" s="812">
        <f t="shared" si="2"/>
        <v>17448.660355932509</v>
      </c>
      <c r="S26" s="67"/>
    </row>
    <row r="27" spans="1:19" s="473" customFormat="1" ht="17.25" thickTop="1" thickBot="1">
      <c r="A27" s="706" t="s">
        <v>116</v>
      </c>
      <c r="B27" s="805"/>
      <c r="C27" s="707">
        <f ca="1">C22+C16+C26</f>
        <v>88529.519907965921</v>
      </c>
      <c r="D27" s="707">
        <f t="shared" ref="D27:R27" ca="1" si="3">D22+D16+D26</f>
        <v>0</v>
      </c>
      <c r="E27" s="707">
        <f t="shared" ca="1" si="3"/>
        <v>164029.87671943099</v>
      </c>
      <c r="F27" s="707">
        <f t="shared" si="3"/>
        <v>1407.9187126696152</v>
      </c>
      <c r="G27" s="707">
        <f t="shared" ca="1" si="3"/>
        <v>14717.818145401512</v>
      </c>
      <c r="H27" s="707">
        <f t="shared" si="3"/>
        <v>24966.174399004489</v>
      </c>
      <c r="I27" s="707">
        <f t="shared" si="3"/>
        <v>4655.2616941171118</v>
      </c>
      <c r="J27" s="707">
        <f t="shared" si="3"/>
        <v>0</v>
      </c>
      <c r="K27" s="707">
        <f t="shared" si="3"/>
        <v>62.183390211901077</v>
      </c>
      <c r="L27" s="707">
        <f t="shared" si="3"/>
        <v>0</v>
      </c>
      <c r="M27" s="707">
        <f t="shared" ca="1" si="3"/>
        <v>0</v>
      </c>
      <c r="N27" s="707">
        <f t="shared" si="3"/>
        <v>925.86745322692354</v>
      </c>
      <c r="O27" s="707">
        <f t="shared" ca="1" si="3"/>
        <v>5978.6196424085865</v>
      </c>
      <c r="P27" s="707">
        <f t="shared" si="3"/>
        <v>173.53</v>
      </c>
      <c r="Q27" s="707">
        <f t="shared" si="3"/>
        <v>133.46666666666667</v>
      </c>
      <c r="R27" s="707">
        <f t="shared" ca="1" si="3"/>
        <v>305580.23673110368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9249.5849122374093</v>
      </c>
      <c r="D40" s="1012">
        <f ca="1">tertiair!C20</f>
        <v>0</v>
      </c>
      <c r="E40" s="1012">
        <f ca="1">tertiair!D20</f>
        <v>11884.959233404072</v>
      </c>
      <c r="F40" s="1012">
        <f>tertiair!E20</f>
        <v>209.27626296187211</v>
      </c>
      <c r="G40" s="1012">
        <f ca="1">tertiair!F20</f>
        <v>3267.3801185876796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24611.200527191035</v>
      </c>
    </row>
    <row r="41" spans="1:18">
      <c r="A41" s="822" t="s">
        <v>225</v>
      </c>
      <c r="B41" s="829"/>
      <c r="C41" s="1012">
        <f ca="1">huishoudens!B12</f>
        <v>7873.4758618382166</v>
      </c>
      <c r="D41" s="1012">
        <f ca="1">huishoudens!C12</f>
        <v>0</v>
      </c>
      <c r="E41" s="1012">
        <f>huishoudens!D12</f>
        <v>18803.912325776164</v>
      </c>
      <c r="F41" s="1012">
        <f>huishoudens!E12</f>
        <v>33.158765915336552</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26710.546953529716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399.23580922824578</v>
      </c>
      <c r="D43" s="1012">
        <f ca="1">industrie!C22</f>
        <v>0</v>
      </c>
      <c r="E43" s="1012">
        <f>industrie!D22</f>
        <v>411.70496729554236</v>
      </c>
      <c r="F43" s="1012">
        <f>industrie!E22</f>
        <v>59.610750038801235</v>
      </c>
      <c r="G43" s="1012">
        <f>industrie!F22</f>
        <v>273.20726491786797</v>
      </c>
      <c r="H43" s="1012">
        <f>industrie!G22</f>
        <v>0</v>
      </c>
      <c r="I43" s="1012">
        <f>industrie!H22</f>
        <v>0</v>
      </c>
      <c r="J43" s="1012">
        <f>industrie!I22</f>
        <v>0</v>
      </c>
      <c r="K43" s="1012">
        <f>industrie!J22</f>
        <v>1.6958379855629733</v>
      </c>
      <c r="L43" s="1012">
        <f>industrie!K22</f>
        <v>0</v>
      </c>
      <c r="M43" s="1012">
        <f>industrie!L22</f>
        <v>0</v>
      </c>
      <c r="N43" s="1012">
        <f>industrie!M22</f>
        <v>0</v>
      </c>
      <c r="O43" s="1012">
        <f>industrie!N22</f>
        <v>0</v>
      </c>
      <c r="P43" s="1012">
        <f>industrie!O22</f>
        <v>0</v>
      </c>
      <c r="Q43" s="774">
        <f>industrie!P22</f>
        <v>0</v>
      </c>
      <c r="R43" s="849">
        <f t="shared" ca="1" si="4"/>
        <v>1145.4546294660204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17522.296583303869</v>
      </c>
      <c r="D46" s="732">
        <f t="shared" ref="D46:Q46" ca="1" si="5">SUM(D39:D45)</f>
        <v>0</v>
      </c>
      <c r="E46" s="732">
        <f t="shared" ca="1" si="5"/>
        <v>31100.576526475779</v>
      </c>
      <c r="F46" s="732">
        <f t="shared" si="5"/>
        <v>302.04577891600991</v>
      </c>
      <c r="G46" s="732">
        <f t="shared" ca="1" si="5"/>
        <v>3540.5873835055477</v>
      </c>
      <c r="H46" s="732">
        <f t="shared" si="5"/>
        <v>0</v>
      </c>
      <c r="I46" s="732">
        <f t="shared" si="5"/>
        <v>0</v>
      </c>
      <c r="J46" s="732">
        <f t="shared" si="5"/>
        <v>0</v>
      </c>
      <c r="K46" s="732">
        <f t="shared" si="5"/>
        <v>1.6958379855629733</v>
      </c>
      <c r="L46" s="732">
        <f t="shared" si="5"/>
        <v>0</v>
      </c>
      <c r="M46" s="732">
        <f t="shared" ca="1" si="5"/>
        <v>0</v>
      </c>
      <c r="N46" s="732">
        <f t="shared" si="5"/>
        <v>0</v>
      </c>
      <c r="O46" s="732">
        <f t="shared" ca="1" si="5"/>
        <v>0</v>
      </c>
      <c r="P46" s="732">
        <f t="shared" si="5"/>
        <v>0</v>
      </c>
      <c r="Q46" s="732">
        <f t="shared" si="5"/>
        <v>0</v>
      </c>
      <c r="R46" s="732">
        <f ca="1">SUM(R39:R45)</f>
        <v>52467.202110186765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174.96098331958942</v>
      </c>
      <c r="D49" s="1012">
        <f ca="1">transport!C58</f>
        <v>0</v>
      </c>
      <c r="E49" s="1012">
        <f>transport!D58</f>
        <v>0</v>
      </c>
      <c r="F49" s="1012">
        <f>transport!E58</f>
        <v>0</v>
      </c>
      <c r="G49" s="1012">
        <f>transport!F58</f>
        <v>0</v>
      </c>
      <c r="H49" s="1012">
        <f>transport!G58</f>
        <v>90.430881640113469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265.3918649597029</v>
      </c>
    </row>
    <row r="50" spans="1:18">
      <c r="A50" s="825" t="s">
        <v>307</v>
      </c>
      <c r="B50" s="835"/>
      <c r="C50" s="703">
        <f ca="1">transport!B18</f>
        <v>1.7066020998653486</v>
      </c>
      <c r="D50" s="703">
        <f>transport!C18</f>
        <v>0</v>
      </c>
      <c r="E50" s="703">
        <f>transport!D18</f>
        <v>3.4917311786801726</v>
      </c>
      <c r="F50" s="703">
        <f>transport!E18</f>
        <v>15.218208275968349</v>
      </c>
      <c r="G50" s="703">
        <f>transport!F18</f>
        <v>0</v>
      </c>
      <c r="H50" s="703">
        <f>transport!G18</f>
        <v>6575.5376828940853</v>
      </c>
      <c r="I50" s="703">
        <f>transport!H18</f>
        <v>1159.1601618351608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7755.1143862837598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176.66758541945475</v>
      </c>
      <c r="D52" s="732">
        <f t="shared" ref="D52:Q52" ca="1" si="6">SUM(D48:D51)</f>
        <v>0</v>
      </c>
      <c r="E52" s="732">
        <f t="shared" si="6"/>
        <v>3.4917311786801726</v>
      </c>
      <c r="F52" s="732">
        <f t="shared" si="6"/>
        <v>15.218208275968349</v>
      </c>
      <c r="G52" s="732">
        <f t="shared" si="6"/>
        <v>0</v>
      </c>
      <c r="H52" s="732">
        <f t="shared" si="6"/>
        <v>6665.9685645341988</v>
      </c>
      <c r="I52" s="732">
        <f t="shared" si="6"/>
        <v>1159.1601618351608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8020.5062512434624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85.365998370661259</v>
      </c>
      <c r="D54" s="703">
        <f ca="1">+landbouw!C12</f>
        <v>0</v>
      </c>
      <c r="E54" s="703">
        <f>+landbouw!D12</f>
        <v>46.644177832603873</v>
      </c>
      <c r="F54" s="703">
        <f>+landbouw!E12</f>
        <v>2.3335605840244749</v>
      </c>
      <c r="G54" s="703">
        <f>+landbouw!F12</f>
        <v>389.07006131665656</v>
      </c>
      <c r="H54" s="703">
        <f>+landbouw!G12</f>
        <v>0</v>
      </c>
      <c r="I54" s="703">
        <f>+landbouw!H12</f>
        <v>0</v>
      </c>
      <c r="J54" s="703">
        <f>+landbouw!I12</f>
        <v>0</v>
      </c>
      <c r="K54" s="703">
        <f>+landbouw!J12</f>
        <v>20.317082149450005</v>
      </c>
      <c r="L54" s="703">
        <f>+landbouw!K12</f>
        <v>0</v>
      </c>
      <c r="M54" s="703">
        <f>+landbouw!L12</f>
        <v>0</v>
      </c>
      <c r="N54" s="703">
        <f>+landbouw!M12</f>
        <v>0</v>
      </c>
      <c r="O54" s="703">
        <f>+landbouw!N12</f>
        <v>0</v>
      </c>
      <c r="P54" s="703">
        <f>+landbouw!O12</f>
        <v>0</v>
      </c>
      <c r="Q54" s="704">
        <f>+landbouw!P12</f>
        <v>0</v>
      </c>
      <c r="R54" s="731">
        <f ca="1">SUM(C54:Q54)</f>
        <v>543.73088025339621</v>
      </c>
    </row>
    <row r="55" spans="1:18" ht="15" thickBot="1">
      <c r="A55" s="825" t="s">
        <v>848</v>
      </c>
      <c r="B55" s="835"/>
      <c r="C55" s="703">
        <f ca="1">C25*'EF ele_warmte'!B12</f>
        <v>1172.5336464985717</v>
      </c>
      <c r="D55" s="703"/>
      <c r="E55" s="703">
        <f>E25*EF_CO2_aardgas</f>
        <v>1983.3226618379999</v>
      </c>
      <c r="F55" s="703"/>
      <c r="G55" s="703"/>
      <c r="H55" s="703"/>
      <c r="I55" s="703"/>
      <c r="J55" s="703"/>
      <c r="K55" s="703"/>
      <c r="L55" s="703"/>
      <c r="M55" s="703"/>
      <c r="N55" s="703"/>
      <c r="O55" s="703"/>
      <c r="P55" s="703"/>
      <c r="Q55" s="704"/>
      <c r="R55" s="731">
        <f ca="1">SUM(C55:Q55)</f>
        <v>3155.8563083365716</v>
      </c>
    </row>
    <row r="56" spans="1:18" ht="15.75" thickBot="1">
      <c r="A56" s="823" t="s">
        <v>849</v>
      </c>
      <c r="B56" s="836"/>
      <c r="C56" s="732">
        <f ca="1">SUM(C54:C55)</f>
        <v>1257.8996448692328</v>
      </c>
      <c r="D56" s="732">
        <f t="shared" ref="D56:Q56" ca="1" si="7">SUM(D54:D55)</f>
        <v>0</v>
      </c>
      <c r="E56" s="732">
        <f t="shared" si="7"/>
        <v>2029.9668396706038</v>
      </c>
      <c r="F56" s="732">
        <f t="shared" si="7"/>
        <v>2.3335605840244749</v>
      </c>
      <c r="G56" s="732">
        <f t="shared" si="7"/>
        <v>389.07006131665656</v>
      </c>
      <c r="H56" s="732">
        <f t="shared" si="7"/>
        <v>0</v>
      </c>
      <c r="I56" s="732">
        <f t="shared" si="7"/>
        <v>0</v>
      </c>
      <c r="J56" s="732">
        <f t="shared" si="7"/>
        <v>0</v>
      </c>
      <c r="K56" s="732">
        <f t="shared" si="7"/>
        <v>20.317082149450005</v>
      </c>
      <c r="L56" s="732">
        <f t="shared" si="7"/>
        <v>0</v>
      </c>
      <c r="M56" s="732">
        <f t="shared" si="7"/>
        <v>0</v>
      </c>
      <c r="N56" s="732">
        <f t="shared" si="7"/>
        <v>0</v>
      </c>
      <c r="O56" s="732">
        <f t="shared" si="7"/>
        <v>0</v>
      </c>
      <c r="P56" s="732">
        <f t="shared" si="7"/>
        <v>0</v>
      </c>
      <c r="Q56" s="733">
        <f t="shared" si="7"/>
        <v>0</v>
      </c>
      <c r="R56" s="734">
        <f ca="1">SUM(R54:R55)</f>
        <v>3699.5871885899678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18956.863813592558</v>
      </c>
      <c r="D61" s="740">
        <f t="shared" ref="D61:Q61" ca="1" si="8">D46+D52+D56</f>
        <v>0</v>
      </c>
      <c r="E61" s="740">
        <f t="shared" ca="1" si="8"/>
        <v>33134.035097325061</v>
      </c>
      <c r="F61" s="740">
        <f t="shared" si="8"/>
        <v>319.59754777600273</v>
      </c>
      <c r="G61" s="740">
        <f t="shared" ca="1" si="8"/>
        <v>3929.6574448222041</v>
      </c>
      <c r="H61" s="740">
        <f t="shared" si="8"/>
        <v>6665.9685645341988</v>
      </c>
      <c r="I61" s="740">
        <f t="shared" si="8"/>
        <v>1159.1601618351608</v>
      </c>
      <c r="J61" s="740">
        <f t="shared" si="8"/>
        <v>0</v>
      </c>
      <c r="K61" s="740">
        <f t="shared" si="8"/>
        <v>22.01292013501298</v>
      </c>
      <c r="L61" s="740">
        <f t="shared" si="8"/>
        <v>0</v>
      </c>
      <c r="M61" s="740">
        <f t="shared" ca="1" si="8"/>
        <v>0</v>
      </c>
      <c r="N61" s="740">
        <f t="shared" si="8"/>
        <v>0</v>
      </c>
      <c r="O61" s="740">
        <f t="shared" ca="1" si="8"/>
        <v>0</v>
      </c>
      <c r="P61" s="740">
        <f t="shared" si="8"/>
        <v>0</v>
      </c>
      <c r="Q61" s="740">
        <f t="shared" si="8"/>
        <v>0</v>
      </c>
      <c r="R61" s="740">
        <f ca="1">R46+R52+R56</f>
        <v>64187.295550020193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0.21413042602399576</v>
      </c>
      <c r="D63" s="781">
        <f t="shared" ca="1" si="9"/>
        <v>0</v>
      </c>
      <c r="E63" s="1023">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2751.8555930674829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2751.8555930674829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2751.8555930674829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2751.8555930674829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36769.533447600312</v>
      </c>
      <c r="C4" s="477">
        <f>huishoudens!C8</f>
        <v>0</v>
      </c>
      <c r="D4" s="477">
        <f>huishoudens!D8</f>
        <v>93088.674880080012</v>
      </c>
      <c r="E4" s="477">
        <f>huishoudens!E8</f>
        <v>146.07385865787026</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505.04621838316217</v>
      </c>
      <c r="O4" s="477">
        <f>huishoudens!O8</f>
        <v>170.40333333333334</v>
      </c>
      <c r="P4" s="478">
        <f>huishoudens!P8</f>
        <v>95.333333333333343</v>
      </c>
      <c r="Q4" s="479">
        <f>SUM(B4:P4)</f>
        <v>130775.06507138802</v>
      </c>
    </row>
    <row r="5" spans="1:17">
      <c r="A5" s="476" t="s">
        <v>156</v>
      </c>
      <c r="B5" s="477">
        <f ca="1">tertiair!B16</f>
        <v>41435.855324380005</v>
      </c>
      <c r="C5" s="477">
        <f ca="1">tertiair!C16</f>
        <v>0</v>
      </c>
      <c r="D5" s="477">
        <f ca="1">tertiair!D16</f>
        <v>58836.431848535001</v>
      </c>
      <c r="E5" s="477">
        <f>tertiair!E16</f>
        <v>921.92186326815897</v>
      </c>
      <c r="F5" s="477">
        <f ca="1">tertiair!F16</f>
        <v>12237.37872130217</v>
      </c>
      <c r="G5" s="477">
        <f>tertiair!G16</f>
        <v>0</v>
      </c>
      <c r="H5" s="477">
        <f>tertiair!H16</f>
        <v>0</v>
      </c>
      <c r="I5" s="477">
        <f>tertiair!I16</f>
        <v>0</v>
      </c>
      <c r="J5" s="477">
        <f>tertiair!J16</f>
        <v>0</v>
      </c>
      <c r="K5" s="477">
        <f>tertiair!K16</f>
        <v>0</v>
      </c>
      <c r="L5" s="477">
        <f ca="1">tertiair!L16</f>
        <v>0</v>
      </c>
      <c r="M5" s="477">
        <f>tertiair!M16</f>
        <v>0</v>
      </c>
      <c r="N5" s="477">
        <f ca="1">tertiair!N16</f>
        <v>4852.5284168778117</v>
      </c>
      <c r="O5" s="477">
        <f>tertiair!O16</f>
        <v>3.1266666666666669</v>
      </c>
      <c r="P5" s="478">
        <f>tertiair!P16</f>
        <v>38.133333333333333</v>
      </c>
      <c r="Q5" s="476">
        <f t="shared" ref="Q5:Q14" ca="1" si="0">SUM(B5:P5)</f>
        <v>118325.37617436315</v>
      </c>
    </row>
    <row r="6" spans="1:17">
      <c r="A6" s="476" t="s">
        <v>194</v>
      </c>
      <c r="B6" s="477">
        <f>'openbare verlichting'!B8</f>
        <v>1760.1775046999999</v>
      </c>
      <c r="C6" s="477"/>
      <c r="D6" s="477"/>
      <c r="E6" s="477"/>
      <c r="F6" s="477"/>
      <c r="G6" s="477"/>
      <c r="H6" s="477"/>
      <c r="I6" s="477"/>
      <c r="J6" s="477"/>
      <c r="K6" s="477"/>
      <c r="L6" s="477"/>
      <c r="M6" s="477"/>
      <c r="N6" s="477"/>
      <c r="O6" s="477"/>
      <c r="P6" s="478"/>
      <c r="Q6" s="476">
        <f t="shared" si="0"/>
        <v>1760.1775046999999</v>
      </c>
    </row>
    <row r="7" spans="1:17">
      <c r="A7" s="476" t="s">
        <v>112</v>
      </c>
      <c r="B7" s="477">
        <f>landbouw!B8</f>
        <v>398.66356199699999</v>
      </c>
      <c r="C7" s="477">
        <f>landbouw!C8</f>
        <v>0</v>
      </c>
      <c r="D7" s="477">
        <f>landbouw!D8</f>
        <v>230.91177144853401</v>
      </c>
      <c r="E7" s="477">
        <f>landbouw!E8</f>
        <v>10.280002572795043</v>
      </c>
      <c r="F7" s="477">
        <f>landbouw!F8</f>
        <v>1457.1912408863541</v>
      </c>
      <c r="G7" s="477">
        <f>landbouw!G8</f>
        <v>0</v>
      </c>
      <c r="H7" s="477">
        <f>landbouw!H8</f>
        <v>0</v>
      </c>
      <c r="I7" s="477">
        <f>landbouw!I8</f>
        <v>0</v>
      </c>
      <c r="J7" s="477">
        <f>landbouw!J8</f>
        <v>57.392887427824881</v>
      </c>
      <c r="K7" s="477">
        <f>landbouw!K8</f>
        <v>0</v>
      </c>
      <c r="L7" s="477">
        <f>landbouw!L8</f>
        <v>0</v>
      </c>
      <c r="M7" s="477">
        <f>landbouw!M8</f>
        <v>0</v>
      </c>
      <c r="N7" s="477">
        <f>landbouw!N8</f>
        <v>0</v>
      </c>
      <c r="O7" s="477">
        <f>landbouw!O8</f>
        <v>0</v>
      </c>
      <c r="P7" s="478">
        <f>landbouw!P8</f>
        <v>0</v>
      </c>
      <c r="Q7" s="476">
        <f t="shared" si="0"/>
        <v>2154.4394643325081</v>
      </c>
    </row>
    <row r="8" spans="1:17">
      <c r="A8" s="476" t="s">
        <v>638</v>
      </c>
      <c r="B8" s="477">
        <f>industrie!B18</f>
        <v>1864.451571135</v>
      </c>
      <c r="C8" s="477">
        <f>industrie!C18</f>
        <v>0</v>
      </c>
      <c r="D8" s="477">
        <f>industrie!D18</f>
        <v>2038.14340245318</v>
      </c>
      <c r="E8" s="477">
        <f>industrie!E18</f>
        <v>262.60242307841952</v>
      </c>
      <c r="F8" s="477">
        <f>industrie!F18</f>
        <v>1023.2481832129887</v>
      </c>
      <c r="G8" s="477">
        <f>industrie!G18</f>
        <v>0</v>
      </c>
      <c r="H8" s="477">
        <f>industrie!H18</f>
        <v>0</v>
      </c>
      <c r="I8" s="477">
        <f>industrie!I18</f>
        <v>0</v>
      </c>
      <c r="J8" s="477">
        <f>industrie!J18</f>
        <v>4.790502784076196</v>
      </c>
      <c r="K8" s="477">
        <f>industrie!K18</f>
        <v>0</v>
      </c>
      <c r="L8" s="477">
        <f>industrie!L18</f>
        <v>0</v>
      </c>
      <c r="M8" s="477">
        <f>industrie!M18</f>
        <v>0</v>
      </c>
      <c r="N8" s="477">
        <f>industrie!N18</f>
        <v>621.04500714761286</v>
      </c>
      <c r="O8" s="477">
        <f>industrie!O18</f>
        <v>0</v>
      </c>
      <c r="P8" s="478">
        <f>industrie!P18</f>
        <v>0</v>
      </c>
      <c r="Q8" s="476">
        <f t="shared" si="0"/>
        <v>5814.2810898112766</v>
      </c>
    </row>
    <row r="9" spans="1:17" s="482" customFormat="1">
      <c r="A9" s="480" t="s">
        <v>564</v>
      </c>
      <c r="B9" s="481">
        <f>transport!B14</f>
        <v>7.9699187619143128</v>
      </c>
      <c r="C9" s="481">
        <f>transport!C14</f>
        <v>0</v>
      </c>
      <c r="D9" s="481">
        <f>transport!D14</f>
        <v>17.285797914258278</v>
      </c>
      <c r="E9" s="481">
        <f>transport!E14</f>
        <v>67.04056509237158</v>
      </c>
      <c r="F9" s="481">
        <f>transport!F14</f>
        <v>0</v>
      </c>
      <c r="G9" s="481">
        <f>transport!G14</f>
        <v>24627.481958404813</v>
      </c>
      <c r="H9" s="481">
        <f>transport!H14</f>
        <v>4655.2616941171118</v>
      </c>
      <c r="I9" s="481">
        <f>transport!I14</f>
        <v>0</v>
      </c>
      <c r="J9" s="481">
        <f>transport!J14</f>
        <v>0</v>
      </c>
      <c r="K9" s="481">
        <f>transport!K14</f>
        <v>0</v>
      </c>
      <c r="L9" s="481">
        <f>transport!L14</f>
        <v>0</v>
      </c>
      <c r="M9" s="481">
        <f>transport!M14</f>
        <v>915.36197143618313</v>
      </c>
      <c r="N9" s="481">
        <f>transport!N14</f>
        <v>0</v>
      </c>
      <c r="O9" s="481">
        <f>transport!O14</f>
        <v>0</v>
      </c>
      <c r="P9" s="481">
        <f>transport!P14</f>
        <v>0</v>
      </c>
      <c r="Q9" s="480">
        <f>SUM(B9:P9)</f>
        <v>30290.401905726652</v>
      </c>
    </row>
    <row r="10" spans="1:17">
      <c r="A10" s="476" t="s">
        <v>554</v>
      </c>
      <c r="B10" s="477">
        <f>transport!B54</f>
        <v>817.07670679169632</v>
      </c>
      <c r="C10" s="477">
        <f>transport!C54</f>
        <v>0</v>
      </c>
      <c r="D10" s="477">
        <f>transport!D54</f>
        <v>0</v>
      </c>
      <c r="E10" s="477">
        <f>transport!E54</f>
        <v>0</v>
      </c>
      <c r="F10" s="477">
        <f>transport!F54</f>
        <v>0</v>
      </c>
      <c r="G10" s="477">
        <f>transport!G54</f>
        <v>338.69244059967588</v>
      </c>
      <c r="H10" s="477">
        <f>transport!H54</f>
        <v>0</v>
      </c>
      <c r="I10" s="477">
        <f>transport!I54</f>
        <v>0</v>
      </c>
      <c r="J10" s="477">
        <f>transport!J54</f>
        <v>0</v>
      </c>
      <c r="K10" s="477">
        <f>transport!K54</f>
        <v>0</v>
      </c>
      <c r="L10" s="477">
        <f>transport!L54</f>
        <v>0</v>
      </c>
      <c r="M10" s="477">
        <f>transport!M54</f>
        <v>10.505481790740451</v>
      </c>
      <c r="N10" s="477">
        <f>transport!N54</f>
        <v>0</v>
      </c>
      <c r="O10" s="477">
        <f>transport!O54</f>
        <v>0</v>
      </c>
      <c r="P10" s="478">
        <f>transport!P54</f>
        <v>0</v>
      </c>
      <c r="Q10" s="476">
        <f t="shared" si="0"/>
        <v>1166.2746291821127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5475.7918726000007</v>
      </c>
      <c r="C14" s="484"/>
      <c r="D14" s="484">
        <f>'SEAP template'!E25</f>
        <v>9818.4290189999992</v>
      </c>
      <c r="E14" s="484"/>
      <c r="F14" s="484"/>
      <c r="G14" s="484"/>
      <c r="H14" s="484"/>
      <c r="I14" s="484"/>
      <c r="J14" s="484"/>
      <c r="K14" s="484"/>
      <c r="L14" s="484"/>
      <c r="M14" s="484"/>
      <c r="N14" s="484"/>
      <c r="O14" s="484"/>
      <c r="P14" s="485"/>
      <c r="Q14" s="476">
        <f t="shared" si="0"/>
        <v>15294.2208916</v>
      </c>
    </row>
    <row r="15" spans="1:17" s="486" customFormat="1">
      <c r="A15" s="1038" t="s">
        <v>558</v>
      </c>
      <c r="B15" s="978">
        <f ca="1">SUM(B4:B14)</f>
        <v>88529.519907965921</v>
      </c>
      <c r="C15" s="978">
        <f t="shared" ref="C15:Q15" ca="1" si="1">SUM(C4:C14)</f>
        <v>0</v>
      </c>
      <c r="D15" s="978">
        <f t="shared" ca="1" si="1"/>
        <v>164029.87671943099</v>
      </c>
      <c r="E15" s="978">
        <f t="shared" si="1"/>
        <v>1407.9187126696154</v>
      </c>
      <c r="F15" s="978">
        <f t="shared" ca="1" si="1"/>
        <v>14717.818145401512</v>
      </c>
      <c r="G15" s="978">
        <f t="shared" si="1"/>
        <v>24966.174399004489</v>
      </c>
      <c r="H15" s="978">
        <f t="shared" si="1"/>
        <v>4655.2616941171118</v>
      </c>
      <c r="I15" s="978">
        <f t="shared" si="1"/>
        <v>0</v>
      </c>
      <c r="J15" s="978">
        <f t="shared" si="1"/>
        <v>62.183390211901077</v>
      </c>
      <c r="K15" s="978">
        <f t="shared" si="1"/>
        <v>0</v>
      </c>
      <c r="L15" s="978">
        <f t="shared" ca="1" si="1"/>
        <v>0</v>
      </c>
      <c r="M15" s="978">
        <f t="shared" si="1"/>
        <v>925.86745322692354</v>
      </c>
      <c r="N15" s="978">
        <f t="shared" ca="1" si="1"/>
        <v>5978.6196424085865</v>
      </c>
      <c r="O15" s="978">
        <f t="shared" si="1"/>
        <v>173.53</v>
      </c>
      <c r="P15" s="978">
        <f t="shared" si="1"/>
        <v>133.46666666666667</v>
      </c>
      <c r="Q15" s="978">
        <f t="shared" ca="1" si="1"/>
        <v>305580.23673110374</v>
      </c>
    </row>
    <row r="17" spans="1:17">
      <c r="A17" s="487" t="s">
        <v>559</v>
      </c>
      <c r="B17" s="786">
        <f ca="1">huishoudens!B10</f>
        <v>0.21413042602399576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7873.4758618382166</v>
      </c>
      <c r="C22" s="477">
        <f t="shared" ref="C22:C32" ca="1" si="3">C4*$C$17</f>
        <v>0</v>
      </c>
      <c r="D22" s="477">
        <f t="shared" ref="D22:D32" si="4">D4*$D$17</f>
        <v>18803.912325776164</v>
      </c>
      <c r="E22" s="477">
        <f t="shared" ref="E22:E32" si="5">E4*$E$17</f>
        <v>33.158765915336552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26710.546953529716</v>
      </c>
    </row>
    <row r="23" spans="1:17">
      <c r="A23" s="476" t="s">
        <v>156</v>
      </c>
      <c r="B23" s="477">
        <f t="shared" ca="1" si="2"/>
        <v>8872.6773532781444</v>
      </c>
      <c r="C23" s="477">
        <f t="shared" ca="1" si="3"/>
        <v>0</v>
      </c>
      <c r="D23" s="477">
        <f t="shared" ca="1" si="4"/>
        <v>11884.959233404072</v>
      </c>
      <c r="E23" s="477">
        <f t="shared" si="5"/>
        <v>209.27626296187211</v>
      </c>
      <c r="F23" s="477">
        <f t="shared" ca="1" si="6"/>
        <v>3267.3801185876796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24234.29296823177</v>
      </c>
    </row>
    <row r="24" spans="1:17">
      <c r="A24" s="476" t="s">
        <v>194</v>
      </c>
      <c r="B24" s="477">
        <f t="shared" ca="1" si="2"/>
        <v>376.9075589592648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376.9075589592648</v>
      </c>
    </row>
    <row r="25" spans="1:17">
      <c r="A25" s="476" t="s">
        <v>112</v>
      </c>
      <c r="B25" s="477">
        <f t="shared" ca="1" si="2"/>
        <v>85.365998370661259</v>
      </c>
      <c r="C25" s="477">
        <f t="shared" ca="1" si="3"/>
        <v>0</v>
      </c>
      <c r="D25" s="477">
        <f t="shared" si="4"/>
        <v>46.644177832603873</v>
      </c>
      <c r="E25" s="477">
        <f t="shared" si="5"/>
        <v>2.3335605840244749</v>
      </c>
      <c r="F25" s="477">
        <f t="shared" si="6"/>
        <v>389.07006131665656</v>
      </c>
      <c r="G25" s="477">
        <f t="shared" si="7"/>
        <v>0</v>
      </c>
      <c r="H25" s="477">
        <f t="shared" si="8"/>
        <v>0</v>
      </c>
      <c r="I25" s="477">
        <f t="shared" si="9"/>
        <v>0</v>
      </c>
      <c r="J25" s="477">
        <f t="shared" si="10"/>
        <v>20.317082149450005</v>
      </c>
      <c r="K25" s="477">
        <f t="shared" si="11"/>
        <v>0</v>
      </c>
      <c r="L25" s="477">
        <f t="shared" si="12"/>
        <v>0</v>
      </c>
      <c r="M25" s="477">
        <f t="shared" si="13"/>
        <v>0</v>
      </c>
      <c r="N25" s="477">
        <f t="shared" si="14"/>
        <v>0</v>
      </c>
      <c r="O25" s="477">
        <f t="shared" si="15"/>
        <v>0</v>
      </c>
      <c r="P25" s="478">
        <f t="shared" si="16"/>
        <v>0</v>
      </c>
      <c r="Q25" s="476">
        <f t="shared" ca="1" si="17"/>
        <v>543.73088025339621</v>
      </c>
    </row>
    <row r="26" spans="1:17">
      <c r="A26" s="476" t="s">
        <v>638</v>
      </c>
      <c r="B26" s="477">
        <f t="shared" ca="1" si="2"/>
        <v>399.23580922824578</v>
      </c>
      <c r="C26" s="477">
        <f t="shared" ca="1" si="3"/>
        <v>0</v>
      </c>
      <c r="D26" s="477">
        <f t="shared" si="4"/>
        <v>411.70496729554236</v>
      </c>
      <c r="E26" s="477">
        <f t="shared" si="5"/>
        <v>59.610750038801235</v>
      </c>
      <c r="F26" s="477">
        <f t="shared" si="6"/>
        <v>273.20726491786797</v>
      </c>
      <c r="G26" s="477">
        <f t="shared" si="7"/>
        <v>0</v>
      </c>
      <c r="H26" s="477">
        <f t="shared" si="8"/>
        <v>0</v>
      </c>
      <c r="I26" s="477">
        <f t="shared" si="9"/>
        <v>0</v>
      </c>
      <c r="J26" s="477">
        <f t="shared" si="10"/>
        <v>1.6958379855629733</v>
      </c>
      <c r="K26" s="477">
        <f t="shared" si="11"/>
        <v>0</v>
      </c>
      <c r="L26" s="477">
        <f t="shared" si="12"/>
        <v>0</v>
      </c>
      <c r="M26" s="477">
        <f t="shared" si="13"/>
        <v>0</v>
      </c>
      <c r="N26" s="477">
        <f t="shared" si="14"/>
        <v>0</v>
      </c>
      <c r="O26" s="477">
        <f t="shared" si="15"/>
        <v>0</v>
      </c>
      <c r="P26" s="478">
        <f t="shared" si="16"/>
        <v>0</v>
      </c>
      <c r="Q26" s="476">
        <f t="shared" ca="1" si="17"/>
        <v>1145.4546294660204</v>
      </c>
    </row>
    <row r="27" spans="1:17" s="482" customFormat="1">
      <c r="A27" s="480" t="s">
        <v>564</v>
      </c>
      <c r="B27" s="780">
        <f t="shared" ca="1" si="2"/>
        <v>1.7066020998653486</v>
      </c>
      <c r="C27" s="481">
        <f t="shared" ca="1" si="3"/>
        <v>0</v>
      </c>
      <c r="D27" s="481">
        <f t="shared" si="4"/>
        <v>3.4917311786801726</v>
      </c>
      <c r="E27" s="481">
        <f t="shared" si="5"/>
        <v>15.218208275968349</v>
      </c>
      <c r="F27" s="481">
        <f t="shared" si="6"/>
        <v>0</v>
      </c>
      <c r="G27" s="481">
        <f t="shared" si="7"/>
        <v>6575.5376828940853</v>
      </c>
      <c r="H27" s="481">
        <f t="shared" si="8"/>
        <v>1159.1601618351608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7755.1143862837598</v>
      </c>
    </row>
    <row r="28" spans="1:17">
      <c r="A28" s="476" t="s">
        <v>554</v>
      </c>
      <c r="B28" s="477">
        <f t="shared" ca="1" si="2"/>
        <v>174.96098331958942</v>
      </c>
      <c r="C28" s="477">
        <f t="shared" ca="1" si="3"/>
        <v>0</v>
      </c>
      <c r="D28" s="477">
        <f t="shared" si="4"/>
        <v>0</v>
      </c>
      <c r="E28" s="477">
        <f t="shared" si="5"/>
        <v>0</v>
      </c>
      <c r="F28" s="477">
        <f t="shared" si="6"/>
        <v>0</v>
      </c>
      <c r="G28" s="477">
        <f t="shared" si="7"/>
        <v>90.430881640113469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265.3918649597029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1172.5336464985717</v>
      </c>
      <c r="C32" s="477">
        <f t="shared" ca="1" si="3"/>
        <v>0</v>
      </c>
      <c r="D32" s="477">
        <f t="shared" si="4"/>
        <v>1983.3226618379999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3155.8563083365716</v>
      </c>
    </row>
    <row r="33" spans="1:17" s="486" customFormat="1">
      <c r="A33" s="1038" t="s">
        <v>558</v>
      </c>
      <c r="B33" s="978">
        <f ca="1">SUM(B22:B32)</f>
        <v>18956.863813592558</v>
      </c>
      <c r="C33" s="978">
        <f t="shared" ref="C33:Q33" ca="1" si="18">SUM(C22:C32)</f>
        <v>0</v>
      </c>
      <c r="D33" s="978">
        <f t="shared" ca="1" si="18"/>
        <v>33134.035097325068</v>
      </c>
      <c r="E33" s="978">
        <f t="shared" si="18"/>
        <v>319.59754777600267</v>
      </c>
      <c r="F33" s="978">
        <f t="shared" ca="1" si="18"/>
        <v>3929.6574448222041</v>
      </c>
      <c r="G33" s="978">
        <f t="shared" si="18"/>
        <v>6665.9685645341988</v>
      </c>
      <c r="H33" s="978">
        <f t="shared" si="18"/>
        <v>1159.1601618351608</v>
      </c>
      <c r="I33" s="978">
        <f t="shared" si="18"/>
        <v>0</v>
      </c>
      <c r="J33" s="978">
        <f t="shared" si="18"/>
        <v>22.01292013501298</v>
      </c>
      <c r="K33" s="978">
        <f t="shared" si="18"/>
        <v>0</v>
      </c>
      <c r="L33" s="978">
        <f t="shared" ca="1" si="18"/>
        <v>0</v>
      </c>
      <c r="M33" s="978">
        <f t="shared" si="18"/>
        <v>0</v>
      </c>
      <c r="N33" s="978">
        <f t="shared" ca="1" si="18"/>
        <v>0</v>
      </c>
      <c r="O33" s="978">
        <f t="shared" si="18"/>
        <v>0</v>
      </c>
      <c r="P33" s="978">
        <f t="shared" si="18"/>
        <v>0</v>
      </c>
      <c r="Q33" s="978">
        <f t="shared" ca="1" si="18"/>
        <v>64187.295550020193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2751.8555930674829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2751.8555930674829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0.21413042602399576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0.21413042602399576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2019-08-12T08:24:06Z</dcterms:modified>
</cp:coreProperties>
</file>