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<sst xmlns="http://schemas.openxmlformats.org/spreadsheetml/2006/main" count="2392" uniqueCount="890">
  <si>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</si>
  <si>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</si>
  <si>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</si>
  <si>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</si>
  <si>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</si>
  <si>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</si>
  <si>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</si>
  <si>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</si>
  <si>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</si>
  <si>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</si>
  <si>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</si>
  <si>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</si>
  <si>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</si>
  <si>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</si>
  <si>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</si>
  <si>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</si>
  <si>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</si>
  <si>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</si>
  <si>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</si>
  <si>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</si>
  <si>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</si>
  <si>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</si>
  <si>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</si>
  <si>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</si>
  <si>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</si>
  <si>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</si>
  <si>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</si>
  <si>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</si>
  <si>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</si>
  <si>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</si>
  <si>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</si>
  <si>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</si>
  <si>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</si>
  <si>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</si>
  <si>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</si>
  <si>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</si>
  <si>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</si>
  <si>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</si>
  <si>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</si>
  <si>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</si>
  <si>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</si>
  <si>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</si>
  <si>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</si>
  <si>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</si>
  <si>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</si>
  <si>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</si>
  <si>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</si>
  <si>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</si>
  <si>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</si>
  <si>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</si>
  <si>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</si>
  <si>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</si>
  <si>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</si>
  <si>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</si>
  <si>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</si>
  <si>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</si>
  <si>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</si>
  <si>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</si>
  <si>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</si>
  <si>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</si>
  <si>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</si>
  <si>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</si>
  <si>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</si>
  <si>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</si>
  <si>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</si>
  <si>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</si>
  <si>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</si>
  <si>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</si>
  <si>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</si>
  <si>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</si>
  <si>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</si>
  <si>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</si>
  <si>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</si>
  <si>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</si>
  <si>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</si>
  <si>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</si>
  <si>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</si>
  <si>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</si>
  <si>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</si>
  <si>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</si>
  <si>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</si>
  <si>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</si>
  <si>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</si>
  <si>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</si>
  <si>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</si>
  <si>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</si>
  <si>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</si>
  <si>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</si>
  <si>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</si>
  <si>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</si>
  <si>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</si>
  <si>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</si>
  <si>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</si>
  <si>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</si>
  <si>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</si>
  <si>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</si>
  <si>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</si>
  <si>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</si>
  <si>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</si>
  <si>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</si>
  <si>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</si>
  <si>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</si>
  <si>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</si>
  <si>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</si>
  <si>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</si>
  <si>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</si>
  <si>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</si>
  <si>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</si>
  <si>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</si>
  <si>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</si>
  <si>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</si>
  <si>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</si>
  <si>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</si>
  <si>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</si>
  <si>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</si>
  <si>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</si>
  <si>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</si>
  <si>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</si>
  <si>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</si>
  <si>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</si>
  <si>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</si>
  <si>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</si>
  <si>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</si>
  <si>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</si>
  <si>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</si>
  <si>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</si>
  <si>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</si>
  <si>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</si>
  <si>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</si>
  <si>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</si>
  <si>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</si>
  <si>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</si>
  <si>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</si>
  <si>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</si>
  <si>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</si>
  <si>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</si>
  <si>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</si>
  <si>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</si>
  <si>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</si>
  <si>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</si>
  <si>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</si>
  <si>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</si>
  <si>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</si>
  <si>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</si>
  <si>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</si>
  <si>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</si>
  <si>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</si>
  <si>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</si>
  <si>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</si>
  <si>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</si>
  <si>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</si>
  <si>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</si>
  <si>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</si>
  <si>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</si>
  <si>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</si>
  <si>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</si>
  <si>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</si>
  <si>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</si>
  <si>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</si>
  <si>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</si>
  <si>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</si>
  <si>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</si>
  <si>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</si>
  <si>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</si>
  <si>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</si>
  <si>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</si>
  <si>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</si>
  <si>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</si>
  <si>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</si>
  <si>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</si>
  <si>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</si>
  <si>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</si>
  <si>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</si>
  <si>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</si>
  <si>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</si>
  <si>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</si>
  <si>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</si>
  <si>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</si>
  <si>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</si>
  <si>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</si>
  <si>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</si>
  <si>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</si>
  <si>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</si>
  <si>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</si>
  <si>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</si>
  <si>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</si>
  <si>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</si>
  <si>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</si>
  <si>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</si>
  <si>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</si>
  <si>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</si>
  <si>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</si>
  <si>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</si>
  <si>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</si>
  <si>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</si>
  <si>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</si>
  <si>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</si>
  <si>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</si>
  <si>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</si>
  <si>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</si>
  <si>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</si>
  <si>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</si>
  <si>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</si>
  <si>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</si>
  <si>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</si>
  <si>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</si>
  <si>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</si>
  <si>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</si>
  <si>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</si>
  <si>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</si>
  <si>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</si>
  <si>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</si>
  <si>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</si>
  <si>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</si>
  <si>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</si>
  <si>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</si>
  <si>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</si>
  <si>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</si>
  <si>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</si>
  <si>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</si>
  <si>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</si>
  <si>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</si>
  <si>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</si>
  <si>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</si>
  <si>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</si>
  <si>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</si>
  <si>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</si>
  <si>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</si>
  <si>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</si>
  <si>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</si>
  <si>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</si>
  <si>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</si>
  <si>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</si>
  <si>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</si>
  <si>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</si>
  <si>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</si>
  <si>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</si>
  <si>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</si>
  <si>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</si>
  <si>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</si>
  <si>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</si>
  <si>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</si>
  <si>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</si>
  <si>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</si>
  <si>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</si>
  <si>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</si>
  <si>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</si>
  <si>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</si>
  <si>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</si>
  <si>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</si>
  <si>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</si>
  <si>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</si>
  <si>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</si>
  <si>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</si>
  <si>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</si>
  <si>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</si>
  <si>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</si>
  <si>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</si>
  <si>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</si>
  <si>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</si>
  <si>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</si>
  <si>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</si>
  <si>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</si>
  <si>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</si>
  <si>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</si>
  <si>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</si>
  <si>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</si>
  <si>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</si>
  <si>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</si>
  <si>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</si>
  <si>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</si>
  <si>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</si>
  <si>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</si>
  <si>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</si>
  <si>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</si>
  <si>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</si>
  <si>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</si>
  <si>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</si>
  <si>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</si>
  <si>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</si>
  <si>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</si>
  <si>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</si>
  <si>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</si>
  <si>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</si>
  <si>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</si>
  <si>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</si>
  <si>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</si>
  <si>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</si>
  <si>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</si>
  <si>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</si>
  <si>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</si>
  <si>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</si>
  <si>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</si>
  <si>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</si>
  <si>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</si>
  <si>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</si>
  <si>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</si>
  <si>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</si>
  <si>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</si>
  <si>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</si>
  <si>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</si>
  <si>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</si>
  <si>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</si>
  <si>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</si>
  <si>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</si>
  <si>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</si>
  <si>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</si>
  <si>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</si>
  <si>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</si>
  <si>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</si>
  <si>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</si>
  <si>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</si>
  <si>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</si>
  <si>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</si>
  <si>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</si>
  <si>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</si>
  <si>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</si>
  <si>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</si>
  <si>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</si>
  <si>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</si>
  <si>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</si>
  <si>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</si>
  <si>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</si>
  <si>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</si>
  <si>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</si>
  <si>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</si>
  <si>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</si>
  <si>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</si>
  <si>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</si>
  <si>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</si>
  <si>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</si>
  <si>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</si>
  <si>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</si>
  <si>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</si>
  <si>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</si>
  <si>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</si>
  <si>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</si>
  <si>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</si>
  <si>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</si>
  <si>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</si>
  <si>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</si>
  <si>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</si>
  <si>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</si>
  <si>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</si>
  <si>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</si>
  <si>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</si>
  <si>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</si>
  <si>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</si>
  <si>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</si>
  <si>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</si>
  <si>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</si>
  <si>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</si>
  <si>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</si>
  <si>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</si>
  <si>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</si>
  <si>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</si>
  <si>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</si>
  <si>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</si>
  <si>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</si>
  <si>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</si>
  <si>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</si>
  <si>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</si>
  <si>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</si>
  <si>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</si>
  <si>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</si>
  <si>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</si>
  <si>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</si>
  <si>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</si>
  <si>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</si>
  <si>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</si>
  <si>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</si>
  <si>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</si>
  <si>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</si>
  <si>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</si>
  <si>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</si>
  <si>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</si>
  <si>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</si>
  <si>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</si>
  <si>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</si>
  <si>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</si>
  <si>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</si>
  <si>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</si>
  <si>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</si>
  <si>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</si>
  <si>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</si>
  <si>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</si>
  <si>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</si>
  <si>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</si>
  <si>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</si>
  <si>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</si>
  <si>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</si>
  <si>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</si>
  <si>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</si>
  <si>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</si>
  <si>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</si>
  <si>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</si>
  <si>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</si>
  <si>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</si>
  <si>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</si>
  <si>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</si>
  <si>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</si>
  <si>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</si>
  <si>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</si>
  <si>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</si>
  <si>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</si>
  <si>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</si>
  <si>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</si>
  <si>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</si>
  <si>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</si>
  <si>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</si>
  <si>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</si>
  <si>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</si>
  <si>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</si>
  <si>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</si>
  <si>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</si>
  <si>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</si>
  <si>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</si>
  <si>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</si>
  <si>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</si>
  <si>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</si>
  <si>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</si>
  <si>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</si>
  <si>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</si>
  <si>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</si>
  <si>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</si>
  <si>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</si>
  <si>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</si>
  <si>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</si>
  <si>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</si>
  <si>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</si>
  <si>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</si>
  <si>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</si>
  <si>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</si>
  <si>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</si>
  <si>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</si>
  <si>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</si>
  <si>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</si>
  <si>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</si>
  <si>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</si>
  <si>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</si>
  <si>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</si>
  <si>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</si>
  <si>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</si>
  <si>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</si>
  <si>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</si>
  <si>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</si>
  <si>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</si>
  <si>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</si>
  <si>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</si>
  <si>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</si>
  <si>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</si>
  <si>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</si>
  <si>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</si>
  <si>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</si>
  <si>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</si>
  <si>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</si>
  <si>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</si>
  <si>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</si>
  <si>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</si>
  <si>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</si>
  <si>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</si>
  <si>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</si>
  <si>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</si>
  <si>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</si>
  <si>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</si>
  <si>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</si>
  <si>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</si>
  <si>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</si>
  <si>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</si>
  <si>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</si>
  <si>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</si>
  <si>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</si>
  <si>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</si>
  <si>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</si>
  <si>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</si>
  <si>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</si>
  <si>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</si>
  <si>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</si>
  <si>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</si>
  <si>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</si>
  <si>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</si>
  <si>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</si>
  <si>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</si>
  <si>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</si>
  <si>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</si>
  <si>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</si>
  <si>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</si>
  <si>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</si>
  <si>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</si>
  <si>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</si>
  <si>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</si>
  <si>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</si>
  <si>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</si>
  <si>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</si>
  <si>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</si>
  <si>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</si>
  <si>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</si>
  <si>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</si>
  <si>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</si>
  <si>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</si>
  <si>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</si>
  <si>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</si>
  <si>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</si>
  <si>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</si>
  <si>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</si>
  <si>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</si>
  <si>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</si>
  <si>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</si>
  <si>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</si>
  <si>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</si>
  <si>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</si>
  <si>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</si>
  <si>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</si>
  <si>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</si>
  <si>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</si>
  <si>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</si>
  <si>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</si>
  <si>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</si>
  <si>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</si>
  <si>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</si>
  <si>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</si>
  <si>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</si>
  <si>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</si>
  <si>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</si>
  <si>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</si>
  <si>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</si>
  <si>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</si>
  <si>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</si>
  <si>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</si>
  <si>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</si>
  <si>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</si>
  <si>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</si>
  <si>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</si>
  <si>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</si>
  <si>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</si>
  <si>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</si>
  <si>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</si>
  <si>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</si>
  <si>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</si>
  <si>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</si>
  <si>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</si>
  <si>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</si>
  <si>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</si>
  <si>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</si>
  <si>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</si>
  <si>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</si>
  <si>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</si>
  <si>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</si>
  <si>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</si>
  <si>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</si>
  <si>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</si>
  <si>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</si>
  <si>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</si>
  <si>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</si>
  <si>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</si>
  <si>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</si>
  <si>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</si>
  <si>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</si>
  <si>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</si>
  <si>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</si>
  <si>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</si>
  <si>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</si>
  <si>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</si>
  <si>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</si>
  <si>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</si>
  <si>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</si>
  <si>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</si>
  <si>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</si>
  <si>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</si>
  <si>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</si>
  <si>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</si>
  <si>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</si>
  <si>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</si>
  <si>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</si>
  <si>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</si>
  <si>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</si>
  <si>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</si>
  <si>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</si>
  <si>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</si>
  <si>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</si>
  <si>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</si>
  <si>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</si>
  <si>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</si>
  <si>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</si>
  <si>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</si>
  <si>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</si>
  <si>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</si>
  <si>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</si>
  <si>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</si>
  <si>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</si>
  <si>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</si>
  <si>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</si>
  <si>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</si>
  <si>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</si>
  <si>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</si>
  <si>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</si>
  <si>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</si>
  <si>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</si>
  <si>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</si>
  <si>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</si>
  <si>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</si>
  <si>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</si>
  <si>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</si>
  <si>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</si>
  <si>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</si>
  <si>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</si>
  <si>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</si>
  <si>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</si>
  <si>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</si>
  <si>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</si>
  <si>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</si>
  <si>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</si>
  <si>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</si>
  <si>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</si>
  <si>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</si>
  <si>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</si>
  <si>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</si>
  <si>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</si>
  <si>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</si>
  <si>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</si>
  <si>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</si>
  <si>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</si>
  <si>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</si>
  <si>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</si>
  <si>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</si>
  <si>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</si>
  <si>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</si>
  <si>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</si>
  <si>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</si>
  <si>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</si>
  <si>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</si>
  <si>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</si>
  <si>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</si>
  <si>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</si>
  <si>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</si>
  <si>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</si>
  <si>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</si>
  <si>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</si>
  <si>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</si>
  <si>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</si>
  <si>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</si>
  <si>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</si>
  <si>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</si>
  <si>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</si>
  <si>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</si>
  <si>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</si>
  <si>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</si>
  <si>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</si>
  <si>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</si>
  <si>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</si>
  <si>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</si>
  <si>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</si>
  <si>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</si>
  <si>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</si>
  <si>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</si>
  <si>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</si>
  <si>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</si>
  <si>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</si>
  <si>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</si>
  <si>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</si>
  <si>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</si>
  <si>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</si>
  <si>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</si>
  <si>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</si>
  <si>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</si>
  <si>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</si>
  <si>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</si>
  <si>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</si>
  <si>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</si>
  <si>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</si>
  <si>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</si>
  <si>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</si>
  <si>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</si>
  <si>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</si>
  <si>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</si>
  <si>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</si>
  <si>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</si>
  <si>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</si>
  <si>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</si>
  <si>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</si>
  <si>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</si>
  <si>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</si>
  <si>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</si>
  <si>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</si>
  <si>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</si>
  <si>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</si>
  <si>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</si>
  <si>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</si>
  <si>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</si>
  <si>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</si>
  <si>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</si>
  <si>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</si>
  <si>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</si>
  <si>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</si>
  <si>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</si>
  <si>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</si>
  <si>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</si>
  <si>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</si>
  <si>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</si>
  <si>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</si>
  <si>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</si>
  <si>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</si>
  <si>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</si>
  <si>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</si>
  <si>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</si>
  <si>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</si>
  <si>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</si>
  <si>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</si>
  <si>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</si>
  <si>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</si>
  <si>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</si>
  <si>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</si>
  <si>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</si>
  <si>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</si>
  <si>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</si>
  <si>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</si>
  <si>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</si>
  <si>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</si>
  <si>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</si>
  <si>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</si>
  <si>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</si>
  <si>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</si>
  <si>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</si>
  <si>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</si>
  <si>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</si>
  <si>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</si>
  <si>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</si>
  <si>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</si>
  <si>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</si>
  <si>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</si>
  <si>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</si>
  <si>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</si>
  <si>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</si>
  <si>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</si>
  <si>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</si>
  <si>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</si>
  <si>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</si>
  <si>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</si>
  <si>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</si>
  <si>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</si>
  <si>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</si>
  <si>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</si>
  <si>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</si>
  <si>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</si>
  <si>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</si>
  <si>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</si>
  <si>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</si>
  <si>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</si>
  <si>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</si>
  <si>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</si>
  <si>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</si>
  <si>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</si>
  <si>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</si>
  <si>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</si>
  <si>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</si>
  <si>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</si>
  <si>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</si>
  <si>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</si>
  <si>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</si>
  <si>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</si>
  <si>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</si>
  <si>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</si>
  <si>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</si>
  <si>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</si>
  <si>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</si>
  <si>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</si>
  <si>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</si>
  <si>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</si>
  <si>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</si>
  <si>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</si>
  <si>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</si>
  <si>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</si>
  <si>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</si>
  <si>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</si>
  <si>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</si>
  <si>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</si>
  <si>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</si>
  <si>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</si>
  <si>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</si>
  <si>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</si>
  <si>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</si>
  <si>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</si>
  <si>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</si>
  <si>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</si>
  <si>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</si>
  <si>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</si>
  <si>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</si>
  <si>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</si>
  <si>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</si>
  <si>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</si>
  <si>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</si>
  <si>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</si>
  <si>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</si>
  <si>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</si>
  <si>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</si>
  <si>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</si>
  <si>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</si>
  <si>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</si>
  <si>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</si>
  <si>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</si>
  <si>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</si>
  <si>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</si>
  <si>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</si>
  <si>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</si>
  <si>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</si>
  <si>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</si>
  <si>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</si>
  <si>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</si>
  <si>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</si>
  <si>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</si>
  <si>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</si>
  <si>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</si>
  <si>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</si>
  <si>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</si>
  <si>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</si>
  <si>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</si>
  <si>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</si>
  <si>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</si>
  <si>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</si>
  <si>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</si>
  <si>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</si>
  <si>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</si>
  <si>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</si>
  <si>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</si>
  <si>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</si>
  <si>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</si>
  <si>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</si>
  <si>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</si>
  <si>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</si>
  <si>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</si>
  <si>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</si>
  <si>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</si>
  <si>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</si>
  <si>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</si>
  <si>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</si>
  <si>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</si>
  <si>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</si>
  <si>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</si>
  <si>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</si>
  <si>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</si>
  <si>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</si>
  <si>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</si>
  <si>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</si>
  <si>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</si>
  <si>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</si>
  <si>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</si>
  <si>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</si>
  <si>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</si>
  <si>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</si>
  <si>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</si>
  <si>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</si>
  <si>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</si>
  <si>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</si>
  <si>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</si>
  <si>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</si>
  <si>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</si>
  <si>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</si>
  <si>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</si>
  <si>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</si>
  <si>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</si>
  <si>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</si>
  <si>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</si>
  <si>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</si>
  <si>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</si>
  <si>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</si>
  <si>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</si>
  <si>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</si>
  <si>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</si>
  <si>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</si>
  <si>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</si>
  <si>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</si>
  <si>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</si>
  <si>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</si>
  <si>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</si>
  <si>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</si>
  <si>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</si>
  <si>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</si>
  <si>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</si>
  <si>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</si>
  <si>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</si>
  <si>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</si>
  <si>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</si>
  <si>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24135</t>
  </si>
  <si>
    <t>TIELT-WINGE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</si>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</sst>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108147.08735404621</c:v>
                </c:pt>
                <c:pt idx="1">
                  <c:v>19554.77880997098</c:v>
                </c:pt>
                <c:pt idx="2">
                  <c:v>598.03099999999995</c:v>
                </c:pt>
                <c:pt idx="3">
                  <c:v>5139.9947731286511</c:v>
                </c:pt>
                <c:pt idx="4">
                  <c:v>2488.518281345268</c:v>
                </c:pt>
                <c:pt idx="5">
                  <c:v>99581.061310758392</c:v>
                </c:pt>
                <c:pt idx="6">
                  <c:v>2261.7796906528806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108147.08735404621</c:v>
                </c:pt>
                <c:pt idx="1">
                  <c:v>19554.77880997098</c:v>
                </c:pt>
                <c:pt idx="2">
                  <c:v>598.03099999999995</c:v>
                </c:pt>
                <c:pt idx="3">
                  <c:v>5139.9947731286511</c:v>
                </c:pt>
                <c:pt idx="4">
                  <c:v>2488.518281345268</c:v>
                </c:pt>
                <c:pt idx="5">
                  <c:v>99581.061310758392</c:v>
                </c:pt>
                <c:pt idx="6">
                  <c:v>2261.7796906528806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22969.285508559955</c:v>
                </c:pt>
                <c:pt idx="2">
                  <c:v>3946.3163255349054</c:v>
                </c:pt>
                <c:pt idx="3">
                  <c:v>118.4238506737575</c:v>
                </c:pt>
                <c:pt idx="4">
                  <c:v>1294.1499320981745</c:v>
                </c:pt>
                <c:pt idx="5">
                  <c:v>478.46535141125327</c:v>
                </c:pt>
                <c:pt idx="6">
                  <c:v>25487.738553112191</c:v>
                </c:pt>
                <c:pt idx="7">
                  <c:v>585.7272291350165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36352"/>
        <c:axId val="184087296"/>
      </c:barChart>
      <c:catAx>
        <c:axId val="184036352"/>
        <c:scaling>
          <c:orientation val="minMax"/>
        </c:scaling>
        <c:axPos val="b"/>
        <c:numFmt formatCode="General" sourceLinked="0"/>
        <c:tickLblPos val="nextTo"/>
        <c:crossAx val="184087296"/>
        <c:crosses val="autoZero"/>
        <c:auto val="1"/>
        <c:lblAlgn val="ctr"/>
        <c:lblOffset val="100"/>
      </c:catAx>
      <c:valAx>
        <c:axId val="184087296"/>
        <c:scaling>
          <c:orientation val="minMax"/>
        </c:scaling>
        <c:axPos val="l"/>
        <c:majorGridlines/>
        <c:numFmt formatCode="#,##0" sourceLinked="1"/>
        <c:tickLblPos val="nextTo"/>
        <c:crossAx val="18403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22969.285508559955</c:v>
                </c:pt>
                <c:pt idx="2">
                  <c:v>3946.3163255349054</c:v>
                </c:pt>
                <c:pt idx="3">
                  <c:v>118.4238506737575</c:v>
                </c:pt>
                <c:pt idx="4">
                  <c:v>1294.1499320981745</c:v>
                </c:pt>
                <c:pt idx="5">
                  <c:v>478.46535141125327</c:v>
                </c:pt>
                <c:pt idx="6">
                  <c:v>25487.738553112191</c:v>
                </c:pt>
                <c:pt idx="7">
                  <c:v>585.7272291350165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24135</v>
      </c>
      <c r="B6" s="415"/>
      <c r="C6" s="416"/>
    </row>
    <row r="7" spans="1:7" s="413" customFormat="1" ht="15.75" customHeight="1">
      <c r="A7" s="417" t="str">
        <f>txtMunicipality</f>
        <v>TIELT-WINGE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0.1980229297039075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0.1980229297039075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4350</v>
      </c>
      <c r="C9" s="342">
        <v>4553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2005.35</v>
      </c>
    </row>
    <row r="15" spans="1:6">
      <c r="A15" s="348" t="s">
        <v>184</v>
      </c>
      <c r="B15" s="334">
        <v>10</v>
      </c>
    </row>
    <row r="16" spans="1:6">
      <c r="A16" s="348" t="s">
        <v>6</v>
      </c>
      <c r="B16" s="334">
        <v>269</v>
      </c>
    </row>
    <row r="17" spans="1:6">
      <c r="A17" s="348" t="s">
        <v>7</v>
      </c>
      <c r="B17" s="334">
        <v>402</v>
      </c>
    </row>
    <row r="18" spans="1:6">
      <c r="A18" s="348" t="s">
        <v>8</v>
      </c>
      <c r="B18" s="334">
        <v>492</v>
      </c>
    </row>
    <row r="19" spans="1:6">
      <c r="A19" s="348" t="s">
        <v>9</v>
      </c>
      <c r="B19" s="334">
        <v>449</v>
      </c>
    </row>
    <row r="20" spans="1:6">
      <c r="A20" s="348" t="s">
        <v>10</v>
      </c>
      <c r="B20" s="334">
        <v>231</v>
      </c>
    </row>
    <row r="21" spans="1:6">
      <c r="A21" s="348" t="s">
        <v>11</v>
      </c>
      <c r="B21" s="334">
        <v>1738</v>
      </c>
    </row>
    <row r="22" spans="1:6">
      <c r="A22" s="348" t="s">
        <v>12</v>
      </c>
      <c r="B22" s="334">
        <v>3622</v>
      </c>
    </row>
    <row r="23" spans="1:6">
      <c r="A23" s="348" t="s">
        <v>13</v>
      </c>
      <c r="B23" s="334">
        <v>1</v>
      </c>
    </row>
    <row r="24" spans="1:6">
      <c r="A24" s="348" t="s">
        <v>14</v>
      </c>
      <c r="B24" s="334">
        <v>2</v>
      </c>
    </row>
    <row r="25" spans="1:6">
      <c r="A25" s="348" t="s">
        <v>15</v>
      </c>
      <c r="B25" s="334">
        <v>91</v>
      </c>
    </row>
    <row r="26" spans="1:6">
      <c r="A26" s="348" t="s">
        <v>16</v>
      </c>
      <c r="B26" s="334">
        <v>1946</v>
      </c>
    </row>
    <row r="27" spans="1:6">
      <c r="A27" s="348" t="s">
        <v>17</v>
      </c>
      <c r="B27" s="334">
        <v>4</v>
      </c>
    </row>
    <row r="28" spans="1:6" s="356" customFormat="1">
      <c r="A28" s="355" t="s">
        <v>18</v>
      </c>
      <c r="B28" s="355">
        <v>86139</v>
      </c>
    </row>
    <row r="29" spans="1:6">
      <c r="A29" s="355" t="s">
        <v>884</v>
      </c>
      <c r="B29" s="355">
        <v>73</v>
      </c>
      <c r="C29" s="356"/>
      <c r="D29" s="356"/>
      <c r="E29" s="356"/>
      <c r="F29" s="356"/>
    </row>
    <row r="30" spans="1:6">
      <c r="A30" s="355" t="s">
        <v>885</v>
      </c>
      <c r="B30" s="341">
        <v>19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28029</v>
      </c>
    </row>
    <row r="37" spans="1:6">
      <c r="A37" s="348" t="s">
        <v>25</v>
      </c>
      <c r="B37" s="348" t="s">
        <v>28</v>
      </c>
      <c r="C37" s="334">
        <v>0</v>
      </c>
      <c r="D37" s="334">
        <v>0</v>
      </c>
      <c r="E37" s="334">
        <v>0</v>
      </c>
      <c r="F37" s="334">
        <v>0</v>
      </c>
    </row>
    <row r="38" spans="1:6">
      <c r="A38" s="348" t="s">
        <v>25</v>
      </c>
      <c r="B38" s="348" t="s">
        <v>29</v>
      </c>
      <c r="C38" s="334">
        <v>0</v>
      </c>
      <c r="D38" s="334">
        <v>0</v>
      </c>
      <c r="E38" s="334">
        <v>0</v>
      </c>
      <c r="F38" s="334">
        <v>9149</v>
      </c>
    </row>
    <row r="39" spans="1:6">
      <c r="A39" s="348" t="s">
        <v>30</v>
      </c>
      <c r="B39" s="348" t="s">
        <v>31</v>
      </c>
      <c r="C39" s="334">
        <v>1258</v>
      </c>
      <c r="D39" s="334">
        <v>20158730</v>
      </c>
      <c r="E39" s="334">
        <v>4233</v>
      </c>
      <c r="F39" s="334">
        <v>16354014</v>
      </c>
    </row>
    <row r="40" spans="1:6">
      <c r="A40" s="348" t="s">
        <v>30</v>
      </c>
      <c r="B40" s="348" t="s">
        <v>29</v>
      </c>
      <c r="C40" s="334">
        <v>0</v>
      </c>
      <c r="D40" s="334">
        <v>0</v>
      </c>
      <c r="E40" s="334">
        <v>0</v>
      </c>
      <c r="F40" s="334">
        <v>0</v>
      </c>
    </row>
    <row r="41" spans="1:6">
      <c r="A41" s="348" t="s">
        <v>32</v>
      </c>
      <c r="B41" s="348" t="s">
        <v>33</v>
      </c>
      <c r="C41" s="334">
        <v>16</v>
      </c>
      <c r="D41" s="334">
        <v>416506</v>
      </c>
      <c r="E41" s="334">
        <v>69</v>
      </c>
      <c r="F41" s="334">
        <v>419109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112133</v>
      </c>
      <c r="E44" s="334">
        <v>12</v>
      </c>
      <c r="F44" s="334">
        <v>76300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18045</v>
      </c>
    </row>
    <row r="48" spans="1:6">
      <c r="A48" s="348" t="s">
        <v>32</v>
      </c>
      <c r="B48" s="348" t="s">
        <v>29</v>
      </c>
      <c r="C48" s="334">
        <v>3</v>
      </c>
      <c r="D48" s="334">
        <v>302251</v>
      </c>
      <c r="E48" s="334">
        <v>4</v>
      </c>
      <c r="F48" s="334">
        <v>162412</v>
      </c>
    </row>
    <row r="49" spans="1:6">
      <c r="A49" s="348" t="s">
        <v>32</v>
      </c>
      <c r="B49" s="348" t="s">
        <v>40</v>
      </c>
      <c r="C49" s="334">
        <v>0</v>
      </c>
      <c r="D49" s="334">
        <v>0</v>
      </c>
      <c r="E49" s="334">
        <v>0</v>
      </c>
      <c r="F49" s="334">
        <v>0</v>
      </c>
    </row>
    <row r="50" spans="1:6">
      <c r="A50" s="348" t="s">
        <v>32</v>
      </c>
      <c r="B50" s="348" t="s">
        <v>41</v>
      </c>
      <c r="C50" s="334">
        <v>0</v>
      </c>
      <c r="D50" s="334">
        <v>0</v>
      </c>
      <c r="E50" s="334">
        <v>6</v>
      </c>
      <c r="F50" s="334">
        <v>191577</v>
      </c>
    </row>
    <row r="51" spans="1:6">
      <c r="A51" s="348" t="s">
        <v>42</v>
      </c>
      <c r="B51" s="348" t="s">
        <v>43</v>
      </c>
      <c r="C51" s="334">
        <v>5</v>
      </c>
      <c r="D51" s="334">
        <v>354848</v>
      </c>
      <c r="E51" s="334">
        <v>84</v>
      </c>
      <c r="F51" s="334">
        <v>998960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15</v>
      </c>
      <c r="F54" s="334">
        <v>598031</v>
      </c>
    </row>
    <row r="55" spans="1:6">
      <c r="A55" s="348" t="s">
        <v>46</v>
      </c>
      <c r="B55" s="348" t="s">
        <v>29</v>
      </c>
      <c r="C55" s="334">
        <v>0</v>
      </c>
      <c r="D55" s="334">
        <v>0</v>
      </c>
      <c r="E55" s="334">
        <v>0</v>
      </c>
      <c r="F55" s="334">
        <v>0</v>
      </c>
    </row>
    <row r="56" spans="1:6">
      <c r="A56" s="348" t="s">
        <v>48</v>
      </c>
      <c r="B56" s="348" t="s">
        <v>29</v>
      </c>
      <c r="C56" s="334">
        <v>39</v>
      </c>
      <c r="D56" s="334">
        <v>1179250</v>
      </c>
      <c r="E56" s="334">
        <v>96</v>
      </c>
      <c r="F56" s="334">
        <v>535791</v>
      </c>
    </row>
    <row r="57" spans="1:6">
      <c r="A57" s="348" t="s">
        <v>49</v>
      </c>
      <c r="B57" s="348" t="s">
        <v>50</v>
      </c>
      <c r="C57" s="334">
        <v>10</v>
      </c>
      <c r="D57" s="334">
        <v>350659</v>
      </c>
      <c r="E57" s="334">
        <v>49</v>
      </c>
      <c r="F57" s="334">
        <v>840362</v>
      </c>
    </row>
    <row r="58" spans="1:6">
      <c r="A58" s="348" t="s">
        <v>49</v>
      </c>
      <c r="B58" s="348" t="s">
        <v>51</v>
      </c>
      <c r="C58" s="334">
        <v>10</v>
      </c>
      <c r="D58" s="334">
        <v>355392</v>
      </c>
      <c r="E58" s="334">
        <v>24</v>
      </c>
      <c r="F58" s="334">
        <v>335847</v>
      </c>
    </row>
    <row r="59" spans="1:6">
      <c r="A59" s="348" t="s">
        <v>49</v>
      </c>
      <c r="B59" s="348" t="s">
        <v>52</v>
      </c>
      <c r="C59" s="334">
        <v>35</v>
      </c>
      <c r="D59" s="334">
        <v>1608624</v>
      </c>
      <c r="E59" s="334">
        <v>172</v>
      </c>
      <c r="F59" s="334">
        <v>6223827</v>
      </c>
    </row>
    <row r="60" spans="1:6">
      <c r="A60" s="348" t="s">
        <v>49</v>
      </c>
      <c r="B60" s="348" t="s">
        <v>53</v>
      </c>
      <c r="C60" s="334">
        <v>14</v>
      </c>
      <c r="D60" s="334">
        <v>739123</v>
      </c>
      <c r="E60" s="334">
        <v>39</v>
      </c>
      <c r="F60" s="334">
        <v>1024183</v>
      </c>
    </row>
    <row r="61" spans="1:6">
      <c r="A61" s="348" t="s">
        <v>49</v>
      </c>
      <c r="B61" s="348" t="s">
        <v>54</v>
      </c>
      <c r="C61" s="334">
        <v>47</v>
      </c>
      <c r="D61" s="334">
        <v>1517592</v>
      </c>
      <c r="E61" s="334">
        <v>204</v>
      </c>
      <c r="F61" s="334">
        <v>2402568</v>
      </c>
    </row>
    <row r="62" spans="1:6">
      <c r="A62" s="348" t="s">
        <v>49</v>
      </c>
      <c r="B62" s="348" t="s">
        <v>55</v>
      </c>
      <c r="C62" s="334">
        <v>5</v>
      </c>
      <c r="D62" s="334">
        <v>925500</v>
      </c>
      <c r="E62" s="334">
        <v>12</v>
      </c>
      <c r="F62" s="334">
        <v>204576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30872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160490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51682470</v>
      </c>
      <c r="E73" s="475">
        <v>45763084.212742135</v>
      </c>
    </row>
    <row r="74" spans="1:6">
      <c r="A74" s="348" t="s">
        <v>64</v>
      </c>
      <c r="B74" s="348" t="s">
        <v>667</v>
      </c>
      <c r="C74" s="1294" t="s">
        <v>669</v>
      </c>
      <c r="D74" s="475">
        <v>5335954.4050660115</v>
      </c>
      <c r="E74" s="475">
        <v>4954312.503404879</v>
      </c>
    </row>
    <row r="75" spans="1:6">
      <c r="A75" s="348" t="s">
        <v>65</v>
      </c>
      <c r="B75" s="348" t="s">
        <v>666</v>
      </c>
      <c r="C75" s="1294" t="s">
        <v>670</v>
      </c>
      <c r="D75" s="475">
        <v>18181795</v>
      </c>
      <c r="E75" s="475">
        <v>16195074.808968825</v>
      </c>
    </row>
    <row r="76" spans="1:6">
      <c r="A76" s="348" t="s">
        <v>65</v>
      </c>
      <c r="B76" s="348" t="s">
        <v>667</v>
      </c>
      <c r="C76" s="1294" t="s">
        <v>671</v>
      </c>
      <c r="D76" s="475">
        <v>627120.40506601171</v>
      </c>
      <c r="E76" s="475">
        <v>538657.97150892753</v>
      </c>
    </row>
    <row r="77" spans="1:6">
      <c r="A77" s="348" t="s">
        <v>66</v>
      </c>
      <c r="B77" s="348" t="s">
        <v>666</v>
      </c>
      <c r="C77" s="1294" t="s">
        <v>672</v>
      </c>
      <c r="D77" s="475">
        <v>37935170</v>
      </c>
      <c r="E77" s="475">
        <v>40464523.485841855</v>
      </c>
    </row>
    <row r="78" spans="1:6">
      <c r="A78" s="341" t="s">
        <v>66</v>
      </c>
      <c r="B78" s="341" t="s">
        <v>667</v>
      </c>
      <c r="C78" s="341" t="s">
        <v>673</v>
      </c>
      <c r="D78" s="1295">
        <v>4050645</v>
      </c>
      <c r="E78" s="1295">
        <v>4099201.7059531617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607483.18986797659</v>
      </c>
      <c r="C83" s="475">
        <v>607483.18986797659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2957.5426071109755</v>
      </c>
    </row>
    <row r="92" spans="1:6">
      <c r="A92" s="341" t="s">
        <v>69</v>
      </c>
      <c r="B92" s="342">
        <v>511.72529358566243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197</v>
      </c>
    </row>
    <row r="98" spans="1:6">
      <c r="A98" s="348" t="s">
        <v>72</v>
      </c>
      <c r="B98" s="334">
        <v>3</v>
      </c>
    </row>
    <row r="99" spans="1:6">
      <c r="A99" s="348" t="s">
        <v>73</v>
      </c>
      <c r="B99" s="334">
        <v>146</v>
      </c>
    </row>
    <row r="100" spans="1:6">
      <c r="A100" s="348" t="s">
        <v>74</v>
      </c>
      <c r="B100" s="334">
        <v>179</v>
      </c>
    </row>
    <row r="101" spans="1:6">
      <c r="A101" s="348" t="s">
        <v>75</v>
      </c>
      <c r="B101" s="334">
        <v>67</v>
      </c>
    </row>
    <row r="102" spans="1:6">
      <c r="A102" s="348" t="s">
        <v>76</v>
      </c>
      <c r="B102" s="334">
        <v>53</v>
      </c>
    </row>
    <row r="103" spans="1:6">
      <c r="A103" s="348" t="s">
        <v>77</v>
      </c>
      <c r="B103" s="334">
        <v>165</v>
      </c>
    </row>
    <row r="104" spans="1:6">
      <c r="A104" s="348" t="s">
        <v>78</v>
      </c>
      <c r="B104" s="334">
        <v>2944</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95</v>
      </c>
    </row>
    <row r="130" spans="1:6">
      <c r="A130" s="348" t="s">
        <v>295</v>
      </c>
      <c r="B130" s="334">
        <v>1</v>
      </c>
    </row>
    <row r="131" spans="1:6">
      <c r="A131" s="348" t="s">
        <v>296</v>
      </c>
      <c r="B131" s="334">
        <v>0</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33368.405813875397</v>
      </c>
      <c r="C3" s="43" t="s">
        <v>170</v>
      </c>
      <c r="D3" s="43"/>
      <c r="E3" s="154"/>
      <c r="F3" s="43"/>
      <c r="G3" s="43"/>
      <c r="H3" s="43"/>
      <c r="I3" s="43"/>
      <c r="J3" s="43"/>
      <c r="K3" s="96"/>
    </row>
    <row r="4" spans="1:11">
      <c r="A4" s="383" t="s">
        <v>171</v>
      </c>
      <c r="B4" s="49">
        <f>IF(ISERROR('SEAP template'!B78+'SEAP template'!C78),0,'SEAP template'!B78+'SEAP template'!C78)</f>
        <v>3469.2679006966378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0.1980229297039075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598.03099999999995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598.03099999999995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0.1980229297039075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118.4238506737575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16354.013999999999</v>
      </c>
      <c r="C5" s="17">
        <f>IF(ISERROR('Eigen informatie GS &amp; warmtenet'!B57),0,'Eigen informatie GS &amp; warmtenet'!B57)</f>
        <v>0</v>
      </c>
      <c r="D5" s="30">
        <f>(SUM(HH_hh_gas_kWh,HH_rest_gas_kWh)/1000)*0.902</f>
        <v>18183.174459999998</v>
      </c>
      <c r="E5" s="17">
        <f>B46*B57</f>
        <v>8365.0411641214159</v>
      </c>
      <c r="F5" s="17">
        <f>B51*B62</f>
        <v>48418.978796374999</v>
      </c>
      <c r="G5" s="18"/>
      <c r="H5" s="17"/>
      <c r="I5" s="17"/>
      <c r="J5" s="17">
        <f>B50*B61+C50*C61</f>
        <v>1823.2247691223156</v>
      </c>
      <c r="K5" s="17"/>
      <c r="L5" s="17"/>
      <c r="M5" s="17"/>
      <c r="N5" s="17">
        <f>B48*B59+C48*C59</f>
        <v>10902.308223983173</v>
      </c>
      <c r="O5" s="17">
        <f>B69*B70*B71</f>
        <v>170.40333333333334</v>
      </c>
      <c r="P5" s="17">
        <f>B77*B78*B79/1000-B77*B78*B79/1000/B80</f>
        <v>972.4</v>
      </c>
    </row>
    <row r="6" spans="1:16">
      <c r="A6" s="16" t="s">
        <v>624</v>
      </c>
      <c r="B6" s="788">
        <f>kWh_PV_kleiner_dan_10kW</f>
        <v>2957.5426071109755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19311.556607110975</v>
      </c>
      <c r="C8" s="21">
        <f>C5</f>
        <v>0</v>
      </c>
      <c r="D8" s="21">
        <f>D5</f>
        <v>18183.174459999998</v>
      </c>
      <c r="E8" s="21">
        <f>E5</f>
        <v>8365.0411641214159</v>
      </c>
      <c r="F8" s="21">
        <f>F5</f>
        <v>48418.978796374999</v>
      </c>
      <c r="G8" s="21"/>
      <c r="H8" s="21"/>
      <c r="I8" s="21"/>
      <c r="J8" s="21">
        <f>J5</f>
        <v>1823.2247691223156</v>
      </c>
      <c r="K8" s="21"/>
      <c r="L8" s="21">
        <f>L5</f>
        <v>0</v>
      </c>
      <c r="M8" s="21">
        <f>M5</f>
        <v>0</v>
      </c>
      <c r="N8" s="21">
        <f>N5</f>
        <v>10902.308223983173</v>
      </c>
      <c r="O8" s="21">
        <f>O5</f>
        <v>170.40333333333334</v>
      </c>
      <c r="P8" s="21">
        <f>P5</f>
        <v>972.4</v>
      </c>
    </row>
    <row r="9" spans="1:16">
      <c r="B9" s="19"/>
      <c r="C9" s="19"/>
      <c r="D9" s="258"/>
      <c r="E9" s="19"/>
      <c r="F9" s="19"/>
      <c r="G9" s="19"/>
      <c r="H9" s="19"/>
      <c r="I9" s="19"/>
      <c r="J9" s="19"/>
      <c r="K9" s="19"/>
      <c r="L9" s="19"/>
      <c r="M9" s="19"/>
      <c r="N9" s="19"/>
      <c r="O9" s="19"/>
      <c r="P9" s="19"/>
    </row>
    <row r="10" spans="1:16">
      <c r="A10" s="24" t="s">
        <v>214</v>
      </c>
      <c r="B10" s="25">
        <f ca="1">'EF ele_warmte'!B12</f>
        <v>0.1980229297039075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3824.131016482967</v>
      </c>
      <c r="C12" s="23">
        <f ca="1">C10*C8</f>
        <v>0</v>
      </c>
      <c r="D12" s="23">
        <f>D8*D10</f>
        <v>3673.0012409199999</v>
      </c>
      <c r="E12" s="23">
        <f>E10*E8</f>
        <v>1898.8643442555615</v>
      </c>
      <c r="F12" s="23">
        <f>F10*F8</f>
        <v>12927.867338632126</v>
      </c>
      <c r="G12" s="23"/>
      <c r="H12" s="23"/>
      <c r="I12" s="23"/>
      <c r="J12" s="23">
        <f>J10*J8</f>
        <v>645.42156826929966</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197</v>
      </c>
      <c r="C18" s="166" t="s">
        <v>111</v>
      </c>
      <c r="D18" s="228"/>
      <c r="E18" s="15"/>
    </row>
    <row r="19" spans="1:7">
      <c r="A19" s="171" t="s">
        <v>72</v>
      </c>
      <c r="B19" s="37">
        <f>aantalw2001_ander</f>
        <v>3</v>
      </c>
      <c r="C19" s="166" t="s">
        <v>111</v>
      </c>
      <c r="D19" s="229"/>
      <c r="E19" s="15"/>
    </row>
    <row r="20" spans="1:7">
      <c r="A20" s="171" t="s">
        <v>73</v>
      </c>
      <c r="B20" s="37">
        <f>aantalw2001_propaan</f>
        <v>146</v>
      </c>
      <c r="C20" s="167">
        <f>IF(ISERROR(B20/SUM($B$20,$B$21,$B$22)*100),0,B20/SUM($B$20,$B$21,$B$22)*100)</f>
        <v>37.244897959183675</v>
      </c>
      <c r="D20" s="229"/>
      <c r="E20" s="15"/>
    </row>
    <row r="21" spans="1:7">
      <c r="A21" s="171" t="s">
        <v>74</v>
      </c>
      <c r="B21" s="37">
        <f>aantalw2001_elektriciteit</f>
        <v>179</v>
      </c>
      <c r="C21" s="167">
        <f>IF(ISERROR(B21/SUM($B$20,$B$21,$B$22)*100),0,B21/SUM($B$20,$B$21,$B$22)*100)</f>
        <v>45.663265306122447</v>
      </c>
      <c r="D21" s="229"/>
      <c r="E21" s="15"/>
    </row>
    <row r="22" spans="1:7">
      <c r="A22" s="171" t="s">
        <v>75</v>
      </c>
      <c r="B22" s="37">
        <f>aantalw2001_hout</f>
        <v>67</v>
      </c>
      <c r="C22" s="167">
        <f>IF(ISERROR(B22/SUM($B$20,$B$21,$B$22)*100),0,B22/SUM($B$20,$B$21,$B$22)*100)</f>
        <v>17.091836734693878</v>
      </c>
      <c r="D22" s="229"/>
      <c r="E22" s="15"/>
    </row>
    <row r="23" spans="1:7">
      <c r="A23" s="171" t="s">
        <v>76</v>
      </c>
      <c r="B23" s="37">
        <f>aantalw2001_niet_gespec</f>
        <v>53</v>
      </c>
      <c r="C23" s="166" t="s">
        <v>111</v>
      </c>
      <c r="D23" s="228"/>
      <c r="E23" s="15"/>
    </row>
    <row r="24" spans="1:7">
      <c r="A24" s="171" t="s">
        <v>77</v>
      </c>
      <c r="B24" s="37">
        <f>aantalw2001_steenkool</f>
        <v>165</v>
      </c>
      <c r="C24" s="166" t="s">
        <v>111</v>
      </c>
      <c r="D24" s="229"/>
      <c r="E24" s="15"/>
    </row>
    <row r="25" spans="1:7">
      <c r="A25" s="171" t="s">
        <v>78</v>
      </c>
      <c r="B25" s="37">
        <f>aantalw2001_stookolie</f>
        <v>2944</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4350</v>
      </c>
      <c r="C28" s="36"/>
      <c r="D28" s="228"/>
    </row>
    <row r="29" spans="1:7" s="15" customFormat="1">
      <c r="A29" s="230" t="s">
        <v>699</v>
      </c>
      <c r="B29" s="37">
        <f>SUM(HH_hh_gas_aantal,HH_rest_gas_aantal)</f>
        <v>1258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1258</v>
      </c>
      <c r="C32" s="167">
        <f>IF(ISERROR(B32/SUM($B$32,$B$34,$B$35,$B$36,$B$38,$B$39)*100),0,B32/SUM($B$32,$B$34,$B$35,$B$36,$B$38,$B$39)*100)</f>
        <v>29.262619213770648</v>
      </c>
      <c r="D32" s="233"/>
      <c r="G32" s="15"/>
    </row>
    <row r="33" spans="1:7">
      <c r="A33" s="171" t="s">
        <v>72</v>
      </c>
      <c r="B33" s="34" t="s">
        <v>111</v>
      </c>
      <c r="C33" s="167"/>
      <c r="D33" s="233"/>
      <c r="G33" s="15"/>
    </row>
    <row r="34" spans="1:7">
      <c r="A34" s="171" t="s">
        <v>73</v>
      </c>
      <c r="B34" s="33">
        <f>IF((($B$28-$B$32-$B$39-$B$77-$B$38)*C20/100)&lt;0,0,($B$28-$B$32-$B$39-$B$77-$B$38)*C20/100)</f>
        <v>369.84183673469391</v>
      </c>
      <c r="C34" s="167">
        <f>IF(ISERROR(B34/SUM($B$32,$B$34,$B$35,$B$36,$B$38,$B$39)*100),0,B34/SUM($B$32,$B$34,$B$35,$B$36,$B$38,$B$39)*100)</f>
        <v>8.6029736388623856</v>
      </c>
      <c r="D34" s="233"/>
      <c r="G34" s="15"/>
    </row>
    <row r="35" spans="1:7">
      <c r="A35" s="171" t="s">
        <v>74</v>
      </c>
      <c r="B35" s="33">
        <f>IF((($B$28-$B$32-$B$39-$B$77-$B$38)*C21/100)&lt;0,0,($B$28-$B$32-$B$39-$B$77-$B$38)*C21/100)</f>
        <v>453.4362244897959</v>
      </c>
      <c r="C35" s="167">
        <f>IF(ISERROR(B35/SUM($B$32,$B$34,$B$35,$B$36,$B$38,$B$39)*100),0,B35/SUM($B$32,$B$34,$B$35,$B$36,$B$38,$B$39)*100)</f>
        <v>10.547481379153197</v>
      </c>
      <c r="D35" s="233"/>
      <c r="G35" s="15"/>
    </row>
    <row r="36" spans="1:7">
      <c r="A36" s="171" t="s">
        <v>75</v>
      </c>
      <c r="B36" s="33">
        <f>IF((($B$28-$B$32-$B$39-$B$77-$B$38)*C22/100)&lt;0,0,($B$28-$B$32-$B$39-$B$77-$B$38)*C22/100)</f>
        <v>169.72193877551024</v>
      </c>
      <c r="C36" s="167">
        <f>IF(ISERROR(B36/SUM($B$32,$B$34,$B$35,$B$36,$B$38,$B$39)*100),0,B36/SUM($B$32,$B$34,$B$35,$B$36,$B$38,$B$39)*100)</f>
        <v>3.9479399575601355</v>
      </c>
      <c r="D36" s="233"/>
      <c r="G36" s="15"/>
    </row>
    <row r="37" spans="1:7">
      <c r="A37" s="171" t="s">
        <v>76</v>
      </c>
      <c r="B37" s="34" t="s">
        <v>111</v>
      </c>
      <c r="C37" s="167"/>
      <c r="D37" s="173"/>
      <c r="G37" s="15"/>
    </row>
    <row r="38" spans="1:7">
      <c r="A38" s="171" t="s">
        <v>77</v>
      </c>
      <c r="B38" s="33">
        <f>IF((B24-(B29-B18)*0.1)&lt;0,0,B24-(B29-B18)*0.1)</f>
        <v>58.899999999999991</v>
      </c>
      <c r="C38" s="167">
        <f>IF(ISERROR(B38/SUM($B$32,$B$34,$B$35,$B$36,$B$38,$B$39)*100),0,B38/SUM($B$32,$B$34,$B$35,$B$36,$B$38,$B$39)*100)</f>
        <v>1.3700860665270991</v>
      </c>
      <c r="D38" s="234"/>
      <c r="G38" s="15"/>
    </row>
    <row r="39" spans="1:7">
      <c r="A39" s="171" t="s">
        <v>78</v>
      </c>
      <c r="B39" s="33">
        <f>IF((B25-(B29-B18))&lt;0,0,B25-(B29-B18)*0.9)</f>
        <v>1989.1</v>
      </c>
      <c r="C39" s="167">
        <f>IF(ISERROR(B39/SUM($B$32,$B$34,$B$35,$B$36,$B$38,$B$39)*100),0,B39/SUM($B$32,$B$34,$B$35,$B$36,$B$38,$B$39)*100)</f>
        <v>46.268899744126543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1258</v>
      </c>
      <c r="C44" s="34" t="s">
        <v>111</v>
      </c>
      <c r="D44" s="174"/>
    </row>
    <row r="45" spans="1:7">
      <c r="A45" s="171" t="s">
        <v>72</v>
      </c>
      <c r="B45" s="33" t="str">
        <f t="shared" si="0"/>
        <v>-</v>
      </c>
      <c r="C45" s="34" t="s">
        <v>111</v>
      </c>
      <c r="D45" s="174"/>
    </row>
    <row r="46" spans="1:7">
      <c r="A46" s="171" t="s">
        <v>73</v>
      </c>
      <c r="B46" s="33">
        <f t="shared" si="0"/>
        <v>369.84183673469391</v>
      </c>
      <c r="C46" s="34" t="s">
        <v>111</v>
      </c>
      <c r="D46" s="174"/>
    </row>
    <row r="47" spans="1:7">
      <c r="A47" s="171" t="s">
        <v>74</v>
      </c>
      <c r="B47" s="33">
        <f t="shared" si="0"/>
        <v>453.4362244897959</v>
      </c>
      <c r="C47" s="34" t="s">
        <v>111</v>
      </c>
      <c r="D47" s="174"/>
    </row>
    <row r="48" spans="1:7">
      <c r="A48" s="171" t="s">
        <v>75</v>
      </c>
      <c r="B48" s="33">
        <f t="shared" si="0"/>
        <v>169.72193877551024</v>
      </c>
      <c r="C48" s="33">
        <f>B48*10</f>
        <v>1697.2193877551024</v>
      </c>
      <c r="D48" s="234"/>
    </row>
    <row r="49" spans="1:6">
      <c r="A49" s="171" t="s">
        <v>76</v>
      </c>
      <c r="B49" s="33" t="str">
        <f t="shared" si="0"/>
        <v>-</v>
      </c>
      <c r="C49" s="34" t="s">
        <v>111</v>
      </c>
      <c r="D49" s="234"/>
    </row>
    <row r="50" spans="1:6">
      <c r="A50" s="171" t="s">
        <v>77</v>
      </c>
      <c r="B50" s="33">
        <f t="shared" si="0"/>
        <v>58.899999999999991</v>
      </c>
      <c r="C50" s="33">
        <f>B50*2</f>
        <v>117.79999999999998</v>
      </c>
      <c r="D50" s="234"/>
    </row>
    <row r="51" spans="1:6">
      <c r="A51" s="171" t="s">
        <v>78</v>
      </c>
      <c r="B51" s="33">
        <f t="shared" si="0"/>
        <v>1989.1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11031.362999999999</v>
      </c>
      <c r="C5" s="17">
        <f>IF(ISERROR('Eigen informatie GS &amp; warmtenet'!B58),0,'Eigen informatie GS &amp; warmtenet'!B58)</f>
        <v>0</v>
      </c>
      <c r="D5" s="30">
        <f>SUM(D6:D12)</f>
        <v>4958.1947800000007</v>
      </c>
      <c r="E5" s="17">
        <f>SUM(E6:E12)</f>
        <v>263.44727244718604</v>
      </c>
      <c r="F5" s="17">
        <f>SUM(F6:F12)</f>
        <v>2623.5791357382309</v>
      </c>
      <c r="G5" s="18"/>
      <c r="H5" s="17"/>
      <c r="I5" s="17"/>
      <c r="J5" s="17">
        <f>SUM(J6:J12)</f>
        <v>0</v>
      </c>
      <c r="K5" s="17"/>
      <c r="L5" s="17"/>
      <c r="M5" s="17"/>
      <c r="N5" s="17">
        <f>SUM(N6:N12)</f>
        <v>676.631288452234</v>
      </c>
      <c r="O5" s="17">
        <f>B38*B39*B40</f>
        <v>1.5633333333333335</v>
      </c>
      <c r="P5" s="17">
        <f>B46*B47*B48/1000-B46*B47*B48/1000/B49</f>
        <v>0</v>
      </c>
      <c r="R5" s="32"/>
    </row>
    <row r="6" spans="1:18">
      <c r="A6" s="32" t="s">
        <v>54</v>
      </c>
      <c r="B6" s="37">
        <f>B26</f>
        <v>2402.5680000000002</v>
      </c>
      <c r="C6" s="33"/>
      <c r="D6" s="37">
        <f>IF(ISERROR(TER_kantoor_gas_kWh/1000),0,TER_kantoor_gas_kWh/1000)*0.902</f>
        <v>1368.8679840000002</v>
      </c>
      <c r="E6" s="33">
        <f>$C$26*'E Balans VL '!I12/100/3.6*1000000</f>
        <v>31.452574654631569</v>
      </c>
      <c r="F6" s="33">
        <f>$C$26*('E Balans VL '!L12+'E Balans VL '!N12)/100/3.6*1000000</f>
        <v>612.63001278970614</v>
      </c>
      <c r="G6" s="34"/>
      <c r="H6" s="33"/>
      <c r="I6" s="33"/>
      <c r="J6" s="33">
        <f>$C$26*('E Balans VL '!D12+'E Balans VL '!E12)/100/3.6*1000000</f>
        <v>0</v>
      </c>
      <c r="K6" s="33"/>
      <c r="L6" s="33"/>
      <c r="M6" s="33"/>
      <c r="N6" s="33">
        <f>$C$26*'E Balans VL '!Y12/100/3.6*1000000</f>
        <v>2.4106585190517085</v>
      </c>
      <c r="O6" s="33"/>
      <c r="P6" s="33"/>
      <c r="R6" s="32"/>
    </row>
    <row r="7" spans="1:18">
      <c r="A7" s="32" t="s">
        <v>53</v>
      </c>
      <c r="B7" s="37">
        <f t="shared" ref="B7:B12" si="0">B27</f>
        <v>1024.183</v>
      </c>
      <c r="C7" s="33"/>
      <c r="D7" s="37">
        <f>IF(ISERROR(TER_horeca_gas_kWh/1000),0,TER_horeca_gas_kWh/1000)*0.902</f>
        <v>666.6889460000001</v>
      </c>
      <c r="E7" s="33">
        <f>$C$27*'E Balans VL '!I9/100/3.6*1000000</f>
        <v>33.89422740379873</v>
      </c>
      <c r="F7" s="33">
        <f>$C$27*('E Balans VL '!L9+'E Balans VL '!N9)/100/3.6*1000000</f>
        <v>440.39476485529809</v>
      </c>
      <c r="G7" s="34"/>
      <c r="H7" s="33"/>
      <c r="I7" s="33"/>
      <c r="J7" s="33">
        <f>$C$27*('E Balans VL '!D9+'E Balans VL '!E9)/100/3.6*1000000</f>
        <v>0</v>
      </c>
      <c r="K7" s="33"/>
      <c r="L7" s="33"/>
      <c r="M7" s="33"/>
      <c r="N7" s="33">
        <f>$C$27*'E Balans VL '!Y9/100/3.6*1000000</f>
        <v>0.24653572086931078</v>
      </c>
      <c r="O7" s="33"/>
      <c r="P7" s="33"/>
      <c r="R7" s="32"/>
    </row>
    <row r="8" spans="1:18">
      <c r="A8" s="6" t="s">
        <v>52</v>
      </c>
      <c r="B8" s="37">
        <f t="shared" si="0"/>
        <v>6223.8270000000002</v>
      </c>
      <c r="C8" s="33"/>
      <c r="D8" s="37">
        <f>IF(ISERROR(TER_handel_gas_kWh/1000),0,TER_handel_gas_kWh/1000)*0.902</f>
        <v>1450.978848</v>
      </c>
      <c r="E8" s="33">
        <f>$C$28*'E Balans VL '!I13/100/3.6*1000000</f>
        <v>196.43348984458399</v>
      </c>
      <c r="F8" s="33">
        <f>$C$28*('E Balans VL '!L13+'E Balans VL '!N13)/100/3.6*1000000</f>
        <v>1220.6020694892222</v>
      </c>
      <c r="G8" s="34"/>
      <c r="H8" s="33"/>
      <c r="I8" s="33"/>
      <c r="J8" s="33">
        <f>$C$28*('E Balans VL '!D13+'E Balans VL '!E13)/100/3.6*1000000</f>
        <v>0</v>
      </c>
      <c r="K8" s="33"/>
      <c r="L8" s="33"/>
      <c r="M8" s="33"/>
      <c r="N8" s="33">
        <f>$C$28*'E Balans VL '!Y13/100/3.6*1000000</f>
        <v>7.3864743078221089</v>
      </c>
      <c r="O8" s="33"/>
      <c r="P8" s="33"/>
      <c r="R8" s="32"/>
    </row>
    <row r="9" spans="1:18">
      <c r="A9" s="32" t="s">
        <v>51</v>
      </c>
      <c r="B9" s="37">
        <f t="shared" si="0"/>
        <v>335.84699999999998</v>
      </c>
      <c r="C9" s="33"/>
      <c r="D9" s="37">
        <f>IF(ISERROR(TER_gezond_gas_kWh/1000),0,TER_gezond_gas_kWh/1000)*0.902</f>
        <v>320.56358399999999</v>
      </c>
      <c r="E9" s="33">
        <f>$C$29*'E Balans VL '!I10/100/3.6*1000000</f>
        <v>4.2998240985986966E-2</v>
      </c>
      <c r="F9" s="33">
        <f>$C$29*('E Balans VL '!L10+'E Balans VL '!N10)/100/3.6*1000000</f>
        <v>69.971006737800693</v>
      </c>
      <c r="G9" s="34"/>
      <c r="H9" s="33"/>
      <c r="I9" s="33"/>
      <c r="J9" s="33">
        <f>$C$29*('E Balans VL '!D10+'E Balans VL '!E10)/100/3.6*1000000</f>
        <v>0</v>
      </c>
      <c r="K9" s="33"/>
      <c r="L9" s="33"/>
      <c r="M9" s="33"/>
      <c r="N9" s="33">
        <f>$C$29*'E Balans VL '!Y10/100/3.6*1000000</f>
        <v>3.9446817571613684</v>
      </c>
      <c r="O9" s="33"/>
      <c r="P9" s="33"/>
      <c r="R9" s="32"/>
    </row>
    <row r="10" spans="1:18">
      <c r="A10" s="32" t="s">
        <v>50</v>
      </c>
      <c r="B10" s="37">
        <f t="shared" si="0"/>
        <v>840.36199999999997</v>
      </c>
      <c r="C10" s="33"/>
      <c r="D10" s="37">
        <f>IF(ISERROR(TER_ander_gas_kWh/1000),0,TER_ander_gas_kWh/1000)*0.902</f>
        <v>316.29441800000001</v>
      </c>
      <c r="E10" s="33">
        <f>$C$30*'E Balans VL '!I14/100/3.6*1000000</f>
        <v>1.2637068237762037</v>
      </c>
      <c r="F10" s="33">
        <f>$C$30*('E Balans VL '!L14+'E Balans VL '!N14)/100/3.6*1000000</f>
        <v>185.52484086960638</v>
      </c>
      <c r="G10" s="34"/>
      <c r="H10" s="33"/>
      <c r="I10" s="33"/>
      <c r="J10" s="33">
        <f>$C$30*('E Balans VL '!D14+'E Balans VL '!E14)/100/3.6*1000000</f>
        <v>0</v>
      </c>
      <c r="K10" s="33"/>
      <c r="L10" s="33"/>
      <c r="M10" s="33"/>
      <c r="N10" s="33">
        <f>$C$30*'E Balans VL '!Y14/100/3.6*1000000</f>
        <v>662.26181023029324</v>
      </c>
      <c r="O10" s="33"/>
      <c r="P10" s="33"/>
      <c r="R10" s="32"/>
    </row>
    <row r="11" spans="1:18">
      <c r="A11" s="32" t="s">
        <v>55</v>
      </c>
      <c r="B11" s="37">
        <f t="shared" si="0"/>
        <v>204.57599999999999</v>
      </c>
      <c r="C11" s="33"/>
      <c r="D11" s="37">
        <f>IF(ISERROR(TER_onderwijs_gas_kWh/1000),0,TER_onderwijs_gas_kWh/1000)*0.902</f>
        <v>834.80100000000004</v>
      </c>
      <c r="E11" s="33">
        <f>$C$31*'E Balans VL '!I11/100/3.6*1000000</f>
        <v>0.36027547940954147</v>
      </c>
      <c r="F11" s="33">
        <f>$C$31*('E Balans VL '!L11+'E Balans VL '!N11)/100/3.6*1000000</f>
        <v>94.456440996597507</v>
      </c>
      <c r="G11" s="34"/>
      <c r="H11" s="33"/>
      <c r="I11" s="33"/>
      <c r="J11" s="33">
        <f>$C$31*('E Balans VL '!D11+'E Balans VL '!E11)/100/3.6*1000000</f>
        <v>0</v>
      </c>
      <c r="K11" s="33"/>
      <c r="L11" s="33"/>
      <c r="M11" s="33"/>
      <c r="N11" s="33">
        <f>$C$31*'E Balans VL '!Y11/100/3.6*1000000</f>
        <v>0.38112791703623361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11031.362999999999</v>
      </c>
      <c r="C16" s="21">
        <f t="shared" ca="1" si="1"/>
        <v>0</v>
      </c>
      <c r="D16" s="21">
        <f t="shared" ca="1" si="1"/>
        <v>4958.1947800000007</v>
      </c>
      <c r="E16" s="21">
        <f t="shared" si="1"/>
        <v>263.44727244718604</v>
      </c>
      <c r="F16" s="21">
        <f t="shared" ca="1" si="1"/>
        <v>2623.5791357382309</v>
      </c>
      <c r="G16" s="21">
        <f t="shared" si="1"/>
        <v>0</v>
      </c>
      <c r="H16" s="21">
        <f t="shared" si="1"/>
        <v>0</v>
      </c>
      <c r="I16" s="21">
        <f t="shared" si="1"/>
        <v>0</v>
      </c>
      <c r="J16" s="21">
        <f t="shared" si="1"/>
        <v>0</v>
      </c>
      <c r="K16" s="21">
        <f t="shared" si="1"/>
        <v>0</v>
      </c>
      <c r="L16" s="21">
        <f t="shared" ca="1" si="1"/>
        <v>0</v>
      </c>
      <c r="M16" s="21">
        <f t="shared" si="1"/>
        <v>0</v>
      </c>
      <c r="N16" s="21">
        <f t="shared" ca="1" si="1"/>
        <v>676.631288452234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0.1980229297039075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2184.4628198872861</v>
      </c>
      <c r="C20" s="23">
        <f t="shared" ref="C20:P20" ca="1" si="2">C16*C18</f>
        <v>0</v>
      </c>
      <c r="D20" s="23">
        <f t="shared" ca="1" si="2"/>
        <v>1001.5553455600002</v>
      </c>
      <c r="E20" s="23">
        <f t="shared" si="2"/>
        <v>59.802530845511235</v>
      </c>
      <c r="F20" s="23">
        <f t="shared" ca="1" si="2"/>
        <v>700.49562924210773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2402.5680000000002</v>
      </c>
      <c r="C26" s="39">
        <f>IF(ISERROR(B26*3.6/1000000/'E Balans VL '!Z12*100),0,B26*3.6/1000000/'E Balans VL '!Z12*100)</f>
        <v>5.1464873042399259E-2</v>
      </c>
      <c r="D26" s="237" t="s">
        <v>660</v>
      </c>
      <c r="F26" s="6"/>
    </row>
    <row r="27" spans="1:18">
      <c r="A27" s="231" t="s">
        <v>53</v>
      </c>
      <c r="B27" s="33">
        <f>IF(ISERROR(TER_horeca_ele_kWh/1000),0,TER_horeca_ele_kWh/1000)</f>
        <v>1024.183</v>
      </c>
      <c r="C27" s="39">
        <f>IF(ISERROR(B27*3.6/1000000/'E Balans VL '!Z9*100),0,B27*3.6/1000000/'E Balans VL '!Z9*100)</f>
        <v>8.2187125726229757E-2</v>
      </c>
      <c r="D27" s="237" t="s">
        <v>660</v>
      </c>
      <c r="F27" s="6"/>
    </row>
    <row r="28" spans="1:18">
      <c r="A28" s="171" t="s">
        <v>52</v>
      </c>
      <c r="B28" s="33">
        <f>IF(ISERROR(TER_handel_ele_kWh/1000),0,TER_handel_ele_kWh/1000)</f>
        <v>6223.8270000000002</v>
      </c>
      <c r="C28" s="39">
        <f>IF(ISERROR(B28*3.6/1000000/'E Balans VL '!Z13*100),0,B28*3.6/1000000/'E Balans VL '!Z13*100)</f>
        <v>0.18356719805222341</v>
      </c>
      <c r="D28" s="237" t="s">
        <v>660</v>
      </c>
      <c r="F28" s="6"/>
    </row>
    <row r="29" spans="1:18">
      <c r="A29" s="231" t="s">
        <v>51</v>
      </c>
      <c r="B29" s="33">
        <f>IF(ISERROR(TER_gezond_ele_kWh/1000),0,TER_gezond_ele_kWh/1000)</f>
        <v>335.84699999999998</v>
      </c>
      <c r="C29" s="39">
        <f>IF(ISERROR(B29*3.6/1000000/'E Balans VL '!Z10*100),0,B29*3.6/1000000/'E Balans VL '!Z10*100)</f>
        <v>3.5859455204267934E-2</v>
      </c>
      <c r="D29" s="237" t="s">
        <v>660</v>
      </c>
      <c r="F29" s="6"/>
    </row>
    <row r="30" spans="1:18">
      <c r="A30" s="231" t="s">
        <v>50</v>
      </c>
      <c r="B30" s="33">
        <f>IF(ISERROR(TER_ander_ele_kWh/1000),0,TER_ander_ele_kWh/1000)</f>
        <v>840.36199999999997</v>
      </c>
      <c r="C30" s="39">
        <f>IF(ISERROR(B30*3.6/1000000/'E Balans VL '!Z14*100),0,B30*3.6/1000000/'E Balans VL '!Z14*100)</f>
        <v>6.3475841828464247E-2</v>
      </c>
      <c r="D30" s="237" t="s">
        <v>660</v>
      </c>
      <c r="F30" s="6"/>
    </row>
    <row r="31" spans="1:18">
      <c r="A31" s="231" t="s">
        <v>55</v>
      </c>
      <c r="B31" s="33">
        <f>IF(ISERROR(TER_onderwijs_ele_kWh/1000),0,TER_onderwijs_ele_kWh/1000)</f>
        <v>204.57599999999999</v>
      </c>
      <c r="C31" s="39">
        <f>IF(ISERROR(B31*3.6/1000000/'E Balans VL '!Z11*100),0,B31*3.6/1000000/'E Balans VL '!Z11*100)</f>
        <v>4.1310723674470223E-2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867.44299999999998</v>
      </c>
      <c r="C5" s="17">
        <f>IF(ISERROR('Eigen informatie GS &amp; warmtenet'!B59),0,'Eigen informatie GS &amp; warmtenet'!B59)</f>
        <v>0</v>
      </c>
      <c r="D5" s="30">
        <f>SUM(D6:D15)</f>
        <v>749.46277999999995</v>
      </c>
      <c r="E5" s="17">
        <f>SUM(E6:E15)</f>
        <v>123.45474777339638</v>
      </c>
      <c r="F5" s="17">
        <f>SUM(F6:F15)</f>
        <v>473.34191666363199</v>
      </c>
      <c r="G5" s="18"/>
      <c r="H5" s="17"/>
      <c r="I5" s="17"/>
      <c r="J5" s="17">
        <f>SUM(J6:J15)</f>
        <v>2.5247066281241404</v>
      </c>
      <c r="K5" s="17"/>
      <c r="L5" s="17"/>
      <c r="M5" s="17"/>
      <c r="N5" s="17">
        <f>SUM(N6:N15)</f>
        <v>272.29113028011579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76.3</v>
      </c>
      <c r="C8" s="33"/>
      <c r="D8" s="37">
        <f>IF( ISERROR(IND_metaal_Gas_kWH/1000),0,IND_metaal_Gas_kWH/1000)*0.902</f>
        <v>101.14396599999999</v>
      </c>
      <c r="E8" s="33">
        <f>C30*'E Balans VL '!I18/100/3.6*1000000</f>
        <v>2.7455048231470407</v>
      </c>
      <c r="F8" s="33">
        <f>C30*'E Balans VL '!L18/100/3.6*1000000+C30*'E Balans VL '!N18/100/3.6*1000000</f>
        <v>33.317736620110615</v>
      </c>
      <c r="G8" s="34"/>
      <c r="H8" s="33"/>
      <c r="I8" s="33"/>
      <c r="J8" s="40">
        <f>C30*'E Balans VL '!D18/100/3.6*1000000+C30*'E Balans VL '!E18/100/3.6*1000000</f>
        <v>0</v>
      </c>
      <c r="K8" s="33"/>
      <c r="L8" s="33"/>
      <c r="M8" s="33"/>
      <c r="N8" s="33">
        <f>C30*'E Balans VL '!Y18/100/3.6*1000000</f>
        <v>3.8241041486558514</v>
      </c>
      <c r="O8" s="33"/>
      <c r="P8" s="33"/>
      <c r="R8" s="32"/>
    </row>
    <row r="9" spans="1:18">
      <c r="A9" s="6" t="s">
        <v>33</v>
      </c>
      <c r="B9" s="37">
        <f t="shared" si="0"/>
        <v>419.10899999999998</v>
      </c>
      <c r="C9" s="33"/>
      <c r="D9" s="37">
        <f>IF( ISERROR(IND_andere_gas_kWh/1000),0,IND_andere_gas_kWh/1000)*0.902</f>
        <v>375.68841199999997</v>
      </c>
      <c r="E9" s="33">
        <f>C31*'E Balans VL '!I19/100/3.6*1000000</f>
        <v>106.94713419327708</v>
      </c>
      <c r="F9" s="33">
        <f>C31*'E Balans VL '!L19/100/3.6*1000000+C31*'E Balans VL '!N19/100/3.6*1000000</f>
        <v>360.82134754288859</v>
      </c>
      <c r="G9" s="34"/>
      <c r="H9" s="33"/>
      <c r="I9" s="33"/>
      <c r="J9" s="40">
        <f>C31*'E Balans VL '!D19/100/3.6*1000000+C31*'E Balans VL '!E19/100/3.6*1000000</f>
        <v>0</v>
      </c>
      <c r="K9" s="33"/>
      <c r="L9" s="33"/>
      <c r="M9" s="33"/>
      <c r="N9" s="33">
        <f>C31*'E Balans VL '!Y19/100/3.6*1000000</f>
        <v>131.06973728424185</v>
      </c>
      <c r="O9" s="33"/>
      <c r="P9" s="33"/>
      <c r="R9" s="32"/>
    </row>
    <row r="10" spans="1:18">
      <c r="A10" s="6" t="s">
        <v>41</v>
      </c>
      <c r="B10" s="37">
        <f t="shared" si="0"/>
        <v>191.577</v>
      </c>
      <c r="C10" s="33"/>
      <c r="D10" s="37">
        <f>IF( ISERROR(IND_voed_gas_kWh/1000),0,IND_voed_gas_kWh/1000)*0.902</f>
        <v>0</v>
      </c>
      <c r="E10" s="33">
        <f>C32*'E Balans VL '!I20/100/3.6*1000000</f>
        <v>4.8701503967780591</v>
      </c>
      <c r="F10" s="33">
        <f>C32*'E Balans VL '!L20/100/3.6*1000000+C32*'E Balans VL '!N20/100/3.6*1000000</f>
        <v>43.350999281219231</v>
      </c>
      <c r="G10" s="34"/>
      <c r="H10" s="33"/>
      <c r="I10" s="33"/>
      <c r="J10" s="40">
        <f>C32*'E Balans VL '!D20/100/3.6*1000000+C32*'E Balans VL '!E20/100/3.6*1000000</f>
        <v>0</v>
      </c>
      <c r="K10" s="33"/>
      <c r="L10" s="33"/>
      <c r="M10" s="33"/>
      <c r="N10" s="33">
        <f>C32*'E Balans VL '!Y20/100/3.6*1000000</f>
        <v>71.846567898840703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18.045000000000002</v>
      </c>
      <c r="C13" s="33"/>
      <c r="D13" s="37">
        <f>IF( ISERROR(IND_papier_gas_kWh/1000),0,IND_papier_gas_kWh/1000)*0.902</f>
        <v>0</v>
      </c>
      <c r="E13" s="33">
        <f>C35*'E Balans VL '!I23/100/3.6*1000000</f>
        <v>7.7389755388595466E-2</v>
      </c>
      <c r="F13" s="33">
        <f>C35*'E Balans VL '!L23/100/3.6*1000000+C35*'E Balans VL '!N23/100/3.6*1000000</f>
        <v>0.45352685811452104</v>
      </c>
      <c r="G13" s="34"/>
      <c r="H13" s="33"/>
      <c r="I13" s="33"/>
      <c r="J13" s="40">
        <f>C35*'E Balans VL '!D23/100/3.6*1000000+C35*'E Balans VL '!E23/100/3.6*1000000</f>
        <v>1.2080137772463393</v>
      </c>
      <c r="K13" s="33"/>
      <c r="L13" s="33"/>
      <c r="M13" s="33"/>
      <c r="N13" s="33">
        <f>C35*'E Balans VL '!Y23/100/3.6*1000000</f>
        <v>32.846191264721909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162.41200000000001</v>
      </c>
      <c r="C15" s="33"/>
      <c r="D15" s="37">
        <f>IF( ISERROR(IND_rest_gas_kWh/1000),0,IND_rest_gas_kWh/1000)*0.902</f>
        <v>272.630402</v>
      </c>
      <c r="E15" s="33">
        <f>C37*'E Balans VL '!I15/100/3.6*1000000</f>
        <v>8.8145686048055936</v>
      </c>
      <c r="F15" s="33">
        <f>C37*'E Balans VL '!L15/100/3.6*1000000+C37*'E Balans VL '!N15/100/3.6*1000000</f>
        <v>35.398306361299063</v>
      </c>
      <c r="G15" s="34"/>
      <c r="H15" s="33"/>
      <c r="I15" s="33"/>
      <c r="J15" s="40">
        <f>C37*'E Balans VL '!D15/100/3.6*1000000+C37*'E Balans VL '!E15/100/3.6*1000000</f>
        <v>1.3166928508778009</v>
      </c>
      <c r="K15" s="33"/>
      <c r="L15" s="33"/>
      <c r="M15" s="33"/>
      <c r="N15" s="33">
        <f>C37*'E Balans VL '!Y15/100/3.6*1000000</f>
        <v>32.704529683655451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867.44299999999998</v>
      </c>
      <c r="C18" s="21">
        <f>C5+C16</f>
        <v>0</v>
      </c>
      <c r="D18" s="21">
        <f>MAX((D5+D16),0)</f>
        <v>749.46277999999995</v>
      </c>
      <c r="E18" s="21">
        <f>MAX((E5+E16),0)</f>
        <v>123.45474777339638</v>
      </c>
      <c r="F18" s="21">
        <f>MAX((F5+F16),0)</f>
        <v>473.34191666363199</v>
      </c>
      <c r="G18" s="21"/>
      <c r="H18" s="21"/>
      <c r="I18" s="21"/>
      <c r="J18" s="21">
        <f>MAX((J5+J16),0)</f>
        <v>2.5247066281241404</v>
      </c>
      <c r="K18" s="21"/>
      <c r="L18" s="21">
        <f>MAX((L5+L16),0)</f>
        <v>0</v>
      </c>
      <c r="M18" s="21"/>
      <c r="N18" s="21">
        <f>MAX((N5+N16),0)</f>
        <v>272.29113028011579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0.1980229297039075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171.77360421114662</v>
      </c>
      <c r="C22" s="23">
        <f ca="1">C18*C20</f>
        <v>0</v>
      </c>
      <c r="D22" s="23">
        <f>D18*D20</f>
        <v>151.39148155999999</v>
      </c>
      <c r="E22" s="23">
        <f>E18*E20</f>
        <v>28.024227744560978</v>
      </c>
      <c r="F22" s="23">
        <f>F18*F20</f>
        <v>126.38229174918975</v>
      </c>
      <c r="G22" s="23"/>
      <c r="H22" s="23"/>
      <c r="I22" s="23"/>
      <c r="J22" s="23">
        <f>J18*J20</f>
        <v>0.89374614635594563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76.3</v>
      </c>
      <c r="C30" s="39">
        <f>IF(ISERROR(B30*3.6/1000000/'E Balans VL '!Z18*100),0,B30*3.6/1000000/'E Balans VL '!Z18*100)</f>
        <v>1.6166334171113156E-2</v>
      </c>
      <c r="D30" s="237" t="s">
        <v>660</v>
      </c>
    </row>
    <row r="31" spans="1:18">
      <c r="A31" s="6" t="s">
        <v>33</v>
      </c>
      <c r="B31" s="37">
        <f>IF( ISERROR(IND_ander_ele_kWh/1000),0,IND_ander_ele_kWh/1000)</f>
        <v>419.10899999999998</v>
      </c>
      <c r="C31" s="39">
        <f>IF(ISERROR(B31*3.6/1000000/'E Balans VL '!Z19*100),0,B31*3.6/1000000/'E Balans VL '!Z19*100)</f>
        <v>1.764124946619457E-2</v>
      </c>
      <c r="D31" s="237" t="s">
        <v>660</v>
      </c>
    </row>
    <row r="32" spans="1:18">
      <c r="A32" s="171" t="s">
        <v>41</v>
      </c>
      <c r="B32" s="37">
        <f>IF( ISERROR(IND_voed_ele_kWh/1000),0,IND_voed_ele_kWh/1000)</f>
        <v>191.577</v>
      </c>
      <c r="C32" s="39">
        <f>IF(ISERROR(B32*3.6/1000000/'E Balans VL '!Z20*100),0,B32*3.6/1000000/'E Balans VL '!Z20*100)</f>
        <v>3.200510539467849E-2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18.045000000000002</v>
      </c>
      <c r="C35" s="39">
        <f>IF(ISERROR(B35*3.6/1000000/'E Balans VL '!Z22*100),0,B35*3.6/1000000/'E Balans VL '!Z22*100)</f>
        <v>2.28730106639758E-3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162.41200000000001</v>
      </c>
      <c r="C37" s="39">
        <f>IF(ISERROR(B37*3.6/1000000/'E Balans VL '!Z15*100),0,B37*3.6/1000000/'E Balans VL '!Z15*100)</f>
        <v>1.3112149648088298E-3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998.96</v>
      </c>
      <c r="C5" s="17">
        <f>'Eigen informatie GS &amp; warmtenet'!B60</f>
        <v>0</v>
      </c>
      <c r="D5" s="30">
        <f>IF(ISERROR(SUM(LB_lb_gas_kWh,LB_rest_gas_kWh)/1000),0,SUM(LB_lb_gas_kWh,LB_rest_gas_kWh)/1000)*0.902</f>
        <v>320.07289600000001</v>
      </c>
      <c r="E5" s="17">
        <f>B17*'E Balans VL '!I25/3.6*1000000/100</f>
        <v>25.759342837047676</v>
      </c>
      <c r="F5" s="17">
        <f>B17*('E Balans VL '!L25/3.6*1000000+'E Balans VL '!N25/3.6*1000000)/100</f>
        <v>3651.3890426905537</v>
      </c>
      <c r="G5" s="18"/>
      <c r="H5" s="17"/>
      <c r="I5" s="17"/>
      <c r="J5" s="17">
        <f>('E Balans VL '!D25+'E Balans VL '!E25)/3.6*1000000*landbouw!B17/100</f>
        <v>143.81349160104924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998.96</v>
      </c>
      <c r="C8" s="21">
        <f>C5+C6</f>
        <v>0</v>
      </c>
      <c r="D8" s="21">
        <f>MAX((D5+D6),0)</f>
        <v>320.07289600000001</v>
      </c>
      <c r="E8" s="21">
        <f>MAX((E5+E6),0)</f>
        <v>25.759342837047676</v>
      </c>
      <c r="F8" s="21">
        <f>MAX((F5+F6),0)</f>
        <v>3651.3890426905537</v>
      </c>
      <c r="G8" s="21"/>
      <c r="H8" s="21"/>
      <c r="I8" s="21"/>
      <c r="J8" s="21">
        <f>MAX((J5+J6),0)</f>
        <v>143.81349160104924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0.1980229297039075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197.81698585701545</v>
      </c>
      <c r="C12" s="23">
        <f ca="1">C8*C10</f>
        <v>0</v>
      </c>
      <c r="D12" s="23">
        <f>D8*D10</f>
        <v>64.654724992000013</v>
      </c>
      <c r="E12" s="23">
        <f>E8*E10</f>
        <v>5.8473708240098228</v>
      </c>
      <c r="F12" s="23">
        <f>F8*F10</f>
        <v>974.92087439837792</v>
      </c>
      <c r="G12" s="23"/>
      <c r="H12" s="23"/>
      <c r="I12" s="23"/>
      <c r="J12" s="23">
        <f>J8*J10</f>
        <v>50.909976026771425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0.14085997696266866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151.49029238892135</v>
      </c>
      <c r="C26" s="247">
        <f>B26*'GWP N2O_CH4'!B5</f>
        <v>3181.2961401673483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38.762136160100013</v>
      </c>
      <c r="C27" s="247">
        <f>B27*'GWP N2O_CH4'!B5</f>
        <v>814.00485936210032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1.9402420388930102</v>
      </c>
      <c r="C28" s="247">
        <f>B28*'GWP N2O_CH4'!B4</f>
        <v>601.47503205683313</v>
      </c>
      <c r="D28" s="50"/>
    </row>
    <row r="29" spans="1:4">
      <c r="A29" s="41" t="s">
        <v>277</v>
      </c>
      <c r="B29" s="247">
        <f>B34*'ha_N2O bodem landbouw'!B4</f>
        <v>13.229455613032384</v>
      </c>
      <c r="C29" s="247">
        <f>B29*'GWP N2O_CH4'!B4</f>
        <v>4101.1312400400393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2.9773464224629419E-3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9.0940344351914571E-5</v>
      </c>
      <c r="C5" s="463" t="s">
        <v>211</v>
      </c>
      <c r="D5" s="448">
        <f>SUM(D6:D11)</f>
        <v>2.0716573613663029E-4</v>
      </c>
      <c r="E5" s="448">
        <f>SUM(E6:E11)</f>
        <v>8.6376872844617187E-4</v>
      </c>
      <c r="F5" s="461" t="s">
        <v>211</v>
      </c>
      <c r="G5" s="448">
        <f>SUM(G6:G11)</f>
        <v>0.29007159278645167</v>
      </c>
      <c r="H5" s="448">
        <f>SUM(H6:H11)</f>
        <v>5.6428964914648765E-2</v>
      </c>
      <c r="I5" s="463" t="s">
        <v>211</v>
      </c>
      <c r="J5" s="463" t="s">
        <v>211</v>
      </c>
      <c r="K5" s="463" t="s">
        <v>211</v>
      </c>
      <c r="L5" s="463" t="s">
        <v>211</v>
      </c>
      <c r="M5" s="448">
        <f>SUM(M6:M11)</f>
        <v>1.0829388208695076E-2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4.3599686944161575E-5</v>
      </c>
      <c r="C6" s="449"/>
      <c r="D6" s="892">
        <f>vkm_2011_GW_PW*SUMIFS(TableVerdeelsleutelVkm[CNG],TableVerdeelsleutelVkm[Voertuigtype],"Lichte voertuigen")*SUMIFS(TableECFTransport[EnergieConsumptieFactor (PJ per km)],TableECFTransport[Index],CONCATENATE($A6,"_CNG_CNG"))</f>
        <v>8.6633341673467916E-5</v>
      </c>
      <c r="E6" s="892">
        <f>vkm_2011_GW_PW*SUMIFS(TableVerdeelsleutelVkm[LPG],TableVerdeelsleutelVkm[Voertuigtype],"Lichte voertuigen")*SUMIFS(TableECFTransport[EnergieConsumptieFactor (PJ per km)],TableECFTransport[Index],CONCATENATE($A6,"_LPG_LPG"))</f>
        <v>3.4093325521001032E-4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8.1062229986818016E-2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2.3454251897472061E-2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3.2568300874449628E-3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5.1130169945432062E-2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1.6517228841286444E-5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1.6110334219312879E-3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1.5338287239037187E-5</v>
      </c>
      <c r="C8" s="449"/>
      <c r="D8" s="451">
        <f>vkm_2011_NGW_PW*SUMIFS(TableVerdeelsleutelVkm[CNG],TableVerdeelsleutelVkm[Voertuigtype],"Lichte voertuigen")*SUMIFS(TableECFTransport[EnergieConsumptieFactor (PJ per km)],TableECFTransport[Index],CONCATENATE($A8,"_CNG_CNG"))</f>
        <v>5.3964437957958704E-5</v>
      </c>
      <c r="E8" s="451">
        <f>vkm_2011_NGW_PW*SUMIFS(TableVerdeelsleutelVkm[LPG],TableVerdeelsleutelVkm[Voertuigtype],"Lichte voertuigen")*SUMIFS(TableECFTransport[EnergieConsumptieFactor (PJ per km)],TableECFTransport[Index],CONCATENATE($A8,"_LPG_LPG"))</f>
        <v>1.9640418435868968E-4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4.3607250050263072E-2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1.4166455183096159E-2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1.7984729000339315E-3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7.6701483706592896E-3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2.3432953632325138E-6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2.4167060545472093E-4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3.2002370168715812E-5</v>
      </c>
      <c r="C10" s="449"/>
      <c r="D10" s="451">
        <f>vkm_2011_SW_PW*SUMIFS(TableVerdeelsleutelVkm[CNG],TableVerdeelsleutelVkm[Voertuigtype],"Lichte voertuigen")*SUMIFS(TableECFTransport[EnergieConsumptieFactor (PJ per km)],TableECFTransport[Index],CONCATENATE($A10,"_CNG_CNG"))</f>
        <v>6.656795650520367E-5</v>
      </c>
      <c r="E10" s="451">
        <f>vkm_2011_SW_PW*SUMIFS(TableVerdeelsleutelVkm[LPG],TableVerdeelsleutelVkm[Voertuigtype],"Lichte voertuigen")*SUMIFS(TableECFTransport[EnergieConsumptieFactor (PJ per km)],TableECFTransport[Index],CONCATENATE($A10,"_LPG_LPG"))</f>
        <v>3.2643128887747188E-4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6.9526116569665411E-2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1.8776492805424167E-2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2.7531554949319168E-3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3.70756778636138E-2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1.2904504451858529E-5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1.168225698898255E-3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25.261206764420713</v>
      </c>
      <c r="C14" s="21"/>
      <c r="D14" s="21">
        <f t="shared" ref="D14:M14" si="0">((D5)*10^9/3600)+D12</f>
        <v>57.546037815730635</v>
      </c>
      <c r="E14" s="21">
        <f t="shared" si="0"/>
        <v>239.9357579017144</v>
      </c>
      <c r="F14" s="21"/>
      <c r="G14" s="21">
        <f t="shared" si="0"/>
        <v>80575.442440681029</v>
      </c>
      <c r="H14" s="21">
        <f t="shared" si="0"/>
        <v>15674.712476291323</v>
      </c>
      <c r="I14" s="21"/>
      <c r="J14" s="21"/>
      <c r="K14" s="21"/>
      <c r="L14" s="21"/>
      <c r="M14" s="21">
        <f t="shared" si="0"/>
        <v>3008.1633913041878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0.1980229297039075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5.0022981713467551</v>
      </c>
      <c r="C18" s="23"/>
      <c r="D18" s="23">
        <f t="shared" ref="D18:M18" si="1">D14*D16</f>
        <v>11.62429963877759</v>
      </c>
      <c r="E18" s="23">
        <f t="shared" si="1"/>
        <v>54.465417043689172</v>
      </c>
      <c r="F18" s="23"/>
      <c r="G18" s="23">
        <f t="shared" si="1"/>
        <v>21513.643131661836</v>
      </c>
      <c r="H18" s="23">
        <f t="shared" si="1"/>
        <v>3903.0034065965392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7.8974457860901109E-3</v>
      </c>
      <c r="H50" s="321">
        <f t="shared" si="2"/>
        <v>0</v>
      </c>
      <c r="I50" s="321">
        <f t="shared" si="2"/>
        <v>0</v>
      </c>
      <c r="J50" s="321">
        <f t="shared" si="2"/>
        <v>0</v>
      </c>
      <c r="K50" s="321">
        <f t="shared" si="2"/>
        <v>0</v>
      </c>
      <c r="L50" s="321">
        <f t="shared" si="2"/>
        <v>0</v>
      </c>
      <c r="M50" s="321">
        <f t="shared" si="2"/>
        <v>2.4496110026026057E-4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7.8974457860901109E-3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2.4496110026026057E-4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2193.7349405805862</v>
      </c>
      <c r="H54" s="21">
        <f t="shared" si="3"/>
        <v>0</v>
      </c>
      <c r="I54" s="21">
        <f t="shared" si="3"/>
        <v>0</v>
      </c>
      <c r="J54" s="21">
        <f t="shared" si="3"/>
        <v>0</v>
      </c>
      <c r="K54" s="21">
        <f t="shared" si="3"/>
        <v>0</v>
      </c>
      <c r="L54" s="21">
        <f t="shared" si="3"/>
        <v>0</v>
      </c>
      <c r="M54" s="21">
        <f t="shared" si="3"/>
        <v>68.044750072294605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0.1980229297039075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585.7272291350165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11629.394</v>
      </c>
      <c r="D10" s="1012">
        <f ca="1">tertiair!C16</f>
        <v>0</v>
      </c>
      <c r="E10" s="1012">
        <f ca="1">tertiair!D16</f>
        <v>4958.1947800000007</v>
      </c>
      <c r="F10" s="1012">
        <f>tertiair!E16</f>
        <v>263.44727244718604</v>
      </c>
      <c r="G10" s="1012">
        <f ca="1">tertiair!F16</f>
        <v>2623.5791357382309</v>
      </c>
      <c r="H10" s="1012">
        <f>tertiair!G16</f>
        <v>0</v>
      </c>
      <c r="I10" s="1012">
        <f>tertiair!H16</f>
        <v>0</v>
      </c>
      <c r="J10" s="1012">
        <f>tertiair!I16</f>
        <v>0</v>
      </c>
      <c r="K10" s="1012">
        <f>tertiair!J16</f>
        <v>0</v>
      </c>
      <c r="L10" s="1012">
        <f>tertiair!K16</f>
        <v>0</v>
      </c>
      <c r="M10" s="1012">
        <f ca="1">tertiair!L16</f>
        <v>0</v>
      </c>
      <c r="N10" s="1012">
        <f>tertiair!M16</f>
        <v>0</v>
      </c>
      <c r="O10" s="1012">
        <f ca="1">tertiair!N16</f>
        <v>676.631288452234</v>
      </c>
      <c r="P10" s="1012">
        <f>tertiair!O16</f>
        <v>1.5633333333333335</v>
      </c>
      <c r="Q10" s="1013">
        <f>tertiair!P16</f>
        <v>0</v>
      </c>
      <c r="R10" s="700">
        <f ca="1">SUM(C10:Q10)</f>
        <v>20152.809809970982</v>
      </c>
      <c r="S10" s="67"/>
    </row>
    <row r="11" spans="1:19" s="473" customFormat="1">
      <c r="A11" s="809" t="s">
        <v>225</v>
      </c>
      <c r="B11" s="814"/>
      <c r="C11" s="1012">
        <f>huishoudens!B8</f>
        <v>19311.556607110975</v>
      </c>
      <c r="D11" s="1012">
        <f>huishoudens!C8</f>
        <v>0</v>
      </c>
      <c r="E11" s="1012">
        <f>huishoudens!D8</f>
        <v>18183.174459999998</v>
      </c>
      <c r="F11" s="1012">
        <f>huishoudens!E8</f>
        <v>8365.0411641214159</v>
      </c>
      <c r="G11" s="1012">
        <f>huishoudens!F8</f>
        <v>48418.978796374999</v>
      </c>
      <c r="H11" s="1012">
        <f>huishoudens!G8</f>
        <v>0</v>
      </c>
      <c r="I11" s="1012">
        <f>huishoudens!H8</f>
        <v>0</v>
      </c>
      <c r="J11" s="1012">
        <f>huishoudens!I8</f>
        <v>0</v>
      </c>
      <c r="K11" s="1012">
        <f>huishoudens!J8</f>
        <v>1823.2247691223156</v>
      </c>
      <c r="L11" s="1012">
        <f>huishoudens!K8</f>
        <v>0</v>
      </c>
      <c r="M11" s="1012">
        <f>huishoudens!L8</f>
        <v>0</v>
      </c>
      <c r="N11" s="1012">
        <f>huishoudens!M8</f>
        <v>0</v>
      </c>
      <c r="O11" s="1012">
        <f>huishoudens!N8</f>
        <v>10902.308223983173</v>
      </c>
      <c r="P11" s="1012">
        <f>huishoudens!O8</f>
        <v>170.40333333333334</v>
      </c>
      <c r="Q11" s="1013">
        <f>huishoudens!P8</f>
        <v>972.4</v>
      </c>
      <c r="R11" s="700">
        <f>SUM(C11:Q11)</f>
        <v>108147.08735404621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867.44299999999998</v>
      </c>
      <c r="D13" s="1012">
        <f>industrie!C18</f>
        <v>0</v>
      </c>
      <c r="E13" s="1012">
        <f>industrie!D18</f>
        <v>749.46277999999995</v>
      </c>
      <c r="F13" s="1012">
        <f>industrie!E18</f>
        <v>123.45474777339638</v>
      </c>
      <c r="G13" s="1012">
        <f>industrie!F18</f>
        <v>473.34191666363199</v>
      </c>
      <c r="H13" s="1012">
        <f>industrie!G18</f>
        <v>0</v>
      </c>
      <c r="I13" s="1012">
        <f>industrie!H18</f>
        <v>0</v>
      </c>
      <c r="J13" s="1012">
        <f>industrie!I18</f>
        <v>0</v>
      </c>
      <c r="K13" s="1012">
        <f>industrie!J18</f>
        <v>2.5247066281241404</v>
      </c>
      <c r="L13" s="1012">
        <f>industrie!K18</f>
        <v>0</v>
      </c>
      <c r="M13" s="1012">
        <f>industrie!L18</f>
        <v>0</v>
      </c>
      <c r="N13" s="1012">
        <f>industrie!M18</f>
        <v>0</v>
      </c>
      <c r="O13" s="1012">
        <f>industrie!N18</f>
        <v>272.29113028011579</v>
      </c>
      <c r="P13" s="1012">
        <f>industrie!O18</f>
        <v>0</v>
      </c>
      <c r="Q13" s="1013">
        <f>industrie!P18</f>
        <v>0</v>
      </c>
      <c r="R13" s="700">
        <f>SUM(C13:Q13)</f>
        <v>2488.518281345268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31808.393607110975</v>
      </c>
      <c r="D16" s="732">
        <f t="shared" ref="D16:R16" ca="1" si="0">SUM(D9:D15)</f>
        <v>0</v>
      </c>
      <c r="E16" s="732">
        <f t="shared" ca="1" si="0"/>
        <v>23890.832020000002</v>
      </c>
      <c r="F16" s="732">
        <f t="shared" si="0"/>
        <v>8751.943184341997</v>
      </c>
      <c r="G16" s="732">
        <f t="shared" ca="1" si="0"/>
        <v>51515.899848776862</v>
      </c>
      <c r="H16" s="732">
        <f t="shared" si="0"/>
        <v>0</v>
      </c>
      <c r="I16" s="732">
        <f t="shared" si="0"/>
        <v>0</v>
      </c>
      <c r="J16" s="732">
        <f t="shared" si="0"/>
        <v>0</v>
      </c>
      <c r="K16" s="732">
        <f t="shared" si="0"/>
        <v>1825.7494757504398</v>
      </c>
      <c r="L16" s="732">
        <f t="shared" si="0"/>
        <v>0</v>
      </c>
      <c r="M16" s="732">
        <f t="shared" ca="1" si="0"/>
        <v>0</v>
      </c>
      <c r="N16" s="732">
        <f t="shared" si="0"/>
        <v>0</v>
      </c>
      <c r="O16" s="732">
        <f t="shared" ca="1" si="0"/>
        <v>11851.230642715524</v>
      </c>
      <c r="P16" s="732">
        <f t="shared" si="0"/>
        <v>171.96666666666667</v>
      </c>
      <c r="Q16" s="732">
        <f t="shared" si="0"/>
        <v>972.4</v>
      </c>
      <c r="R16" s="732">
        <f t="shared" ca="1" si="0"/>
        <v>130788.41544536247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2193.7349405805862</v>
      </c>
      <c r="I19" s="1012">
        <f>transport!H54</f>
        <v>0</v>
      </c>
      <c r="J19" s="1012">
        <f>transport!I54</f>
        <v>0</v>
      </c>
      <c r="K19" s="1012">
        <f>transport!J54</f>
        <v>0</v>
      </c>
      <c r="L19" s="1012">
        <f>transport!K54</f>
        <v>0</v>
      </c>
      <c r="M19" s="1012">
        <f>transport!L54</f>
        <v>0</v>
      </c>
      <c r="N19" s="1012">
        <f>transport!M54</f>
        <v>68.044750072294605</v>
      </c>
      <c r="O19" s="1012">
        <f>transport!N54</f>
        <v>0</v>
      </c>
      <c r="P19" s="1012">
        <f>transport!O54</f>
        <v>0</v>
      </c>
      <c r="Q19" s="1013">
        <f>transport!P54</f>
        <v>0</v>
      </c>
      <c r="R19" s="700">
        <f>SUM(C19:Q19)</f>
        <v>2261.7796906528806</v>
      </c>
      <c r="S19" s="67"/>
    </row>
    <row r="20" spans="1:19" s="473" customFormat="1">
      <c r="A20" s="809" t="s">
        <v>307</v>
      </c>
      <c r="B20" s="814"/>
      <c r="C20" s="1012">
        <f>transport!B14</f>
        <v>25.261206764420713</v>
      </c>
      <c r="D20" s="1012">
        <f>transport!C14</f>
        <v>0</v>
      </c>
      <c r="E20" s="1012">
        <f>transport!D14</f>
        <v>57.546037815730635</v>
      </c>
      <c r="F20" s="1012">
        <f>transport!E14</f>
        <v>239.9357579017144</v>
      </c>
      <c r="G20" s="1012">
        <f>transport!F14</f>
        <v>0</v>
      </c>
      <c r="H20" s="1012">
        <f>transport!G14</f>
        <v>80575.442440681029</v>
      </c>
      <c r="I20" s="1012">
        <f>transport!H14</f>
        <v>15674.712476291323</v>
      </c>
      <c r="J20" s="1012">
        <f>transport!I14</f>
        <v>0</v>
      </c>
      <c r="K20" s="1012">
        <f>transport!J14</f>
        <v>0</v>
      </c>
      <c r="L20" s="1012">
        <f>transport!K14</f>
        <v>0</v>
      </c>
      <c r="M20" s="1012">
        <f>transport!L14</f>
        <v>0</v>
      </c>
      <c r="N20" s="1012">
        <f>transport!M14</f>
        <v>3008.1633913041878</v>
      </c>
      <c r="O20" s="1012">
        <f>transport!N14</f>
        <v>0</v>
      </c>
      <c r="P20" s="1012">
        <f>transport!O14</f>
        <v>0</v>
      </c>
      <c r="Q20" s="1013">
        <f>transport!P14</f>
        <v>0</v>
      </c>
      <c r="R20" s="700">
        <f>SUM(C20:Q20)</f>
        <v>99581.061310758392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25.261206764420713</v>
      </c>
      <c r="D22" s="812">
        <f t="shared" ref="D22:R22" si="1">SUM(D18:D21)</f>
        <v>0</v>
      </c>
      <c r="E22" s="812">
        <f t="shared" si="1"/>
        <v>57.546037815730635</v>
      </c>
      <c r="F22" s="812">
        <f t="shared" si="1"/>
        <v>239.9357579017144</v>
      </c>
      <c r="G22" s="812">
        <f t="shared" si="1"/>
        <v>0</v>
      </c>
      <c r="H22" s="812">
        <f t="shared" si="1"/>
        <v>82769.177381261616</v>
      </c>
      <c r="I22" s="812">
        <f t="shared" si="1"/>
        <v>15674.712476291323</v>
      </c>
      <c r="J22" s="812">
        <f t="shared" si="1"/>
        <v>0</v>
      </c>
      <c r="K22" s="812">
        <f t="shared" si="1"/>
        <v>0</v>
      </c>
      <c r="L22" s="812">
        <f t="shared" si="1"/>
        <v>0</v>
      </c>
      <c r="M22" s="812">
        <f t="shared" si="1"/>
        <v>0</v>
      </c>
      <c r="N22" s="812">
        <f t="shared" si="1"/>
        <v>3076.2081413764822</v>
      </c>
      <c r="O22" s="812">
        <f t="shared" si="1"/>
        <v>0</v>
      </c>
      <c r="P22" s="812">
        <f t="shared" si="1"/>
        <v>0</v>
      </c>
      <c r="Q22" s="812">
        <f t="shared" si="1"/>
        <v>0</v>
      </c>
      <c r="R22" s="812">
        <f t="shared" si="1"/>
        <v>101842.84100141127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998.96</v>
      </c>
      <c r="D24" s="1012">
        <f>+landbouw!C8</f>
        <v>0</v>
      </c>
      <c r="E24" s="1012">
        <f>+landbouw!D8</f>
        <v>320.07289600000001</v>
      </c>
      <c r="F24" s="1012">
        <f>+landbouw!E8</f>
        <v>25.759342837047676</v>
      </c>
      <c r="G24" s="1012">
        <f>+landbouw!F8</f>
        <v>3651.3890426905537</v>
      </c>
      <c r="H24" s="1012">
        <f>+landbouw!G8</f>
        <v>0</v>
      </c>
      <c r="I24" s="1012">
        <f>+landbouw!H8</f>
        <v>0</v>
      </c>
      <c r="J24" s="1012">
        <f>+landbouw!I8</f>
        <v>0</v>
      </c>
      <c r="K24" s="1012">
        <f>+landbouw!J8</f>
        <v>143.81349160104924</v>
      </c>
      <c r="L24" s="1012">
        <f>+landbouw!K8</f>
        <v>0</v>
      </c>
      <c r="M24" s="1012">
        <f>+landbouw!L8</f>
        <v>0</v>
      </c>
      <c r="N24" s="1012">
        <f>+landbouw!M8</f>
        <v>0</v>
      </c>
      <c r="O24" s="1012">
        <f>+landbouw!N8</f>
        <v>0</v>
      </c>
      <c r="P24" s="1012">
        <f>+landbouw!O8</f>
        <v>0</v>
      </c>
      <c r="Q24" s="1013">
        <f>+landbouw!P8</f>
        <v>0</v>
      </c>
      <c r="R24" s="700">
        <f>SUM(C24:Q24)</f>
        <v>5139.9947731286511</v>
      </c>
      <c r="S24" s="67"/>
    </row>
    <row r="25" spans="1:19" s="473" customFormat="1" ht="15" thickBot="1">
      <c r="A25" s="831" t="s">
        <v>848</v>
      </c>
      <c r="B25" s="1015"/>
      <c r="C25" s="1016">
        <f>IF(Onbekend_ele_kWh="---",0,Onbekend_ele_kWh)/1000+IF(REST_rest_ele_kWh="---",0,REST_rest_ele_kWh)/1000</f>
        <v>535.79100000000005</v>
      </c>
      <c r="D25" s="1016"/>
      <c r="E25" s="1016">
        <f>IF(onbekend_gas_kWh="---",0,onbekend_gas_kWh)/1000+IF(REST_rest_gas_kWh="---",0,REST_rest_gas_kWh)/1000</f>
        <v>1179.25</v>
      </c>
      <c r="F25" s="1016"/>
      <c r="G25" s="1016"/>
      <c r="H25" s="1016"/>
      <c r="I25" s="1016"/>
      <c r="J25" s="1016"/>
      <c r="K25" s="1016"/>
      <c r="L25" s="1016"/>
      <c r="M25" s="1016"/>
      <c r="N25" s="1016"/>
      <c r="O25" s="1016"/>
      <c r="P25" s="1016"/>
      <c r="Q25" s="1017"/>
      <c r="R25" s="700">
        <f>SUM(C25:Q25)</f>
        <v>1715.0410000000002</v>
      </c>
      <c r="S25" s="67"/>
    </row>
    <row r="26" spans="1:19" s="473" customFormat="1" ht="15.75" thickBot="1">
      <c r="A26" s="705" t="s">
        <v>849</v>
      </c>
      <c r="B26" s="817"/>
      <c r="C26" s="812">
        <f>SUM(C24:C25)</f>
        <v>1534.7510000000002</v>
      </c>
      <c r="D26" s="812">
        <f t="shared" ref="D26:R26" si="2">SUM(D24:D25)</f>
        <v>0</v>
      </c>
      <c r="E26" s="812">
        <f t="shared" si="2"/>
        <v>1499.3228960000001</v>
      </c>
      <c r="F26" s="812">
        <f t="shared" si="2"/>
        <v>25.759342837047676</v>
      </c>
      <c r="G26" s="812">
        <f t="shared" si="2"/>
        <v>3651.3890426905537</v>
      </c>
      <c r="H26" s="812">
        <f t="shared" si="2"/>
        <v>0</v>
      </c>
      <c r="I26" s="812">
        <f t="shared" si="2"/>
        <v>0</v>
      </c>
      <c r="J26" s="812">
        <f t="shared" si="2"/>
        <v>0</v>
      </c>
      <c r="K26" s="812">
        <f t="shared" si="2"/>
        <v>143.81349160104924</v>
      </c>
      <c r="L26" s="812">
        <f t="shared" si="2"/>
        <v>0</v>
      </c>
      <c r="M26" s="812">
        <f t="shared" si="2"/>
        <v>0</v>
      </c>
      <c r="N26" s="812">
        <f t="shared" si="2"/>
        <v>0</v>
      </c>
      <c r="O26" s="812">
        <f t="shared" si="2"/>
        <v>0</v>
      </c>
      <c r="P26" s="812">
        <f t="shared" si="2"/>
        <v>0</v>
      </c>
      <c r="Q26" s="812">
        <f t="shared" si="2"/>
        <v>0</v>
      </c>
      <c r="R26" s="812">
        <f t="shared" si="2"/>
        <v>6855.0357731286513</v>
      </c>
      <c r="S26" s="67"/>
    </row>
    <row r="27" spans="1:19" s="473" customFormat="1" ht="17.25" thickTop="1" thickBot="1">
      <c r="A27" s="706" t="s">
        <v>116</v>
      </c>
      <c r="B27" s="805"/>
      <c r="C27" s="707">
        <f ca="1">C22+C16+C26</f>
        <v>33368.405813875397</v>
      </c>
      <c r="D27" s="707">
        <f t="shared" ref="D27:R27" ca="1" si="3">D22+D16+D26</f>
        <v>0</v>
      </c>
      <c r="E27" s="707">
        <f t="shared" ca="1" si="3"/>
        <v>25447.700953815733</v>
      </c>
      <c r="F27" s="707">
        <f t="shared" si="3"/>
        <v>9017.6382850807586</v>
      </c>
      <c r="G27" s="707">
        <f t="shared" ca="1" si="3"/>
        <v>55167.288891467419</v>
      </c>
      <c r="H27" s="707">
        <f t="shared" si="3"/>
        <v>82769.177381261616</v>
      </c>
      <c r="I27" s="707">
        <f t="shared" si="3"/>
        <v>15674.712476291323</v>
      </c>
      <c r="J27" s="707">
        <f t="shared" si="3"/>
        <v>0</v>
      </c>
      <c r="K27" s="707">
        <f t="shared" si="3"/>
        <v>1969.5629673514891</v>
      </c>
      <c r="L27" s="707">
        <f t="shared" si="3"/>
        <v>0</v>
      </c>
      <c r="M27" s="707">
        <f t="shared" ca="1" si="3"/>
        <v>0</v>
      </c>
      <c r="N27" s="707">
        <f t="shared" si="3"/>
        <v>3076.2081413764822</v>
      </c>
      <c r="O27" s="707">
        <f t="shared" ca="1" si="3"/>
        <v>11851.230642715524</v>
      </c>
      <c r="P27" s="707">
        <f t="shared" si="3"/>
        <v>171.96666666666667</v>
      </c>
      <c r="Q27" s="707">
        <f t="shared" si="3"/>
        <v>972.4</v>
      </c>
      <c r="R27" s="707">
        <f t="shared" ca="1" si="3"/>
        <v>239486.29221990239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2302.8866705610435</v>
      </c>
      <c r="D40" s="1012">
        <f ca="1">tertiair!C20</f>
        <v>0</v>
      </c>
      <c r="E40" s="1012">
        <f ca="1">tertiair!D20</f>
        <v>1001.5553455600002</v>
      </c>
      <c r="F40" s="1012">
        <f>tertiair!E20</f>
        <v>59.802530845511235</v>
      </c>
      <c r="G40" s="1012">
        <f ca="1">tertiair!F20</f>
        <v>700.49562924210773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4064.7401762086629</v>
      </c>
    </row>
    <row r="41" spans="1:18">
      <c r="A41" s="822" t="s">
        <v>225</v>
      </c>
      <c r="B41" s="829"/>
      <c r="C41" s="1012">
        <f ca="1">huishoudens!B12</f>
        <v>3824.131016482967</v>
      </c>
      <c r="D41" s="1012">
        <f ca="1">huishoudens!C12</f>
        <v>0</v>
      </c>
      <c r="E41" s="1012">
        <f>huishoudens!D12</f>
        <v>3673.0012409199999</v>
      </c>
      <c r="F41" s="1012">
        <f>huishoudens!E12</f>
        <v>1898.8643442555615</v>
      </c>
      <c r="G41" s="1012">
        <f>huishoudens!F12</f>
        <v>12927.867338632126</v>
      </c>
      <c r="H41" s="1012">
        <f>huishoudens!G12</f>
        <v>0</v>
      </c>
      <c r="I41" s="1012">
        <f>huishoudens!H12</f>
        <v>0</v>
      </c>
      <c r="J41" s="1012">
        <f>huishoudens!I12</f>
        <v>0</v>
      </c>
      <c r="K41" s="1012">
        <f>huishoudens!J12</f>
        <v>645.42156826929966</v>
      </c>
      <c r="L41" s="1012">
        <f>huishoudens!K12</f>
        <v>0</v>
      </c>
      <c r="M41" s="1012">
        <f>huishoudens!L12</f>
        <v>0</v>
      </c>
      <c r="N41" s="1012">
        <f>huishoudens!M12</f>
        <v>0</v>
      </c>
      <c r="O41" s="1012">
        <f>huishoudens!N12</f>
        <v>0</v>
      </c>
      <c r="P41" s="1012">
        <f>huishoudens!O12</f>
        <v>0</v>
      </c>
      <c r="Q41" s="774">
        <f>huishoudens!P12</f>
        <v>0</v>
      </c>
      <c r="R41" s="850">
        <f t="shared" ca="1" si="4"/>
        <v>22969.285508559955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171.77360421114662</v>
      </c>
      <c r="D43" s="1012">
        <f ca="1">industrie!C22</f>
        <v>0</v>
      </c>
      <c r="E43" s="1012">
        <f>industrie!D22</f>
        <v>151.39148155999999</v>
      </c>
      <c r="F43" s="1012">
        <f>industrie!E22</f>
        <v>28.024227744560978</v>
      </c>
      <c r="G43" s="1012">
        <f>industrie!F22</f>
        <v>126.38229174918975</v>
      </c>
      <c r="H43" s="1012">
        <f>industrie!G22</f>
        <v>0</v>
      </c>
      <c r="I43" s="1012">
        <f>industrie!H22</f>
        <v>0</v>
      </c>
      <c r="J43" s="1012">
        <f>industrie!I22</f>
        <v>0</v>
      </c>
      <c r="K43" s="1012">
        <f>industrie!J22</f>
        <v>0.89374614635594563</v>
      </c>
      <c r="L43" s="1012">
        <f>industrie!K22</f>
        <v>0</v>
      </c>
      <c r="M43" s="1012">
        <f>industrie!L22</f>
        <v>0</v>
      </c>
      <c r="N43" s="1012">
        <f>industrie!M22</f>
        <v>0</v>
      </c>
      <c r="O43" s="1012">
        <f>industrie!N22</f>
        <v>0</v>
      </c>
      <c r="P43" s="1012">
        <f>industrie!O22</f>
        <v>0</v>
      </c>
      <c r="Q43" s="774">
        <f>industrie!P22</f>
        <v>0</v>
      </c>
      <c r="R43" s="849">
        <f t="shared" ca="1" si="4"/>
        <v>478.46535141125327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6298.7912912551565</v>
      </c>
      <c r="D46" s="732">
        <f t="shared" ref="D46:Q46" ca="1" si="5">SUM(D39:D45)</f>
        <v>0</v>
      </c>
      <c r="E46" s="732">
        <f t="shared" ca="1" si="5"/>
        <v>4825.9480680400002</v>
      </c>
      <c r="F46" s="732">
        <f t="shared" si="5"/>
        <v>1986.6911028456336</v>
      </c>
      <c r="G46" s="732">
        <f t="shared" ca="1" si="5"/>
        <v>13754.745259623423</v>
      </c>
      <c r="H46" s="732">
        <f t="shared" si="5"/>
        <v>0</v>
      </c>
      <c r="I46" s="732">
        <f t="shared" si="5"/>
        <v>0</v>
      </c>
      <c r="J46" s="732">
        <f t="shared" si="5"/>
        <v>0</v>
      </c>
      <c r="K46" s="732">
        <f t="shared" si="5"/>
        <v>646.31531441565562</v>
      </c>
      <c r="L46" s="732">
        <f t="shared" si="5"/>
        <v>0</v>
      </c>
      <c r="M46" s="732">
        <f t="shared" ca="1" si="5"/>
        <v>0</v>
      </c>
      <c r="N46" s="732">
        <f t="shared" si="5"/>
        <v>0</v>
      </c>
      <c r="O46" s="732">
        <f t="shared" ca="1" si="5"/>
        <v>0</v>
      </c>
      <c r="P46" s="732">
        <f t="shared" si="5"/>
        <v>0</v>
      </c>
      <c r="Q46" s="732">
        <f t="shared" si="5"/>
        <v>0</v>
      </c>
      <c r="R46" s="732">
        <f ca="1">SUM(R39:R45)</f>
        <v>27512.491036179872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585.7272291350165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585.7272291350165</v>
      </c>
    </row>
    <row r="50" spans="1:18">
      <c r="A50" s="825" t="s">
        <v>307</v>
      </c>
      <c r="B50" s="835"/>
      <c r="C50" s="703">
        <f ca="1">transport!B18</f>
        <v>5.0022981713467551</v>
      </c>
      <c r="D50" s="703">
        <f>transport!C18</f>
        <v>0</v>
      </c>
      <c r="E50" s="703">
        <f>transport!D18</f>
        <v>11.62429963877759</v>
      </c>
      <c r="F50" s="703">
        <f>transport!E18</f>
        <v>54.465417043689172</v>
      </c>
      <c r="G50" s="703">
        <f>transport!F18</f>
        <v>0</v>
      </c>
      <c r="H50" s="703">
        <f>transport!G18</f>
        <v>21513.643131661836</v>
      </c>
      <c r="I50" s="703">
        <f>transport!H18</f>
        <v>3903.0034065965392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25487.738553112191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5.0022981713467551</v>
      </c>
      <c r="D52" s="732">
        <f t="shared" ref="D52:Q52" ca="1" si="6">SUM(D48:D51)</f>
        <v>0</v>
      </c>
      <c r="E52" s="732">
        <f t="shared" si="6"/>
        <v>11.62429963877759</v>
      </c>
      <c r="F52" s="732">
        <f t="shared" si="6"/>
        <v>54.465417043689172</v>
      </c>
      <c r="G52" s="732">
        <f t="shared" si="6"/>
        <v>0</v>
      </c>
      <c r="H52" s="732">
        <f t="shared" si="6"/>
        <v>22099.370360796853</v>
      </c>
      <c r="I52" s="732">
        <f t="shared" si="6"/>
        <v>3903.0034065965392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26073.465782247207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197.81698585701545</v>
      </c>
      <c r="D54" s="703">
        <f ca="1">+landbouw!C12</f>
        <v>0</v>
      </c>
      <c r="E54" s="703">
        <f>+landbouw!D12</f>
        <v>64.654724992000013</v>
      </c>
      <c r="F54" s="703">
        <f>+landbouw!E12</f>
        <v>5.8473708240098228</v>
      </c>
      <c r="G54" s="703">
        <f>+landbouw!F12</f>
        <v>974.92087439837792</v>
      </c>
      <c r="H54" s="703">
        <f>+landbouw!G12</f>
        <v>0</v>
      </c>
      <c r="I54" s="703">
        <f>+landbouw!H12</f>
        <v>0</v>
      </c>
      <c r="J54" s="703">
        <f>+landbouw!I12</f>
        <v>0</v>
      </c>
      <c r="K54" s="703">
        <f>+landbouw!J12</f>
        <v>50.909976026771425</v>
      </c>
      <c r="L54" s="703">
        <f>+landbouw!K12</f>
        <v>0</v>
      </c>
      <c r="M54" s="703">
        <f>+landbouw!L12</f>
        <v>0</v>
      </c>
      <c r="N54" s="703">
        <f>+landbouw!M12</f>
        <v>0</v>
      </c>
      <c r="O54" s="703">
        <f>+landbouw!N12</f>
        <v>0</v>
      </c>
      <c r="P54" s="703">
        <f>+landbouw!O12</f>
        <v>0</v>
      </c>
      <c r="Q54" s="704">
        <f>+landbouw!P12</f>
        <v>0</v>
      </c>
      <c r="R54" s="731">
        <f ca="1">SUM(C54:Q54)</f>
        <v>1294.1499320981745</v>
      </c>
    </row>
    <row r="55" spans="1:18" ht="15" thickBot="1">
      <c r="A55" s="825" t="s">
        <v>848</v>
      </c>
      <c r="B55" s="835"/>
      <c r="C55" s="703">
        <f ca="1">C25*'EF ele_warmte'!B12</f>
        <v>106.09890352898631</v>
      </c>
      <c r="D55" s="703"/>
      <c r="E55" s="703">
        <f>E25*EF_CO2_aardgas</f>
        <v>238.20850000000002</v>
      </c>
      <c r="F55" s="703"/>
      <c r="G55" s="703"/>
      <c r="H55" s="703"/>
      <c r="I55" s="703"/>
      <c r="J55" s="703"/>
      <c r="K55" s="703"/>
      <c r="L55" s="703"/>
      <c r="M55" s="703"/>
      <c r="N55" s="703"/>
      <c r="O55" s="703"/>
      <c r="P55" s="703"/>
      <c r="Q55" s="704"/>
      <c r="R55" s="731">
        <f ca="1">SUM(C55:Q55)</f>
        <v>344.30740352898636</v>
      </c>
    </row>
    <row r="56" spans="1:18" ht="15.75" thickBot="1">
      <c r="A56" s="823" t="s">
        <v>849</v>
      </c>
      <c r="B56" s="836"/>
      <c r="C56" s="732">
        <f ca="1">SUM(C54:C55)</f>
        <v>303.91588938600177</v>
      </c>
      <c r="D56" s="732">
        <f t="shared" ref="D56:Q56" ca="1" si="7">SUM(D54:D55)</f>
        <v>0</v>
      </c>
      <c r="E56" s="732">
        <f t="shared" si="7"/>
        <v>302.86322499200003</v>
      </c>
      <c r="F56" s="732">
        <f t="shared" si="7"/>
        <v>5.8473708240098228</v>
      </c>
      <c r="G56" s="732">
        <f t="shared" si="7"/>
        <v>974.92087439837792</v>
      </c>
      <c r="H56" s="732">
        <f t="shared" si="7"/>
        <v>0</v>
      </c>
      <c r="I56" s="732">
        <f t="shared" si="7"/>
        <v>0</v>
      </c>
      <c r="J56" s="732">
        <f t="shared" si="7"/>
        <v>0</v>
      </c>
      <c r="K56" s="732">
        <f t="shared" si="7"/>
        <v>50.909976026771425</v>
      </c>
      <c r="L56" s="732">
        <f t="shared" si="7"/>
        <v>0</v>
      </c>
      <c r="M56" s="732">
        <f t="shared" si="7"/>
        <v>0</v>
      </c>
      <c r="N56" s="732">
        <f t="shared" si="7"/>
        <v>0</v>
      </c>
      <c r="O56" s="732">
        <f t="shared" si="7"/>
        <v>0</v>
      </c>
      <c r="P56" s="732">
        <f t="shared" si="7"/>
        <v>0</v>
      </c>
      <c r="Q56" s="733">
        <f t="shared" si="7"/>
        <v>0</v>
      </c>
      <c r="R56" s="734">
        <f ca="1">SUM(R54:R55)</f>
        <v>1638.4573356271608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6607.709478812505</v>
      </c>
      <c r="D61" s="740">
        <f t="shared" ref="D61:Q61" ca="1" si="8">D46+D52+D56</f>
        <v>0</v>
      </c>
      <c r="E61" s="740">
        <f t="shared" ca="1" si="8"/>
        <v>5140.4355926707776</v>
      </c>
      <c r="F61" s="740">
        <f t="shared" si="8"/>
        <v>2047.0038907133326</v>
      </c>
      <c r="G61" s="740">
        <f t="shared" ca="1" si="8"/>
        <v>14729.666134021802</v>
      </c>
      <c r="H61" s="740">
        <f t="shared" si="8"/>
        <v>22099.370360796853</v>
      </c>
      <c r="I61" s="740">
        <f t="shared" si="8"/>
        <v>3903.0034065965392</v>
      </c>
      <c r="J61" s="740">
        <f t="shared" si="8"/>
        <v>0</v>
      </c>
      <c r="K61" s="740">
        <f t="shared" si="8"/>
        <v>697.22529044242708</v>
      </c>
      <c r="L61" s="740">
        <f t="shared" si="8"/>
        <v>0</v>
      </c>
      <c r="M61" s="740">
        <f t="shared" ca="1" si="8"/>
        <v>0</v>
      </c>
      <c r="N61" s="740">
        <f t="shared" si="8"/>
        <v>0</v>
      </c>
      <c r="O61" s="740">
        <f t="shared" ca="1" si="8"/>
        <v>0</v>
      </c>
      <c r="P61" s="740">
        <f t="shared" si="8"/>
        <v>0</v>
      </c>
      <c r="Q61" s="740">
        <f t="shared" si="8"/>
        <v>0</v>
      </c>
      <c r="R61" s="740">
        <f ca="1">R46+R52+R56</f>
        <v>55224.414154054233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0.19802292970390747</v>
      </c>
      <c r="D63" s="781">
        <f t="shared" ca="1" si="9"/>
        <v>0</v>
      </c>
      <c r="E63" s="1023">
        <f t="shared" ca="1" si="9"/>
        <v>0.20199999999999999</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3469.2679006966378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3469.2679006966378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3469.2679006966378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3469.2679006966378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19311.556607110975</v>
      </c>
      <c r="C4" s="477">
        <f>huishoudens!C8</f>
        <v>0</v>
      </c>
      <c r="D4" s="477">
        <f>huishoudens!D8</f>
        <v>18183.174459999998</v>
      </c>
      <c r="E4" s="477">
        <f>huishoudens!E8</f>
        <v>8365.0411641214159</v>
      </c>
      <c r="F4" s="477">
        <f>huishoudens!F8</f>
        <v>48418.978796374999</v>
      </c>
      <c r="G4" s="477">
        <f>huishoudens!G8</f>
        <v>0</v>
      </c>
      <c r="H4" s="477">
        <f>huishoudens!H8</f>
        <v>0</v>
      </c>
      <c r="I4" s="477">
        <f>huishoudens!I8</f>
        <v>0</v>
      </c>
      <c r="J4" s="477">
        <f>huishoudens!J8</f>
        <v>1823.2247691223156</v>
      </c>
      <c r="K4" s="477">
        <f>huishoudens!K8</f>
        <v>0</v>
      </c>
      <c r="L4" s="477">
        <f>huishoudens!L8</f>
        <v>0</v>
      </c>
      <c r="M4" s="477">
        <f>huishoudens!M8</f>
        <v>0</v>
      </c>
      <c r="N4" s="477">
        <f>huishoudens!N8</f>
        <v>10902.308223983173</v>
      </c>
      <c r="O4" s="477">
        <f>huishoudens!O8</f>
        <v>170.40333333333334</v>
      </c>
      <c r="P4" s="478">
        <f>huishoudens!P8</f>
        <v>972.4</v>
      </c>
      <c r="Q4" s="479">
        <f>SUM(B4:P4)</f>
        <v>108147.08735404621</v>
      </c>
    </row>
    <row r="5" spans="1:17">
      <c r="A5" s="476" t="s">
        <v>156</v>
      </c>
      <c r="B5" s="477">
        <f ca="1">tertiair!B16</f>
        <v>11031.362999999999</v>
      </c>
      <c r="C5" s="477">
        <f ca="1">tertiair!C16</f>
        <v>0</v>
      </c>
      <c r="D5" s="477">
        <f ca="1">tertiair!D16</f>
        <v>4958.1947800000007</v>
      </c>
      <c r="E5" s="477">
        <f>tertiair!E16</f>
        <v>263.44727244718604</v>
      </c>
      <c r="F5" s="477">
        <f ca="1">tertiair!F16</f>
        <v>2623.5791357382309</v>
      </c>
      <c r="G5" s="477">
        <f>tertiair!G16</f>
        <v>0</v>
      </c>
      <c r="H5" s="477">
        <f>tertiair!H16</f>
        <v>0</v>
      </c>
      <c r="I5" s="477">
        <f>tertiair!I16</f>
        <v>0</v>
      </c>
      <c r="J5" s="477">
        <f>tertiair!J16</f>
        <v>0</v>
      </c>
      <c r="K5" s="477">
        <f>tertiair!K16</f>
        <v>0</v>
      </c>
      <c r="L5" s="477">
        <f ca="1">tertiair!L16</f>
        <v>0</v>
      </c>
      <c r="M5" s="477">
        <f>tertiair!M16</f>
        <v>0</v>
      </c>
      <c r="N5" s="477">
        <f ca="1">tertiair!N16</f>
        <v>676.631288452234</v>
      </c>
      <c r="O5" s="477">
        <f>tertiair!O16</f>
        <v>1.5633333333333335</v>
      </c>
      <c r="P5" s="478">
        <f>tertiair!P16</f>
        <v>0</v>
      </c>
      <c r="Q5" s="476">
        <f t="shared" ref="Q5:Q14" ca="1" si="0">SUM(B5:P5)</f>
        <v>19554.77880997098</v>
      </c>
    </row>
    <row r="6" spans="1:17">
      <c r="A6" s="476" t="s">
        <v>194</v>
      </c>
      <c r="B6" s="477">
        <f>'openbare verlichting'!B8</f>
        <v>598.03099999999995</v>
      </c>
      <c r="C6" s="477"/>
      <c r="D6" s="477"/>
      <c r="E6" s="477"/>
      <c r="F6" s="477"/>
      <c r="G6" s="477"/>
      <c r="H6" s="477"/>
      <c r="I6" s="477"/>
      <c r="J6" s="477"/>
      <c r="K6" s="477"/>
      <c r="L6" s="477"/>
      <c r="M6" s="477"/>
      <c r="N6" s="477"/>
      <c r="O6" s="477"/>
      <c r="P6" s="478"/>
      <c r="Q6" s="476">
        <f t="shared" si="0"/>
        <v>598.03099999999995</v>
      </c>
    </row>
    <row r="7" spans="1:17">
      <c r="A7" s="476" t="s">
        <v>112</v>
      </c>
      <c r="B7" s="477">
        <f>landbouw!B8</f>
        <v>998.96</v>
      </c>
      <c r="C7" s="477">
        <f>landbouw!C8</f>
        <v>0</v>
      </c>
      <c r="D7" s="477">
        <f>landbouw!D8</f>
        <v>320.07289600000001</v>
      </c>
      <c r="E7" s="477">
        <f>landbouw!E8</f>
        <v>25.759342837047676</v>
      </c>
      <c r="F7" s="477">
        <f>landbouw!F8</f>
        <v>3651.3890426905537</v>
      </c>
      <c r="G7" s="477">
        <f>landbouw!G8</f>
        <v>0</v>
      </c>
      <c r="H7" s="477">
        <f>landbouw!H8</f>
        <v>0</v>
      </c>
      <c r="I7" s="477">
        <f>landbouw!I8</f>
        <v>0</v>
      </c>
      <c r="J7" s="477">
        <f>landbouw!J8</f>
        <v>143.81349160104924</v>
      </c>
      <c r="K7" s="477">
        <f>landbouw!K8</f>
        <v>0</v>
      </c>
      <c r="L7" s="477">
        <f>landbouw!L8</f>
        <v>0</v>
      </c>
      <c r="M7" s="477">
        <f>landbouw!M8</f>
        <v>0</v>
      </c>
      <c r="N7" s="477">
        <f>landbouw!N8</f>
        <v>0</v>
      </c>
      <c r="O7" s="477">
        <f>landbouw!O8</f>
        <v>0</v>
      </c>
      <c r="P7" s="478">
        <f>landbouw!P8</f>
        <v>0</v>
      </c>
      <c r="Q7" s="476">
        <f t="shared" si="0"/>
        <v>5139.9947731286511</v>
      </c>
    </row>
    <row r="8" spans="1:17">
      <c r="A8" s="476" t="s">
        <v>638</v>
      </c>
      <c r="B8" s="477">
        <f>industrie!B18</f>
        <v>867.44299999999998</v>
      </c>
      <c r="C8" s="477">
        <f>industrie!C18</f>
        <v>0</v>
      </c>
      <c r="D8" s="477">
        <f>industrie!D18</f>
        <v>749.46277999999995</v>
      </c>
      <c r="E8" s="477">
        <f>industrie!E18</f>
        <v>123.45474777339638</v>
      </c>
      <c r="F8" s="477">
        <f>industrie!F18</f>
        <v>473.34191666363199</v>
      </c>
      <c r="G8" s="477">
        <f>industrie!G18</f>
        <v>0</v>
      </c>
      <c r="H8" s="477">
        <f>industrie!H18</f>
        <v>0</v>
      </c>
      <c r="I8" s="477">
        <f>industrie!I18</f>
        <v>0</v>
      </c>
      <c r="J8" s="477">
        <f>industrie!J18</f>
        <v>2.5247066281241404</v>
      </c>
      <c r="K8" s="477">
        <f>industrie!K18</f>
        <v>0</v>
      </c>
      <c r="L8" s="477">
        <f>industrie!L18</f>
        <v>0</v>
      </c>
      <c r="M8" s="477">
        <f>industrie!M18</f>
        <v>0</v>
      </c>
      <c r="N8" s="477">
        <f>industrie!N18</f>
        <v>272.29113028011579</v>
      </c>
      <c r="O8" s="477">
        <f>industrie!O18</f>
        <v>0</v>
      </c>
      <c r="P8" s="478">
        <f>industrie!P18</f>
        <v>0</v>
      </c>
      <c r="Q8" s="476">
        <f t="shared" si="0"/>
        <v>2488.518281345268</v>
      </c>
    </row>
    <row r="9" spans="1:17" s="482" customFormat="1">
      <c r="A9" s="480" t="s">
        <v>564</v>
      </c>
      <c r="B9" s="481">
        <f>transport!B14</f>
        <v>25.261206764420713</v>
      </c>
      <c r="C9" s="481">
        <f>transport!C14</f>
        <v>0</v>
      </c>
      <c r="D9" s="481">
        <f>transport!D14</f>
        <v>57.546037815730635</v>
      </c>
      <c r="E9" s="481">
        <f>transport!E14</f>
        <v>239.9357579017144</v>
      </c>
      <c r="F9" s="481">
        <f>transport!F14</f>
        <v>0</v>
      </c>
      <c r="G9" s="481">
        <f>transport!G14</f>
        <v>80575.442440681029</v>
      </c>
      <c r="H9" s="481">
        <f>transport!H14</f>
        <v>15674.712476291323</v>
      </c>
      <c r="I9" s="481">
        <f>transport!I14</f>
        <v>0</v>
      </c>
      <c r="J9" s="481">
        <f>transport!J14</f>
        <v>0</v>
      </c>
      <c r="K9" s="481">
        <f>transport!K14</f>
        <v>0</v>
      </c>
      <c r="L9" s="481">
        <f>transport!L14</f>
        <v>0</v>
      </c>
      <c r="M9" s="481">
        <f>transport!M14</f>
        <v>3008.1633913041878</v>
      </c>
      <c r="N9" s="481">
        <f>transport!N14</f>
        <v>0</v>
      </c>
      <c r="O9" s="481">
        <f>transport!O14</f>
        <v>0</v>
      </c>
      <c r="P9" s="481">
        <f>transport!P14</f>
        <v>0</v>
      </c>
      <c r="Q9" s="480">
        <f>SUM(B9:P9)</f>
        <v>99581.061310758392</v>
      </c>
    </row>
    <row r="10" spans="1:17">
      <c r="A10" s="476" t="s">
        <v>554</v>
      </c>
      <c r="B10" s="477">
        <f>transport!B54</f>
        <v>0</v>
      </c>
      <c r="C10" s="477">
        <f>transport!C54</f>
        <v>0</v>
      </c>
      <c r="D10" s="477">
        <f>transport!D54</f>
        <v>0</v>
      </c>
      <c r="E10" s="477">
        <f>transport!E54</f>
        <v>0</v>
      </c>
      <c r="F10" s="477">
        <f>transport!F54</f>
        <v>0</v>
      </c>
      <c r="G10" s="477">
        <f>transport!G54</f>
        <v>2193.7349405805862</v>
      </c>
      <c r="H10" s="477">
        <f>transport!H54</f>
        <v>0</v>
      </c>
      <c r="I10" s="477">
        <f>transport!I54</f>
        <v>0</v>
      </c>
      <c r="J10" s="477">
        <f>transport!J54</f>
        <v>0</v>
      </c>
      <c r="K10" s="477">
        <f>transport!K54</f>
        <v>0</v>
      </c>
      <c r="L10" s="477">
        <f>transport!L54</f>
        <v>0</v>
      </c>
      <c r="M10" s="477">
        <f>transport!M54</f>
        <v>68.044750072294605</v>
      </c>
      <c r="N10" s="477">
        <f>transport!N54</f>
        <v>0</v>
      </c>
      <c r="O10" s="477">
        <f>transport!O54</f>
        <v>0</v>
      </c>
      <c r="P10" s="478">
        <f>transport!P54</f>
        <v>0</v>
      </c>
      <c r="Q10" s="476">
        <f t="shared" si="0"/>
        <v>2261.7796906528806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535.79100000000005</v>
      </c>
      <c r="C14" s="484"/>
      <c r="D14" s="484">
        <f>'SEAP template'!E25</f>
        <v>1179.25</v>
      </c>
      <c r="E14" s="484"/>
      <c r="F14" s="484"/>
      <c r="G14" s="484"/>
      <c r="H14" s="484"/>
      <c r="I14" s="484"/>
      <c r="J14" s="484"/>
      <c r="K14" s="484"/>
      <c r="L14" s="484"/>
      <c r="M14" s="484"/>
      <c r="N14" s="484"/>
      <c r="O14" s="484"/>
      <c r="P14" s="485"/>
      <c r="Q14" s="476">
        <f t="shared" si="0"/>
        <v>1715.0410000000002</v>
      </c>
    </row>
    <row r="15" spans="1:17" s="486" customFormat="1">
      <c r="A15" s="1038" t="s">
        <v>558</v>
      </c>
      <c r="B15" s="978">
        <f ca="1">SUM(B4:B14)</f>
        <v>33368.405813875397</v>
      </c>
      <c r="C15" s="978">
        <f t="shared" ref="C15:Q15" ca="1" si="1">SUM(C4:C14)</f>
        <v>0</v>
      </c>
      <c r="D15" s="978">
        <f t="shared" ca="1" si="1"/>
        <v>25447.700953815733</v>
      </c>
      <c r="E15" s="978">
        <f t="shared" si="1"/>
        <v>9017.6382850807586</v>
      </c>
      <c r="F15" s="978">
        <f t="shared" ca="1" si="1"/>
        <v>55167.288891467419</v>
      </c>
      <c r="G15" s="978">
        <f t="shared" si="1"/>
        <v>82769.177381261616</v>
      </c>
      <c r="H15" s="978">
        <f t="shared" si="1"/>
        <v>15674.712476291323</v>
      </c>
      <c r="I15" s="978">
        <f t="shared" si="1"/>
        <v>0</v>
      </c>
      <c r="J15" s="978">
        <f t="shared" si="1"/>
        <v>1969.5629673514891</v>
      </c>
      <c r="K15" s="978">
        <f t="shared" si="1"/>
        <v>0</v>
      </c>
      <c r="L15" s="978">
        <f t="shared" ca="1" si="1"/>
        <v>0</v>
      </c>
      <c r="M15" s="978">
        <f t="shared" si="1"/>
        <v>3076.2081413764822</v>
      </c>
      <c r="N15" s="978">
        <f t="shared" ca="1" si="1"/>
        <v>11851.230642715524</v>
      </c>
      <c r="O15" s="978">
        <f t="shared" si="1"/>
        <v>171.96666666666667</v>
      </c>
      <c r="P15" s="978">
        <f t="shared" si="1"/>
        <v>972.4</v>
      </c>
      <c r="Q15" s="978">
        <f t="shared" ca="1" si="1"/>
        <v>239486.29221990233</v>
      </c>
    </row>
    <row r="17" spans="1:17">
      <c r="A17" s="487" t="s">
        <v>559</v>
      </c>
      <c r="B17" s="786">
        <f ca="1">huishoudens!B10</f>
        <v>0.1980229297039075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3824.131016482967</v>
      </c>
      <c r="C22" s="477">
        <f t="shared" ref="C22:C32" ca="1" si="3">C4*$C$17</f>
        <v>0</v>
      </c>
      <c r="D22" s="477">
        <f t="shared" ref="D22:D32" si="4">D4*$D$17</f>
        <v>3673.0012409199999</v>
      </c>
      <c r="E22" s="477">
        <f t="shared" ref="E22:E32" si="5">E4*$E$17</f>
        <v>1898.8643442555615</v>
      </c>
      <c r="F22" s="477">
        <f t="shared" ref="F22:F32" si="6">F4*$F$17</f>
        <v>12927.867338632126</v>
      </c>
      <c r="G22" s="477">
        <f t="shared" ref="G22:G32" si="7">G4*$G$17</f>
        <v>0</v>
      </c>
      <c r="H22" s="477">
        <f t="shared" ref="H22:H32" si="8">H4*$H$17</f>
        <v>0</v>
      </c>
      <c r="I22" s="477">
        <f t="shared" ref="I22:I32" si="9">I4*$I$17</f>
        <v>0</v>
      </c>
      <c r="J22" s="477">
        <f t="shared" ref="J22:J32" si="10">J4*$J$17</f>
        <v>645.42156826929966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22969.285508559955</v>
      </c>
    </row>
    <row r="23" spans="1:17">
      <c r="A23" s="476" t="s">
        <v>156</v>
      </c>
      <c r="B23" s="477">
        <f t="shared" ca="1" si="2"/>
        <v>2184.4628198872861</v>
      </c>
      <c r="C23" s="477">
        <f t="shared" ca="1" si="3"/>
        <v>0</v>
      </c>
      <c r="D23" s="477">
        <f t="shared" ca="1" si="4"/>
        <v>1001.5553455600002</v>
      </c>
      <c r="E23" s="477">
        <f t="shared" si="5"/>
        <v>59.802530845511235</v>
      </c>
      <c r="F23" s="477">
        <f t="shared" ca="1" si="6"/>
        <v>700.49562924210773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3946.3163255349054</v>
      </c>
    </row>
    <row r="24" spans="1:17">
      <c r="A24" s="476" t="s">
        <v>194</v>
      </c>
      <c r="B24" s="477">
        <f t="shared" ca="1" si="2"/>
        <v>118.4238506737575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118.4238506737575</v>
      </c>
    </row>
    <row r="25" spans="1:17">
      <c r="A25" s="476" t="s">
        <v>112</v>
      </c>
      <c r="B25" s="477">
        <f t="shared" ca="1" si="2"/>
        <v>197.81698585701545</v>
      </c>
      <c r="C25" s="477">
        <f t="shared" ca="1" si="3"/>
        <v>0</v>
      </c>
      <c r="D25" s="477">
        <f t="shared" si="4"/>
        <v>64.654724992000013</v>
      </c>
      <c r="E25" s="477">
        <f t="shared" si="5"/>
        <v>5.8473708240098228</v>
      </c>
      <c r="F25" s="477">
        <f t="shared" si="6"/>
        <v>974.92087439837792</v>
      </c>
      <c r="G25" s="477">
        <f t="shared" si="7"/>
        <v>0</v>
      </c>
      <c r="H25" s="477">
        <f t="shared" si="8"/>
        <v>0</v>
      </c>
      <c r="I25" s="477">
        <f t="shared" si="9"/>
        <v>0</v>
      </c>
      <c r="J25" s="477">
        <f t="shared" si="10"/>
        <v>50.909976026771425</v>
      </c>
      <c r="K25" s="477">
        <f t="shared" si="11"/>
        <v>0</v>
      </c>
      <c r="L25" s="477">
        <f t="shared" si="12"/>
        <v>0</v>
      </c>
      <c r="M25" s="477">
        <f t="shared" si="13"/>
        <v>0</v>
      </c>
      <c r="N25" s="477">
        <f t="shared" si="14"/>
        <v>0</v>
      </c>
      <c r="O25" s="477">
        <f t="shared" si="15"/>
        <v>0</v>
      </c>
      <c r="P25" s="478">
        <f t="shared" si="16"/>
        <v>0</v>
      </c>
      <c r="Q25" s="476">
        <f t="shared" ca="1" si="17"/>
        <v>1294.1499320981745</v>
      </c>
    </row>
    <row r="26" spans="1:17">
      <c r="A26" s="476" t="s">
        <v>638</v>
      </c>
      <c r="B26" s="477">
        <f t="shared" ca="1" si="2"/>
        <v>171.77360421114662</v>
      </c>
      <c r="C26" s="477">
        <f t="shared" ca="1" si="3"/>
        <v>0</v>
      </c>
      <c r="D26" s="477">
        <f t="shared" si="4"/>
        <v>151.39148155999999</v>
      </c>
      <c r="E26" s="477">
        <f t="shared" si="5"/>
        <v>28.024227744560978</v>
      </c>
      <c r="F26" s="477">
        <f t="shared" si="6"/>
        <v>126.38229174918975</v>
      </c>
      <c r="G26" s="477">
        <f t="shared" si="7"/>
        <v>0</v>
      </c>
      <c r="H26" s="477">
        <f t="shared" si="8"/>
        <v>0</v>
      </c>
      <c r="I26" s="477">
        <f t="shared" si="9"/>
        <v>0</v>
      </c>
      <c r="J26" s="477">
        <f t="shared" si="10"/>
        <v>0.89374614635594563</v>
      </c>
      <c r="K26" s="477">
        <f t="shared" si="11"/>
        <v>0</v>
      </c>
      <c r="L26" s="477">
        <f t="shared" si="12"/>
        <v>0</v>
      </c>
      <c r="M26" s="477">
        <f t="shared" si="13"/>
        <v>0</v>
      </c>
      <c r="N26" s="477">
        <f t="shared" si="14"/>
        <v>0</v>
      </c>
      <c r="O26" s="477">
        <f t="shared" si="15"/>
        <v>0</v>
      </c>
      <c r="P26" s="478">
        <f t="shared" si="16"/>
        <v>0</v>
      </c>
      <c r="Q26" s="476">
        <f t="shared" ca="1" si="17"/>
        <v>478.46535141125327</v>
      </c>
    </row>
    <row r="27" spans="1:17" s="482" customFormat="1">
      <c r="A27" s="480" t="s">
        <v>564</v>
      </c>
      <c r="B27" s="780">
        <f t="shared" ca="1" si="2"/>
        <v>5.0022981713467551</v>
      </c>
      <c r="C27" s="481">
        <f t="shared" ca="1" si="3"/>
        <v>0</v>
      </c>
      <c r="D27" s="481">
        <f t="shared" si="4"/>
        <v>11.62429963877759</v>
      </c>
      <c r="E27" s="481">
        <f t="shared" si="5"/>
        <v>54.465417043689172</v>
      </c>
      <c r="F27" s="481">
        <f t="shared" si="6"/>
        <v>0</v>
      </c>
      <c r="G27" s="481">
        <f t="shared" si="7"/>
        <v>21513.643131661836</v>
      </c>
      <c r="H27" s="481">
        <f t="shared" si="8"/>
        <v>3903.0034065965392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25487.738553112191</v>
      </c>
    </row>
    <row r="28" spans="1:17">
      <c r="A28" s="476" t="s">
        <v>554</v>
      </c>
      <c r="B28" s="477">
        <f t="shared" ca="1" si="2"/>
        <v>0</v>
      </c>
      <c r="C28" s="477">
        <f t="shared" ca="1" si="3"/>
        <v>0</v>
      </c>
      <c r="D28" s="477">
        <f t="shared" si="4"/>
        <v>0</v>
      </c>
      <c r="E28" s="477">
        <f t="shared" si="5"/>
        <v>0</v>
      </c>
      <c r="F28" s="477">
        <f t="shared" si="6"/>
        <v>0</v>
      </c>
      <c r="G28" s="477">
        <f t="shared" si="7"/>
        <v>585.7272291350165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585.7272291350165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106.09890352898631</v>
      </c>
      <c r="C32" s="477">
        <f t="shared" ca="1" si="3"/>
        <v>0</v>
      </c>
      <c r="D32" s="477">
        <f t="shared" si="4"/>
        <v>238.20850000000002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344.30740352898636</v>
      </c>
    </row>
    <row r="33" spans="1:17" s="486" customFormat="1">
      <c r="A33" s="1038" t="s">
        <v>558</v>
      </c>
      <c r="B33" s="978">
        <f ca="1">SUM(B22:B32)</f>
        <v>6607.7094788125059</v>
      </c>
      <c r="C33" s="978">
        <f t="shared" ref="C33:Q33" ca="1" si="18">SUM(C22:C32)</f>
        <v>0</v>
      </c>
      <c r="D33" s="978">
        <f t="shared" ca="1" si="18"/>
        <v>5140.4355926707776</v>
      </c>
      <c r="E33" s="978">
        <f t="shared" si="18"/>
        <v>2047.0038907133326</v>
      </c>
      <c r="F33" s="978">
        <f t="shared" ca="1" si="18"/>
        <v>14729.666134021802</v>
      </c>
      <c r="G33" s="978">
        <f t="shared" si="18"/>
        <v>22099.370360796853</v>
      </c>
      <c r="H33" s="978">
        <f t="shared" si="18"/>
        <v>3903.0034065965392</v>
      </c>
      <c r="I33" s="978">
        <f t="shared" si="18"/>
        <v>0</v>
      </c>
      <c r="J33" s="978">
        <f t="shared" si="18"/>
        <v>697.22529044242708</v>
      </c>
      <c r="K33" s="978">
        <f t="shared" si="18"/>
        <v>0</v>
      </c>
      <c r="L33" s="978">
        <f t="shared" ca="1" si="18"/>
        <v>0</v>
      </c>
      <c r="M33" s="978">
        <f t="shared" si="18"/>
        <v>0</v>
      </c>
      <c r="N33" s="978">
        <f t="shared" ca="1" si="18"/>
        <v>0</v>
      </c>
      <c r="O33" s="978">
        <f t="shared" si="18"/>
        <v>0</v>
      </c>
      <c r="P33" s="978">
        <f t="shared" si="18"/>
        <v>0</v>
      </c>
      <c r="Q33" s="978">
        <f t="shared" ca="1" si="18"/>
        <v>55224.414154054233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3469.2679006966378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3469.2679006966378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0.1980229297039075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0.1980229297039075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2019-08-12T08:24:03Z</dcterms:modified>
</cp:coreProperties>
</file>