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<sst xmlns="http://schemas.openxmlformats.org/spreadsheetml/2006/main" count="2392" uniqueCount="890">
  <si>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</si>
  <si>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</si>
  <si>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</si>
  <si>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</si>
  <si>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</si>
  <si>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</si>
  <si>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</si>
  <si>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</si>
  <si>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</si>
  <si>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</si>
  <si>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</si>
  <si>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</si>
  <si>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</si>
  <si>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</si>
  <si>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</si>
  <si>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</si>
  <si>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</si>
  <si>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</si>
  <si>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</si>
  <si>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</si>
  <si>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</si>
  <si>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</si>
  <si>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</si>
  <si>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</si>
  <si>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</si>
  <si>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</si>
  <si>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</si>
  <si>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</si>
  <si>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</si>
  <si>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</si>
  <si>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</si>
  <si>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</si>
  <si>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</si>
  <si>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</si>
  <si>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</si>
  <si>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</si>
  <si>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</si>
  <si>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</si>
  <si>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</si>
  <si>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</si>
  <si>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</si>
  <si>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</si>
  <si>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</si>
  <si>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</si>
  <si>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</si>
  <si>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</si>
  <si>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</si>
  <si>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</si>
  <si>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</si>
  <si>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</si>
  <si>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</si>
  <si>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</si>
  <si>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</si>
  <si>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</si>
  <si>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</si>
  <si>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</si>
  <si>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</si>
  <si>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</si>
  <si>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</si>
  <si>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</si>
  <si>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</si>
  <si>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</si>
  <si>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</si>
  <si>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</si>
  <si>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</si>
  <si>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</si>
  <si>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</si>
  <si>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</si>
  <si>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</si>
  <si>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</si>
  <si>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</si>
  <si>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</si>
  <si>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</si>
  <si>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</si>
  <si>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</si>
  <si>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</si>
  <si>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</si>
  <si>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</si>
  <si>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</si>
  <si>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</si>
  <si>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</si>
  <si>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</si>
  <si>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</si>
  <si>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</si>
  <si>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</si>
  <si>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</si>
  <si>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</si>
  <si>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</si>
  <si>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</si>
  <si>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</si>
  <si>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</si>
  <si>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</si>
  <si>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</si>
  <si>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</si>
  <si>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</si>
  <si>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</si>
  <si>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</si>
  <si>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</si>
  <si>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</si>
  <si>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</si>
  <si>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</si>
  <si>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</si>
  <si>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</si>
  <si>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</si>
  <si>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</si>
  <si>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</si>
  <si>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</si>
  <si>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</si>
  <si>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</si>
  <si>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</si>
  <si>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</si>
  <si>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</si>
  <si>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</si>
  <si>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</si>
  <si>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</si>
  <si>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</si>
  <si>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</si>
  <si>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</si>
  <si>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</si>
  <si>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</si>
  <si>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</si>
  <si>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</si>
  <si>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</si>
  <si>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</si>
  <si>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</si>
  <si>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</si>
  <si>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</si>
  <si>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</si>
  <si>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</si>
  <si>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</si>
  <si>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</si>
  <si>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</si>
  <si>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</si>
  <si>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</si>
  <si>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</si>
  <si>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</si>
  <si>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</si>
  <si>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</si>
  <si>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</si>
  <si>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</si>
  <si>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</si>
  <si>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</si>
  <si>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</si>
  <si>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</si>
  <si>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</si>
  <si>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</si>
  <si>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</si>
  <si>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</si>
  <si>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</si>
  <si>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</si>
  <si>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</si>
  <si>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</si>
  <si>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</si>
  <si>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</si>
  <si>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</si>
  <si>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</si>
  <si>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</si>
  <si>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</si>
  <si>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</si>
  <si>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</si>
  <si>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</si>
  <si>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</si>
  <si>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</si>
  <si>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</si>
  <si>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</si>
  <si>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</si>
  <si>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</si>
  <si>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</si>
  <si>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</si>
  <si>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</si>
  <si>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</si>
  <si>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</si>
  <si>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</si>
  <si>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</si>
  <si>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</si>
  <si>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</si>
  <si>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</si>
  <si>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</si>
  <si>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</si>
  <si>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</si>
  <si>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</si>
  <si>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</si>
  <si>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</si>
  <si>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</si>
  <si>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</si>
  <si>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</si>
  <si>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</si>
  <si>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</si>
  <si>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</si>
  <si>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</si>
  <si>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</si>
  <si>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</si>
  <si>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</si>
  <si>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</si>
  <si>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</si>
  <si>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</si>
  <si>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</si>
  <si>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</si>
  <si>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</si>
  <si>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</si>
  <si>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</si>
  <si>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</si>
  <si>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</si>
  <si>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</si>
  <si>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</si>
  <si>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</si>
  <si>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</si>
  <si>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</si>
  <si>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</si>
  <si>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</si>
  <si>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</si>
  <si>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</si>
  <si>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</si>
  <si>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</si>
  <si>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</si>
  <si>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</si>
  <si>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</si>
  <si>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</si>
  <si>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</si>
  <si>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</si>
  <si>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</si>
  <si>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</si>
  <si>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</si>
  <si>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</si>
  <si>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</si>
  <si>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</si>
  <si>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</si>
  <si>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</si>
  <si>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</si>
  <si>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</si>
  <si>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</si>
  <si>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</si>
  <si>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</si>
  <si>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</si>
  <si>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</si>
  <si>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</si>
  <si>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</si>
  <si>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</si>
  <si>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</si>
  <si>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</si>
  <si>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</si>
  <si>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</si>
  <si>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</si>
  <si>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</si>
  <si>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</si>
  <si>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</si>
  <si>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</si>
  <si>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</si>
  <si>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</si>
  <si>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</si>
  <si>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</si>
  <si>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</si>
  <si>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</si>
  <si>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</si>
  <si>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</si>
  <si>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</si>
  <si>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</si>
  <si>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</si>
  <si>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</si>
  <si>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</si>
  <si>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</si>
  <si>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</si>
  <si>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</si>
  <si>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</si>
  <si>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</si>
  <si>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</si>
  <si>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</si>
  <si>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</si>
  <si>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</si>
  <si>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</si>
  <si>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</si>
  <si>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</si>
  <si>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</si>
  <si>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</si>
  <si>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</si>
  <si>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</si>
  <si>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</si>
  <si>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</si>
  <si>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</si>
  <si>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</si>
  <si>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</si>
  <si>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</si>
  <si>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</si>
  <si>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</si>
  <si>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</si>
  <si>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</si>
  <si>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</si>
  <si>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</si>
  <si>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</si>
  <si>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</si>
  <si>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</si>
  <si>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</si>
  <si>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</si>
  <si>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</si>
  <si>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</si>
  <si>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</si>
  <si>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</si>
  <si>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</si>
  <si>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</si>
  <si>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</si>
  <si>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</si>
  <si>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</si>
  <si>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</si>
  <si>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</si>
  <si>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</si>
  <si>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</si>
  <si>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</si>
  <si>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</si>
  <si>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</si>
  <si>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</si>
  <si>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</si>
  <si>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</si>
  <si>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</si>
  <si>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</si>
  <si>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</si>
  <si>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</si>
  <si>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</si>
  <si>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</si>
  <si>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</si>
  <si>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</si>
  <si>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</si>
  <si>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</si>
  <si>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</si>
  <si>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</si>
  <si>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</si>
  <si>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</si>
  <si>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</si>
  <si>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</si>
  <si>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</si>
  <si>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</si>
  <si>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</si>
  <si>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</si>
  <si>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</si>
  <si>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</si>
  <si>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</si>
  <si>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</si>
  <si>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</si>
  <si>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</si>
  <si>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</si>
  <si>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</si>
  <si>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</si>
  <si>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</si>
  <si>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</si>
  <si>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</si>
  <si>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</si>
  <si>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</si>
  <si>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</si>
  <si>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</si>
  <si>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</si>
  <si>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</si>
  <si>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</si>
  <si>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</si>
  <si>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</si>
  <si>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</si>
  <si>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</si>
  <si>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</si>
  <si>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</si>
  <si>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</si>
  <si>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</si>
  <si>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</si>
  <si>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</si>
  <si>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</si>
  <si>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</si>
  <si>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</si>
  <si>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</si>
  <si>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</si>
  <si>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</si>
  <si>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</si>
  <si>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</si>
  <si>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</si>
  <si>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</si>
  <si>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</si>
  <si>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</si>
  <si>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</si>
  <si>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</si>
  <si>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</si>
  <si>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</si>
  <si>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</si>
  <si>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</si>
  <si>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</si>
  <si>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</si>
  <si>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</si>
  <si>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</si>
  <si>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</si>
  <si>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</si>
  <si>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</si>
  <si>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</si>
  <si>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</si>
  <si>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</si>
  <si>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</si>
  <si>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</si>
  <si>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</si>
  <si>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</si>
  <si>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</si>
  <si>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</si>
  <si>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</si>
  <si>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</si>
  <si>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</si>
  <si>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</si>
  <si>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</si>
  <si>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</si>
  <si>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</si>
  <si>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</si>
  <si>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</si>
  <si>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</si>
  <si>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</si>
  <si>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</si>
  <si>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</si>
  <si>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</si>
  <si>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</si>
  <si>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</si>
  <si>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</si>
  <si>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</si>
  <si>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</si>
  <si>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</si>
  <si>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</si>
  <si>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</si>
  <si>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</si>
  <si>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</si>
  <si>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</si>
  <si>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</si>
  <si>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</si>
  <si>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</si>
  <si>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</si>
  <si>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</si>
  <si>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</si>
  <si>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</si>
  <si>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</si>
  <si>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</si>
  <si>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</si>
  <si>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</si>
  <si>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</si>
  <si>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</si>
  <si>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</si>
  <si>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</si>
  <si>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</si>
  <si>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</si>
  <si>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</si>
  <si>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</si>
  <si>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</si>
  <si>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</si>
  <si>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</si>
  <si>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</si>
  <si>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</si>
  <si>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</si>
  <si>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</si>
  <si>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</si>
  <si>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</si>
  <si>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</si>
  <si>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</si>
  <si>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</si>
  <si>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</si>
  <si>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</si>
  <si>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</si>
  <si>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</si>
  <si>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</si>
  <si>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</si>
  <si>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</si>
  <si>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</si>
  <si>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</si>
  <si>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</si>
  <si>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</si>
  <si>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</si>
  <si>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</si>
  <si>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</si>
  <si>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</si>
  <si>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</si>
  <si>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</si>
  <si>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</si>
  <si>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</si>
  <si>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</si>
  <si>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</si>
  <si>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</si>
  <si>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</si>
  <si>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</si>
  <si>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</si>
  <si>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</si>
  <si>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</si>
  <si>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</si>
  <si>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</si>
  <si>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</si>
  <si>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</si>
  <si>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</si>
  <si>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</si>
  <si>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</si>
  <si>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</si>
  <si>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</si>
  <si>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</si>
  <si>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</si>
  <si>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</si>
  <si>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</si>
  <si>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</si>
  <si>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</si>
  <si>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</si>
  <si>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</si>
  <si>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</si>
  <si>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</si>
  <si>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</si>
  <si>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</si>
  <si>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</si>
  <si>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</si>
  <si>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</si>
  <si>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</si>
  <si>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</si>
  <si>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</si>
  <si>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</si>
  <si>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</si>
  <si>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</si>
  <si>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</si>
  <si>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</si>
  <si>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</si>
  <si>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</si>
  <si>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</si>
  <si>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</si>
  <si>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</si>
  <si>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</si>
  <si>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</si>
  <si>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</si>
  <si>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</si>
  <si>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</si>
  <si>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</si>
  <si>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</si>
  <si>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</si>
  <si>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</si>
  <si>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</si>
  <si>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</si>
  <si>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</si>
  <si>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</si>
  <si>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</si>
  <si>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</si>
  <si>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</si>
  <si>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</si>
  <si>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</si>
  <si>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</si>
  <si>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</si>
  <si>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</si>
  <si>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</si>
  <si>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</si>
  <si>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</si>
  <si>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</si>
  <si>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</si>
  <si>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</si>
  <si>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</si>
  <si>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</si>
  <si>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</si>
  <si>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</si>
  <si>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</si>
  <si>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</si>
  <si>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</si>
  <si>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</si>
  <si>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</si>
  <si>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</si>
  <si>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</si>
  <si>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</si>
  <si>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</si>
  <si>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</si>
  <si>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</si>
  <si>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</si>
  <si>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</si>
  <si>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</si>
  <si>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</si>
  <si>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</si>
  <si>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</si>
  <si>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</si>
  <si>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</si>
  <si>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</si>
  <si>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</si>
  <si>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</si>
  <si>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</si>
  <si>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</si>
  <si>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</si>
  <si>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</si>
  <si>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</si>
  <si>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</si>
  <si>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</si>
  <si>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</si>
  <si>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</si>
  <si>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</si>
  <si>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</si>
  <si>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</si>
  <si>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</si>
  <si>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</si>
  <si>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</si>
  <si>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</si>
  <si>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</si>
  <si>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</si>
  <si>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</si>
  <si>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</si>
  <si>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</si>
  <si>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</si>
  <si>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</si>
  <si>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</si>
  <si>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</si>
  <si>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</si>
  <si>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</si>
  <si>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</si>
  <si>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</si>
  <si>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</si>
  <si>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</si>
  <si>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</si>
  <si>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</si>
  <si>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</si>
  <si>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</si>
  <si>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</si>
  <si>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</si>
  <si>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</si>
  <si>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</si>
  <si>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</si>
  <si>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</si>
  <si>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</si>
  <si>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</si>
  <si>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</si>
  <si>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</si>
  <si>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</si>
  <si>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</si>
  <si>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</si>
  <si>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</si>
  <si>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</si>
  <si>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</si>
  <si>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</si>
  <si>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</si>
  <si>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</si>
  <si>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</si>
  <si>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</si>
  <si>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</si>
  <si>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</si>
  <si>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</si>
  <si>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</si>
  <si>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</si>
  <si>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</si>
  <si>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</si>
  <si>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</si>
  <si>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</si>
  <si>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</si>
  <si>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</si>
  <si>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</si>
  <si>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</si>
  <si>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</si>
  <si>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</si>
  <si>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</si>
  <si>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</si>
  <si>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</si>
  <si>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</si>
  <si>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</si>
  <si>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</si>
  <si>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</si>
  <si>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</si>
  <si>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</si>
  <si>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</si>
  <si>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</si>
  <si>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</si>
  <si>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</si>
  <si>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</si>
  <si>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</si>
  <si>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</si>
  <si>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</si>
  <si>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</si>
  <si>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</si>
  <si>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</si>
  <si>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</si>
  <si>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</si>
  <si>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</si>
  <si>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</si>
  <si>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</si>
  <si>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</si>
  <si>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</si>
  <si>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</si>
  <si>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</si>
  <si>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</si>
  <si>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</si>
  <si>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</si>
  <si>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</si>
  <si>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</si>
  <si>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</si>
  <si>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</si>
  <si>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</si>
  <si>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</si>
  <si>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</si>
  <si>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</si>
  <si>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</si>
  <si>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</si>
  <si>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</si>
  <si>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</si>
  <si>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</si>
  <si>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</si>
  <si>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</si>
  <si>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</si>
  <si>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</si>
  <si>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</si>
  <si>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</si>
  <si>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</si>
  <si>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</si>
  <si>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</si>
  <si>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</si>
  <si>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</si>
  <si>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</si>
  <si>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</si>
  <si>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</si>
  <si>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</si>
  <si>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</si>
  <si>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</si>
  <si>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</si>
  <si>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</si>
  <si>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</si>
  <si>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</si>
  <si>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</si>
  <si>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</si>
  <si>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</si>
  <si>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</si>
  <si>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</si>
  <si>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</si>
  <si>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</si>
  <si>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</si>
  <si>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</si>
  <si>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</si>
  <si>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</si>
  <si>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</si>
  <si>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</si>
  <si>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</si>
  <si>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</si>
  <si>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</si>
  <si>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</si>
  <si>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</si>
  <si>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</si>
  <si>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</si>
  <si>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</si>
  <si>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</si>
  <si>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</si>
  <si>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</si>
  <si>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</si>
  <si>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</si>
  <si>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</si>
  <si>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</si>
  <si>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</si>
  <si>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</si>
  <si>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</si>
  <si>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</si>
  <si>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</si>
  <si>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</si>
  <si>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</si>
  <si>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</si>
  <si>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</si>
  <si>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</si>
  <si>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</si>
  <si>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</si>
  <si>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</si>
  <si>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</si>
  <si>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</si>
  <si>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</si>
  <si>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</si>
  <si>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</si>
  <si>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</si>
  <si>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</si>
  <si>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</si>
  <si>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</si>
  <si>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</si>
  <si>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</si>
  <si>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</si>
  <si>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</si>
  <si>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</si>
  <si>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</si>
  <si>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</si>
  <si>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</si>
  <si>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</si>
  <si>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</si>
  <si>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</si>
  <si>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</si>
  <si>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</si>
  <si>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</si>
  <si>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</si>
  <si>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</si>
  <si>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</si>
  <si>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</si>
  <si>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</si>
  <si>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</si>
  <si>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</si>
  <si>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</si>
  <si>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</si>
  <si>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</si>
  <si>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</si>
  <si>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</si>
  <si>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</si>
  <si>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</si>
  <si>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</si>
  <si>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</si>
  <si>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</si>
  <si>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</si>
  <si>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</si>
  <si>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</si>
  <si>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</si>
  <si>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</si>
  <si>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</si>
  <si>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</si>
  <si>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</si>
  <si>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</si>
  <si>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</si>
  <si>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</si>
  <si>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</si>
  <si>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</si>
  <si>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</si>
  <si>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</si>
  <si>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</si>
  <si>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</si>
  <si>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</si>
  <si>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</si>
  <si>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</si>
  <si>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</si>
  <si>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</si>
  <si>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</si>
  <si>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</si>
  <si>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</si>
  <si>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</si>
  <si>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</si>
  <si>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</si>
  <si>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</si>
  <si>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</si>
  <si>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</si>
  <si>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</si>
  <si>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</si>
  <si>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</si>
  <si>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</si>
  <si>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</si>
  <si>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</si>
  <si>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</si>
  <si>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</si>
  <si>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</si>
  <si>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</si>
  <si>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</si>
  <si>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</si>
  <si>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</si>
  <si>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</si>
  <si>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</si>
  <si>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</si>
  <si>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</si>
  <si>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</si>
  <si>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</si>
  <si>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</si>
  <si>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</si>
  <si>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</si>
  <si>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</si>
  <si>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</si>
  <si>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</si>
  <si>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</si>
  <si>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</si>
  <si>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</si>
  <si>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</si>
  <si>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</si>
  <si>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</si>
  <si>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</si>
  <si>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</si>
  <si>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</si>
  <si>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</si>
  <si>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</si>
  <si>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</si>
  <si>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</si>
  <si>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</si>
  <si>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</si>
  <si>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</si>
  <si>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</si>
  <si>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</si>
  <si>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</si>
  <si>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</si>
  <si>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</si>
  <si>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</si>
  <si>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</si>
  <si>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</si>
  <si>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</si>
  <si>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</si>
  <si>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</si>
  <si>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</si>
  <si>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</si>
  <si>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</si>
  <si>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</si>
  <si>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</si>
  <si>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</si>
  <si>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</si>
  <si>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</si>
  <si>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</si>
  <si>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</si>
  <si>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</si>
  <si>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</si>
  <si>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</si>
  <si>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24107</t>
  </si>
  <si>
    <t>TIENEN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</si>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</sst>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271728.5945195512</c:v>
                </c:pt>
                <c:pt idx="1">
                  <c:v>161593.04984894508</c:v>
                </c:pt>
                <c:pt idx="2">
                  <c:v>2351.4259999999999</c:v>
                </c:pt>
                <c:pt idx="3">
                  <c:v>11537.780789085646</c:v>
                </c:pt>
                <c:pt idx="4">
                  <c:v>197349.71981517613</c:v>
                </c:pt>
                <c:pt idx="5">
                  <c:v>219954.23405364805</c:v>
                </c:pt>
                <c:pt idx="6">
                  <c:v>3533.9794481024414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271728.5945195512</c:v>
                </c:pt>
                <c:pt idx="1">
                  <c:v>161593.04984894508</c:v>
                </c:pt>
                <c:pt idx="2">
                  <c:v>2351.4259999999999</c:v>
                </c:pt>
                <c:pt idx="3">
                  <c:v>11537.780789085646</c:v>
                </c:pt>
                <c:pt idx="4">
                  <c:v>197349.71981517613</c:v>
                </c:pt>
                <c:pt idx="5">
                  <c:v>219954.23405364805</c:v>
                </c:pt>
                <c:pt idx="6">
                  <c:v>3533.9794481024414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56714.875566471572</c:v>
                </c:pt>
                <c:pt idx="2">
                  <c:v>33419.167233829954</c:v>
                </c:pt>
                <c:pt idx="3">
                  <c:v>496.05001684931079</c:v>
                </c:pt>
                <c:pt idx="4">
                  <c:v>2933.7561263848115</c:v>
                </c:pt>
                <c:pt idx="5">
                  <c:v>38177.036625324057</c:v>
                </c:pt>
                <c:pt idx="6">
                  <c:v>56309.933379307651</c:v>
                </c:pt>
                <c:pt idx="7">
                  <c:v>915.18550569336446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56714.875566471572</c:v>
                </c:pt>
                <c:pt idx="2">
                  <c:v>33419.167233829954</c:v>
                </c:pt>
                <c:pt idx="3">
                  <c:v>496.05001684931079</c:v>
                </c:pt>
                <c:pt idx="4">
                  <c:v>2933.7561263848115</c:v>
                </c:pt>
                <c:pt idx="5">
                  <c:v>38177.036625324057</c:v>
                </c:pt>
                <c:pt idx="6">
                  <c:v>56309.933379307651</c:v>
                </c:pt>
                <c:pt idx="7">
                  <c:v>915.18550569336446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24107</v>
      </c>
      <c r="B6" s="415"/>
      <c r="C6" s="416"/>
    </row>
    <row r="7" spans="1:7" s="413" customFormat="1" ht="15.75" customHeight="1">
      <c r="A7" s="417" t="str">
        <f>txtMunicipality</f>
        <v>TIENEN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61281.43037491</v>
      </c>
      <c r="D10" s="1012">
        <f ca="1">tertiair!C16</f>
        <v>0</v>
      </c>
      <c r="E10" s="1012">
        <f ca="1">tertiair!D16</f>
        <v>83350.951903474197</v>
      </c>
      <c r="F10" s="1012">
        <f>tertiair!E16</f>
        <v>1037.7781599035125</v>
      </c>
      <c r="G10" s="1012">
        <f ca="1">tertiair!F16</f>
        <v>14662.907509598215</v>
      </c>
      <c r="H10" s="1012">
        <f>tertiair!G16</f>
        <v>0</v>
      </c>
      <c r="I10" s="1012">
        <f>tertiair!H16</f>
        <v>0</v>
      </c>
      <c r="J10" s="1012">
        <f>tertiair!I16</f>
        <v>0</v>
      </c>
      <c r="K10" s="1012">
        <f>tertiair!J16</f>
        <v>0</v>
      </c>
      <c r="L10" s="1012">
        <f>tertiair!K16</f>
        <v>0</v>
      </c>
      <c r="M10" s="1012">
        <f ca="1">tertiair!L16</f>
        <v>0</v>
      </c>
      <c r="N10" s="1012">
        <f>tertiair!M16</f>
        <v>0</v>
      </c>
      <c r="O10" s="1012">
        <f ca="1">tertiair!N16</f>
        <v>3457.3112343925095</v>
      </c>
      <c r="P10" s="1012">
        <f>tertiair!O16</f>
        <v>1.5633333333333335</v>
      </c>
      <c r="Q10" s="1013">
        <f>tertiair!P16</f>
        <v>152.53333333333333</v>
      </c>
      <c r="R10" s="700">
        <f ca="1">SUM(C10:Q10)</f>
        <v>163944.47584894509</v>
      </c>
      <c r="S10" s="67"/>
    </row>
    <row r="11" spans="1:19" s="473" customFormat="1">
      <c r="A11" s="809" t="s">
        <v>225</v>
      </c>
      <c r="B11" s="814"/>
      <c r="C11" s="1012">
        <f>huishoudens!B8</f>
        <v>53636.24057553817</v>
      </c>
      <c r="D11" s="1012">
        <f>huishoudens!C8</f>
        <v>0</v>
      </c>
      <c r="E11" s="1012">
        <f>huishoudens!D8</f>
        <v>153046.06399719999</v>
      </c>
      <c r="F11" s="1012">
        <f>huishoudens!E8</f>
        <v>5385.4473290750966</v>
      </c>
      <c r="G11" s="1012">
        <f>huishoudens!F8</f>
        <v>48263.189009890259</v>
      </c>
      <c r="H11" s="1012">
        <f>huishoudens!G8</f>
        <v>0</v>
      </c>
      <c r="I11" s="1012">
        <f>huishoudens!H8</f>
        <v>0</v>
      </c>
      <c r="J11" s="1012">
        <f>huishoudens!I8</f>
        <v>0</v>
      </c>
      <c r="K11" s="1012">
        <f>huishoudens!J8</f>
        <v>1061.7420981476307</v>
      </c>
      <c r="L11" s="1012">
        <f>huishoudens!K8</f>
        <v>0</v>
      </c>
      <c r="M11" s="1012">
        <f>huishoudens!L8</f>
        <v>0</v>
      </c>
      <c r="N11" s="1012">
        <f>huishoudens!M8</f>
        <v>0</v>
      </c>
      <c r="O11" s="1012">
        <f>huishoudens!N8</f>
        <v>9516.9048430333987</v>
      </c>
      <c r="P11" s="1012">
        <f>huishoudens!O8</f>
        <v>247.00666666666669</v>
      </c>
      <c r="Q11" s="1013">
        <f>huishoudens!P8</f>
        <v>572</v>
      </c>
      <c r="R11" s="700">
        <f>SUM(C11:Q11)</f>
        <v>271728.5945195512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107457.09167216999</v>
      </c>
      <c r="D13" s="1012">
        <f>industrie!C18</f>
        <v>0</v>
      </c>
      <c r="E13" s="1012">
        <f>industrie!D18</f>
        <v>24704.085919469879</v>
      </c>
      <c r="F13" s="1012">
        <f>industrie!E18</f>
        <v>8022.5437981648774</v>
      </c>
      <c r="G13" s="1012">
        <f>industrie!F18</f>
        <v>31672.308430615602</v>
      </c>
      <c r="H13" s="1012">
        <f>industrie!G18</f>
        <v>0</v>
      </c>
      <c r="I13" s="1012">
        <f>industrie!H18</f>
        <v>0</v>
      </c>
      <c r="J13" s="1012">
        <f>industrie!I18</f>
        <v>0</v>
      </c>
      <c r="K13" s="1012">
        <f>industrie!J18</f>
        <v>678.95684129415031</v>
      </c>
      <c r="L13" s="1012">
        <f>industrie!K18</f>
        <v>0</v>
      </c>
      <c r="M13" s="1012">
        <f>industrie!L18</f>
        <v>0</v>
      </c>
      <c r="N13" s="1012">
        <f>industrie!M18</f>
        <v>0</v>
      </c>
      <c r="O13" s="1012">
        <f>industrie!N18</f>
        <v>24814.733153461621</v>
      </c>
      <c r="P13" s="1012">
        <f>industrie!O18</f>
        <v>0</v>
      </c>
      <c r="Q13" s="1013">
        <f>industrie!P18</f>
        <v>0</v>
      </c>
      <c r="R13" s="700">
        <f>SUM(C13:Q13)</f>
        <v>197349.71981517613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222374.76262261817</v>
      </c>
      <c r="D16" s="732">
        <f t="shared" ref="D16:R16" ca="1" si="0">SUM(D9:D15)</f>
        <v>0</v>
      </c>
      <c r="E16" s="732">
        <f t="shared" ca="1" si="0"/>
        <v>261101.10182014407</v>
      </c>
      <c r="F16" s="732">
        <f t="shared" si="0"/>
        <v>14445.769287143487</v>
      </c>
      <c r="G16" s="732">
        <f t="shared" ca="1" si="0"/>
        <v>94598.404950104072</v>
      </c>
      <c r="H16" s="732">
        <f t="shared" si="0"/>
        <v>0</v>
      </c>
      <c r="I16" s="732">
        <f t="shared" si="0"/>
        <v>0</v>
      </c>
      <c r="J16" s="732">
        <f t="shared" si="0"/>
        <v>0</v>
      </c>
      <c r="K16" s="732">
        <f t="shared" si="0"/>
        <v>1740.698939441781</v>
      </c>
      <c r="L16" s="732">
        <f t="shared" si="0"/>
        <v>0</v>
      </c>
      <c r="M16" s="732">
        <f t="shared" ca="1" si="0"/>
        <v>0</v>
      </c>
      <c r="N16" s="732">
        <f t="shared" si="0"/>
        <v>0</v>
      </c>
      <c r="O16" s="732">
        <f t="shared" ca="1" si="0"/>
        <v>37788.949230887527</v>
      </c>
      <c r="P16" s="732">
        <f t="shared" si="0"/>
        <v>248.57000000000002</v>
      </c>
      <c r="Q16" s="732">
        <f t="shared" si="0"/>
        <v>724.5333333333333</v>
      </c>
      <c r="R16" s="732">
        <f t="shared" ca="1" si="0"/>
        <v>633022.79018367245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3427.6610700126007</v>
      </c>
      <c r="I19" s="1012">
        <f>transport!H54</f>
        <v>0</v>
      </c>
      <c r="J19" s="1012">
        <f>transport!I54</f>
        <v>0</v>
      </c>
      <c r="K19" s="1012">
        <f>transport!J54</f>
        <v>0</v>
      </c>
      <c r="L19" s="1012">
        <f>transport!K54</f>
        <v>0</v>
      </c>
      <c r="M19" s="1012">
        <f>transport!L54</f>
        <v>0</v>
      </c>
      <c r="N19" s="1012">
        <f>transport!M54</f>
        <v>106.31837808984086</v>
      </c>
      <c r="O19" s="1012">
        <f>transport!N54</f>
        <v>0</v>
      </c>
      <c r="P19" s="1012">
        <f>transport!O54</f>
        <v>0</v>
      </c>
      <c r="Q19" s="1013">
        <f>transport!P54</f>
        <v>0</v>
      </c>
      <c r="R19" s="700">
        <f>SUM(C19:Q19)</f>
        <v>3533.9794481024414</v>
      </c>
      <c r="S19" s="67"/>
    </row>
    <row r="20" spans="1:19" s="473" customFormat="1">
      <c r="A20" s="809" t="s">
        <v>307</v>
      </c>
      <c r="B20" s="814"/>
      <c r="C20" s="1012">
        <f>transport!B14</f>
        <v>54.283109864493454</v>
      </c>
      <c r="D20" s="1012">
        <f>transport!C14</f>
        <v>0</v>
      </c>
      <c r="E20" s="1012">
        <f>transport!D14</f>
        <v>125.5719999069878</v>
      </c>
      <c r="F20" s="1012">
        <f>transport!E14</f>
        <v>507.39888877569751</v>
      </c>
      <c r="G20" s="1012">
        <f>transport!F14</f>
        <v>0</v>
      </c>
      <c r="H20" s="1012">
        <f>transport!G14</f>
        <v>178630.19239189403</v>
      </c>
      <c r="I20" s="1012">
        <f>transport!H14</f>
        <v>33990.664704178671</v>
      </c>
      <c r="J20" s="1012">
        <f>transport!I14</f>
        <v>0</v>
      </c>
      <c r="K20" s="1012">
        <f>transport!J14</f>
        <v>0</v>
      </c>
      <c r="L20" s="1012">
        <f>transport!K14</f>
        <v>0</v>
      </c>
      <c r="M20" s="1012">
        <f>transport!L14</f>
        <v>0</v>
      </c>
      <c r="N20" s="1012">
        <f>transport!M14</f>
        <v>6646.1229590281719</v>
      </c>
      <c r="O20" s="1012">
        <f>transport!N14</f>
        <v>0</v>
      </c>
      <c r="P20" s="1012">
        <f>transport!O14</f>
        <v>0</v>
      </c>
      <c r="Q20" s="1013">
        <f>transport!P14</f>
        <v>0</v>
      </c>
      <c r="R20" s="700">
        <f>SUM(C20:Q20)</f>
        <v>219954.23405364805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54.283109864493454</v>
      </c>
      <c r="D22" s="812">
        <f t="shared" ref="D22:R22" si="1">SUM(D18:D21)</f>
        <v>0</v>
      </c>
      <c r="E22" s="812">
        <f t="shared" si="1"/>
        <v>125.5719999069878</v>
      </c>
      <c r="F22" s="812">
        <f t="shared" si="1"/>
        <v>507.39888877569751</v>
      </c>
      <c r="G22" s="812">
        <f t="shared" si="1"/>
        <v>0</v>
      </c>
      <c r="H22" s="812">
        <f t="shared" si="1"/>
        <v>182057.85346190663</v>
      </c>
      <c r="I22" s="812">
        <f t="shared" si="1"/>
        <v>33990.664704178671</v>
      </c>
      <c r="J22" s="812">
        <f t="shared" si="1"/>
        <v>0</v>
      </c>
      <c r="K22" s="812">
        <f t="shared" si="1"/>
        <v>0</v>
      </c>
      <c r="L22" s="812">
        <f t="shared" si="1"/>
        <v>0</v>
      </c>
      <c r="M22" s="812">
        <f t="shared" si="1"/>
        <v>0</v>
      </c>
      <c r="N22" s="812">
        <f t="shared" si="1"/>
        <v>6752.4413371180126</v>
      </c>
      <c r="O22" s="812">
        <f t="shared" si="1"/>
        <v>0</v>
      </c>
      <c r="P22" s="812">
        <f t="shared" si="1"/>
        <v>0</v>
      </c>
      <c r="Q22" s="812">
        <f t="shared" si="1"/>
        <v>0</v>
      </c>
      <c r="R22" s="812">
        <f t="shared" si="1"/>
        <v>223488.21350175049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2241.5020104120003</v>
      </c>
      <c r="D24" s="1012">
        <f>+landbouw!C8</f>
        <v>0</v>
      </c>
      <c r="E24" s="1012">
        <f>+landbouw!D8</f>
        <v>722.66849468682005</v>
      </c>
      <c r="F24" s="1012">
        <f>+landbouw!E8</f>
        <v>57.799730475829186</v>
      </c>
      <c r="G24" s="1012">
        <f>+landbouw!F8</f>
        <v>8193.116721377457</v>
      </c>
      <c r="H24" s="1012">
        <f>+landbouw!G8</f>
        <v>0</v>
      </c>
      <c r="I24" s="1012">
        <f>+landbouw!H8</f>
        <v>0</v>
      </c>
      <c r="J24" s="1012">
        <f>+landbouw!I8</f>
        <v>0</v>
      </c>
      <c r="K24" s="1012">
        <f>+landbouw!J8</f>
        <v>322.69383213354007</v>
      </c>
      <c r="L24" s="1012">
        <f>+landbouw!K8</f>
        <v>0</v>
      </c>
      <c r="M24" s="1012">
        <f>+landbouw!L8</f>
        <v>0</v>
      </c>
      <c r="N24" s="1012">
        <f>+landbouw!M8</f>
        <v>0</v>
      </c>
      <c r="O24" s="1012">
        <f>+landbouw!N8</f>
        <v>0</v>
      </c>
      <c r="P24" s="1012">
        <f>+landbouw!O8</f>
        <v>0</v>
      </c>
      <c r="Q24" s="1013">
        <f>+landbouw!P8</f>
        <v>0</v>
      </c>
      <c r="R24" s="700">
        <f>SUM(C24:Q24)</f>
        <v>11537.780789085646</v>
      </c>
      <c r="S24" s="67"/>
    </row>
    <row r="25" spans="1:19" s="473" customFormat="1" ht="15" thickBot="1">
      <c r="A25" s="831" t="s">
        <v>848</v>
      </c>
      <c r="B25" s="1015"/>
      <c r="C25" s="1016">
        <f>IF(Onbekend_ele_kWh="---",0,Onbekend_ele_kWh)/1000+IF(REST_rest_ele_kWh="---",0,REST_rest_ele_kWh)/1000</f>
        <v>1768.8714546000001</v>
      </c>
      <c r="D25" s="1016"/>
      <c r="E25" s="1016">
        <f>IF(onbekend_gas_kWh="---",0,onbekend_gas_kWh)/1000+IF(REST_rest_gas_kWh="---",0,REST_rest_gas_kWh)/1000</f>
        <v>7014.8247022000005</v>
      </c>
      <c r="F25" s="1016"/>
      <c r="G25" s="1016"/>
      <c r="H25" s="1016"/>
      <c r="I25" s="1016"/>
      <c r="J25" s="1016"/>
      <c r="K25" s="1016"/>
      <c r="L25" s="1016"/>
      <c r="M25" s="1016"/>
      <c r="N25" s="1016"/>
      <c r="O25" s="1016"/>
      <c r="P25" s="1016"/>
      <c r="Q25" s="1017"/>
      <c r="R25" s="700">
        <f>SUM(C25:Q25)</f>
        <v>8783.6961568000006</v>
      </c>
      <c r="S25" s="67"/>
    </row>
    <row r="26" spans="1:19" s="473" customFormat="1" ht="15.75" thickBot="1">
      <c r="A26" s="705" t="s">
        <v>849</v>
      </c>
      <c r="B26" s="817"/>
      <c r="C26" s="812">
        <f>SUM(C24:C25)</f>
        <v>4010.3734650120005</v>
      </c>
      <c r="D26" s="812">
        <f t="shared" ref="D26:R26" si="2">SUM(D24:D25)</f>
        <v>0</v>
      </c>
      <c r="E26" s="812">
        <f t="shared" si="2"/>
        <v>7737.4931968868204</v>
      </c>
      <c r="F26" s="812">
        <f t="shared" si="2"/>
        <v>57.799730475829186</v>
      </c>
      <c r="G26" s="812">
        <f t="shared" si="2"/>
        <v>8193.116721377457</v>
      </c>
      <c r="H26" s="812">
        <f t="shared" si="2"/>
        <v>0</v>
      </c>
      <c r="I26" s="812">
        <f t="shared" si="2"/>
        <v>0</v>
      </c>
      <c r="J26" s="812">
        <f t="shared" si="2"/>
        <v>0</v>
      </c>
      <c r="K26" s="812">
        <f t="shared" si="2"/>
        <v>322.69383213354007</v>
      </c>
      <c r="L26" s="812">
        <f t="shared" si="2"/>
        <v>0</v>
      </c>
      <c r="M26" s="812">
        <f t="shared" si="2"/>
        <v>0</v>
      </c>
      <c r="N26" s="812">
        <f t="shared" si="2"/>
        <v>0</v>
      </c>
      <c r="O26" s="812">
        <f t="shared" si="2"/>
        <v>0</v>
      </c>
      <c r="P26" s="812">
        <f t="shared" si="2"/>
        <v>0</v>
      </c>
      <c r="Q26" s="812">
        <f t="shared" si="2"/>
        <v>0</v>
      </c>
      <c r="R26" s="812">
        <f t="shared" si="2"/>
        <v>20321.476945885646</v>
      </c>
      <c r="S26" s="67"/>
    </row>
    <row r="27" spans="1:19" s="473" customFormat="1" ht="17.25" thickTop="1" thickBot="1">
      <c r="A27" s="706" t="s">
        <v>116</v>
      </c>
      <c r="B27" s="805"/>
      <c r="C27" s="707">
        <f ca="1">C22+C16+C26</f>
        <v>226439.41919749466</v>
      </c>
      <c r="D27" s="707">
        <f t="shared" ref="D27:R27" ca="1" si="3">D22+D16+D26</f>
        <v>0</v>
      </c>
      <c r="E27" s="707">
        <f t="shared" ca="1" si="3"/>
        <v>268964.16701693792</v>
      </c>
      <c r="F27" s="707">
        <f t="shared" si="3"/>
        <v>15010.967906395013</v>
      </c>
      <c r="G27" s="707">
        <f t="shared" ca="1" si="3"/>
        <v>102791.52167148153</v>
      </c>
      <c r="H27" s="707">
        <f t="shared" si="3"/>
        <v>182057.85346190663</v>
      </c>
      <c r="I27" s="707">
        <f t="shared" si="3"/>
        <v>33990.664704178671</v>
      </c>
      <c r="J27" s="707">
        <f t="shared" si="3"/>
        <v>0</v>
      </c>
      <c r="K27" s="707">
        <f t="shared" si="3"/>
        <v>2063.3927715753211</v>
      </c>
      <c r="L27" s="707">
        <f t="shared" si="3"/>
        <v>0</v>
      </c>
      <c r="M27" s="707">
        <f t="shared" ca="1" si="3"/>
        <v>0</v>
      </c>
      <c r="N27" s="707">
        <f t="shared" si="3"/>
        <v>6752.4413371180126</v>
      </c>
      <c r="O27" s="707">
        <f t="shared" ca="1" si="3"/>
        <v>37788.949230887527</v>
      </c>
      <c r="P27" s="707">
        <f t="shared" si="3"/>
        <v>248.57000000000002</v>
      </c>
      <c r="Q27" s="707">
        <f t="shared" si="3"/>
        <v>724.5333333333333</v>
      </c>
      <c r="R27" s="707">
        <f t="shared" ca="1" si="3"/>
        <v>876832.48063130863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12927.753018816655</v>
      </c>
      <c r="D40" s="1012">
        <f ca="1">tertiair!C20</f>
        <v>0</v>
      </c>
      <c r="E40" s="1012">
        <f ca="1">tertiair!D20</f>
        <v>16836.892284501788</v>
      </c>
      <c r="F40" s="1012">
        <f>tertiair!E20</f>
        <v>235.57564229809734</v>
      </c>
      <c r="G40" s="1012">
        <f ca="1">tertiair!F20</f>
        <v>3914.9963050627239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33915.217250679263</v>
      </c>
    </row>
    <row r="41" spans="1:18">
      <c r="A41" s="822" t="s">
        <v>225</v>
      </c>
      <c r="B41" s="829"/>
      <c r="C41" s="1012">
        <f ca="1">huishoudens!B12</f>
        <v>11314.945926952154</v>
      </c>
      <c r="D41" s="1012">
        <f ca="1">huishoudens!C12</f>
        <v>0</v>
      </c>
      <c r="E41" s="1012">
        <f>huishoudens!D12</f>
        <v>30915.304927434401</v>
      </c>
      <c r="F41" s="1012">
        <f>huishoudens!E12</f>
        <v>1222.4965437000469</v>
      </c>
      <c r="G41" s="1012">
        <f>huishoudens!F12</f>
        <v>12886.271465640701</v>
      </c>
      <c r="H41" s="1012">
        <f>huishoudens!G12</f>
        <v>0</v>
      </c>
      <c r="I41" s="1012">
        <f>huishoudens!H12</f>
        <v>0</v>
      </c>
      <c r="J41" s="1012">
        <f>huishoudens!I12</f>
        <v>0</v>
      </c>
      <c r="K41" s="1012">
        <f>huishoudens!J12</f>
        <v>375.85670274426127</v>
      </c>
      <c r="L41" s="1012">
        <f>huishoudens!K12</f>
        <v>0</v>
      </c>
      <c r="M41" s="1012">
        <f>huishoudens!L12</f>
        <v>0</v>
      </c>
      <c r="N41" s="1012">
        <f>huishoudens!M12</f>
        <v>0</v>
      </c>
      <c r="O41" s="1012">
        <f>huishoudens!N12</f>
        <v>0</v>
      </c>
      <c r="P41" s="1012">
        <f>huishoudens!O12</f>
        <v>0</v>
      </c>
      <c r="Q41" s="774">
        <f>huishoudens!P12</f>
        <v>0</v>
      </c>
      <c r="R41" s="850">
        <f t="shared" ca="1" si="4"/>
        <v>56714.875566471572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22668.836754615226</v>
      </c>
      <c r="D43" s="1012">
        <f ca="1">industrie!C22</f>
        <v>0</v>
      </c>
      <c r="E43" s="1012">
        <f>industrie!D22</f>
        <v>4990.2253557329159</v>
      </c>
      <c r="F43" s="1012">
        <f>industrie!E22</f>
        <v>1821.1174421834273</v>
      </c>
      <c r="G43" s="1012">
        <f>industrie!F22</f>
        <v>8456.5063509743668</v>
      </c>
      <c r="H43" s="1012">
        <f>industrie!G22</f>
        <v>0</v>
      </c>
      <c r="I43" s="1012">
        <f>industrie!H22</f>
        <v>0</v>
      </c>
      <c r="J43" s="1012">
        <f>industrie!I22</f>
        <v>0</v>
      </c>
      <c r="K43" s="1012">
        <f>industrie!J22</f>
        <v>240.35072181812919</v>
      </c>
      <c r="L43" s="1012">
        <f>industrie!K22</f>
        <v>0</v>
      </c>
      <c r="M43" s="1012">
        <f>industrie!L22</f>
        <v>0</v>
      </c>
      <c r="N43" s="1012">
        <f>industrie!M22</f>
        <v>0</v>
      </c>
      <c r="O43" s="1012">
        <f>industrie!N22</f>
        <v>0</v>
      </c>
      <c r="P43" s="1012">
        <f>industrie!O22</f>
        <v>0</v>
      </c>
      <c r="Q43" s="774">
        <f>industrie!P22</f>
        <v>0</v>
      </c>
      <c r="R43" s="849">
        <f t="shared" ca="1" si="4"/>
        <v>38177.036625324057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46911.535700384033</v>
      </c>
      <c r="D46" s="732">
        <f t="shared" ref="D46:Q46" ca="1" si="5">SUM(D39:D45)</f>
        <v>0</v>
      </c>
      <c r="E46" s="732">
        <f t="shared" ca="1" si="5"/>
        <v>52742.422567669106</v>
      </c>
      <c r="F46" s="732">
        <f t="shared" si="5"/>
        <v>3279.1896281815716</v>
      </c>
      <c r="G46" s="732">
        <f t="shared" ca="1" si="5"/>
        <v>25257.77412167779</v>
      </c>
      <c r="H46" s="732">
        <f t="shared" si="5"/>
        <v>0</v>
      </c>
      <c r="I46" s="732">
        <f t="shared" si="5"/>
        <v>0</v>
      </c>
      <c r="J46" s="732">
        <f t="shared" si="5"/>
        <v>0</v>
      </c>
      <c r="K46" s="732">
        <f t="shared" si="5"/>
        <v>616.20742456239043</v>
      </c>
      <c r="L46" s="732">
        <f t="shared" si="5"/>
        <v>0</v>
      </c>
      <c r="M46" s="732">
        <f t="shared" ca="1" si="5"/>
        <v>0</v>
      </c>
      <c r="N46" s="732">
        <f t="shared" si="5"/>
        <v>0</v>
      </c>
      <c r="O46" s="732">
        <f t="shared" ca="1" si="5"/>
        <v>0</v>
      </c>
      <c r="P46" s="732">
        <f t="shared" si="5"/>
        <v>0</v>
      </c>
      <c r="Q46" s="732">
        <f t="shared" si="5"/>
        <v>0</v>
      </c>
      <c r="R46" s="732">
        <f ca="1">SUM(R39:R45)</f>
        <v>128807.12944247489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915.18550569336446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915.18550569336446</v>
      </c>
    </row>
    <row r="50" spans="1:18">
      <c r="A50" s="825" t="s">
        <v>307</v>
      </c>
      <c r="B50" s="835"/>
      <c r="C50" s="703">
        <f ca="1">transport!B18</f>
        <v>11.451407598161698</v>
      </c>
      <c r="D50" s="703">
        <f>transport!C18</f>
        <v>0</v>
      </c>
      <c r="E50" s="703">
        <f>transport!D18</f>
        <v>25.365543981211538</v>
      </c>
      <c r="F50" s="703">
        <f>transport!E18</f>
        <v>115.17954775208334</v>
      </c>
      <c r="G50" s="703">
        <f>transport!F18</f>
        <v>0</v>
      </c>
      <c r="H50" s="703">
        <f>transport!G18</f>
        <v>47694.261368635707</v>
      </c>
      <c r="I50" s="703">
        <f>transport!H18</f>
        <v>8463.6755113404888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56309.933379307651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11.451407598161698</v>
      </c>
      <c r="D52" s="732">
        <f t="shared" ref="D52:Q52" ca="1" si="6">SUM(D48:D51)</f>
        <v>0</v>
      </c>
      <c r="E52" s="732">
        <f t="shared" si="6"/>
        <v>25.365543981211538</v>
      </c>
      <c r="F52" s="732">
        <f t="shared" si="6"/>
        <v>115.17954775208334</v>
      </c>
      <c r="G52" s="732">
        <f t="shared" si="6"/>
        <v>0</v>
      </c>
      <c r="H52" s="732">
        <f t="shared" si="6"/>
        <v>48609.446874329071</v>
      </c>
      <c r="I52" s="732">
        <f t="shared" si="6"/>
        <v>8463.6755113404888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57225.118885001015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472.86077045700642</v>
      </c>
      <c r="D54" s="703">
        <f ca="1">+landbouw!C12</f>
        <v>0</v>
      </c>
      <c r="E54" s="703">
        <f>+landbouw!D12</f>
        <v>145.97903592673765</v>
      </c>
      <c r="F54" s="703">
        <f>+landbouw!E12</f>
        <v>13.120538818013225</v>
      </c>
      <c r="G54" s="703">
        <f>+landbouw!F12</f>
        <v>2187.5621646077811</v>
      </c>
      <c r="H54" s="703">
        <f>+landbouw!G12</f>
        <v>0</v>
      </c>
      <c r="I54" s="703">
        <f>+landbouw!H12</f>
        <v>0</v>
      </c>
      <c r="J54" s="703">
        <f>+landbouw!I12</f>
        <v>0</v>
      </c>
      <c r="K54" s="703">
        <f>+landbouw!J12</f>
        <v>114.23361657527317</v>
      </c>
      <c r="L54" s="703">
        <f>+landbouw!K12</f>
        <v>0</v>
      </c>
      <c r="M54" s="703">
        <f>+landbouw!L12</f>
        <v>0</v>
      </c>
      <c r="N54" s="703">
        <f>+landbouw!M12</f>
        <v>0</v>
      </c>
      <c r="O54" s="703">
        <f>+landbouw!N12</f>
        <v>0</v>
      </c>
      <c r="P54" s="703">
        <f>+landbouw!O12</f>
        <v>0</v>
      </c>
      <c r="Q54" s="704">
        <f>+landbouw!P12</f>
        <v>0</v>
      </c>
      <c r="R54" s="731">
        <f ca="1">SUM(C54:Q54)</f>
        <v>2933.7561263848115</v>
      </c>
    </row>
    <row r="55" spans="1:18" ht="15" thickBot="1">
      <c r="A55" s="825" t="s">
        <v>848</v>
      </c>
      <c r="B55" s="835"/>
      <c r="C55" s="703">
        <f ca="1">C25*'EF ele_warmte'!B12</f>
        <v>373.15599761956997</v>
      </c>
      <c r="D55" s="703"/>
      <c r="E55" s="703">
        <f>E25*EF_CO2_aardgas</f>
        <v>1416.9945898444003</v>
      </c>
      <c r="F55" s="703"/>
      <c r="G55" s="703"/>
      <c r="H55" s="703"/>
      <c r="I55" s="703"/>
      <c r="J55" s="703"/>
      <c r="K55" s="703"/>
      <c r="L55" s="703"/>
      <c r="M55" s="703"/>
      <c r="N55" s="703"/>
      <c r="O55" s="703"/>
      <c r="P55" s="703"/>
      <c r="Q55" s="704"/>
      <c r="R55" s="731">
        <f ca="1">SUM(C55:Q55)</f>
        <v>1790.1505874639702</v>
      </c>
    </row>
    <row r="56" spans="1:18" ht="15.75" thickBot="1">
      <c r="A56" s="823" t="s">
        <v>849</v>
      </c>
      <c r="B56" s="836"/>
      <c r="C56" s="732">
        <f ca="1">SUM(C54:C55)</f>
        <v>846.01676807657645</v>
      </c>
      <c r="D56" s="732">
        <f t="shared" ref="D56:Q56" ca="1" si="7">SUM(D54:D55)</f>
        <v>0</v>
      </c>
      <c r="E56" s="732">
        <f t="shared" si="7"/>
        <v>1562.9736257711379</v>
      </c>
      <c r="F56" s="732">
        <f t="shared" si="7"/>
        <v>13.120538818013225</v>
      </c>
      <c r="G56" s="732">
        <f t="shared" si="7"/>
        <v>2187.5621646077811</v>
      </c>
      <c r="H56" s="732">
        <f t="shared" si="7"/>
        <v>0</v>
      </c>
      <c r="I56" s="732">
        <f t="shared" si="7"/>
        <v>0</v>
      </c>
      <c r="J56" s="732">
        <f t="shared" si="7"/>
        <v>0</v>
      </c>
      <c r="K56" s="732">
        <f t="shared" si="7"/>
        <v>114.23361657527317</v>
      </c>
      <c r="L56" s="732">
        <f t="shared" si="7"/>
        <v>0</v>
      </c>
      <c r="M56" s="732">
        <f t="shared" si="7"/>
        <v>0</v>
      </c>
      <c r="N56" s="732">
        <f t="shared" si="7"/>
        <v>0</v>
      </c>
      <c r="O56" s="732">
        <f t="shared" si="7"/>
        <v>0</v>
      </c>
      <c r="P56" s="732">
        <f t="shared" si="7"/>
        <v>0</v>
      </c>
      <c r="Q56" s="733">
        <f t="shared" si="7"/>
        <v>0</v>
      </c>
      <c r="R56" s="734">
        <f ca="1">SUM(R54:R55)</f>
        <v>4723.9067138487817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47769.00387605877</v>
      </c>
      <c r="D61" s="740">
        <f t="shared" ref="D61:Q61" ca="1" si="8">D46+D52+D56</f>
        <v>0</v>
      </c>
      <c r="E61" s="740">
        <f t="shared" ca="1" si="8"/>
        <v>54330.761737421461</v>
      </c>
      <c r="F61" s="740">
        <f t="shared" si="8"/>
        <v>3407.4897147516681</v>
      </c>
      <c r="G61" s="740">
        <f t="shared" ca="1" si="8"/>
        <v>27445.336286285572</v>
      </c>
      <c r="H61" s="740">
        <f t="shared" si="8"/>
        <v>48609.446874329071</v>
      </c>
      <c r="I61" s="740">
        <f t="shared" si="8"/>
        <v>8463.6755113404888</v>
      </c>
      <c r="J61" s="740">
        <f t="shared" si="8"/>
        <v>0</v>
      </c>
      <c r="K61" s="740">
        <f t="shared" si="8"/>
        <v>730.44104113766366</v>
      </c>
      <c r="L61" s="740">
        <f t="shared" si="8"/>
        <v>0</v>
      </c>
      <c r="M61" s="740">
        <f t="shared" ca="1" si="8"/>
        <v>0</v>
      </c>
      <c r="N61" s="740">
        <f t="shared" si="8"/>
        <v>0</v>
      </c>
      <c r="O61" s="740">
        <f t="shared" ca="1" si="8"/>
        <v>0</v>
      </c>
      <c r="P61" s="740">
        <f t="shared" si="8"/>
        <v>0</v>
      </c>
      <c r="Q61" s="740">
        <f t="shared" si="8"/>
        <v>0</v>
      </c>
      <c r="R61" s="740">
        <f ca="1">R46+R52+R56</f>
        <v>190756.1550413247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0.21095710298742584</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10290.080391798856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10290.080391798856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53636.24057553817</v>
      </c>
      <c r="C4" s="477">
        <f>huishoudens!C8</f>
        <v>0</v>
      </c>
      <c r="D4" s="477">
        <f>huishoudens!D8</f>
        <v>153046.06399719999</v>
      </c>
      <c r="E4" s="477">
        <f>huishoudens!E8</f>
        <v>5385.4473290750966</v>
      </c>
      <c r="F4" s="477">
        <f>huishoudens!F8</f>
        <v>48263.189009890259</v>
      </c>
      <c r="G4" s="477">
        <f>huishoudens!G8</f>
        <v>0</v>
      </c>
      <c r="H4" s="477">
        <f>huishoudens!H8</f>
        <v>0</v>
      </c>
      <c r="I4" s="477">
        <f>huishoudens!I8</f>
        <v>0</v>
      </c>
      <c r="J4" s="477">
        <f>huishoudens!J8</f>
        <v>1061.7420981476307</v>
      </c>
      <c r="K4" s="477">
        <f>huishoudens!K8</f>
        <v>0</v>
      </c>
      <c r="L4" s="477">
        <f>huishoudens!L8</f>
        <v>0</v>
      </c>
      <c r="M4" s="477">
        <f>huishoudens!M8</f>
        <v>0</v>
      </c>
      <c r="N4" s="477">
        <f>huishoudens!N8</f>
        <v>9516.9048430333987</v>
      </c>
      <c r="O4" s="477">
        <f>huishoudens!O8</f>
        <v>247.00666666666669</v>
      </c>
      <c r="P4" s="478">
        <f>huishoudens!P8</f>
        <v>572</v>
      </c>
      <c r="Q4" s="479">
        <f>SUM(B4:P4)</f>
        <v>271728.5945195512</v>
      </c>
    </row>
    <row r="5" spans="1:17">
      <c r="A5" s="476" t="s">
        <v>156</v>
      </c>
      <c r="B5" s="477">
        <f ca="1">tertiair!B16</f>
        <v>58930.00437491</v>
      </c>
      <c r="C5" s="477">
        <f ca="1">tertiair!C16</f>
        <v>0</v>
      </c>
      <c r="D5" s="477">
        <f ca="1">tertiair!D16</f>
        <v>83350.951903474197</v>
      </c>
      <c r="E5" s="477">
        <f>tertiair!E16</f>
        <v>1037.7781599035125</v>
      </c>
      <c r="F5" s="477">
        <f ca="1">tertiair!F16</f>
        <v>14662.907509598215</v>
      </c>
      <c r="G5" s="477">
        <f>tertiair!G16</f>
        <v>0</v>
      </c>
      <c r="H5" s="477">
        <f>tertiair!H16</f>
        <v>0</v>
      </c>
      <c r="I5" s="477">
        <f>tertiair!I16</f>
        <v>0</v>
      </c>
      <c r="J5" s="477">
        <f>tertiair!J16</f>
        <v>0</v>
      </c>
      <c r="K5" s="477">
        <f>tertiair!K16</f>
        <v>0</v>
      </c>
      <c r="L5" s="477">
        <f ca="1">tertiair!L16</f>
        <v>0</v>
      </c>
      <c r="M5" s="477">
        <f>tertiair!M16</f>
        <v>0</v>
      </c>
      <c r="N5" s="477">
        <f ca="1">tertiair!N16</f>
        <v>3457.3112343925095</v>
      </c>
      <c r="O5" s="477">
        <f>tertiair!O16</f>
        <v>1.5633333333333335</v>
      </c>
      <c r="P5" s="478">
        <f>tertiair!P16</f>
        <v>152.53333333333333</v>
      </c>
      <c r="Q5" s="476">
        <f t="shared" ref="Q5:Q14" ca="1" si="0">SUM(B5:P5)</f>
        <v>161593.04984894508</v>
      </c>
    </row>
    <row r="6" spans="1:17">
      <c r="A6" s="476" t="s">
        <v>194</v>
      </c>
      <c r="B6" s="477">
        <f>'openbare verlichting'!B8</f>
        <v>2351.4259999999999</v>
      </c>
      <c r="C6" s="477"/>
      <c r="D6" s="477"/>
      <c r="E6" s="477"/>
      <c r="F6" s="477"/>
      <c r="G6" s="477"/>
      <c r="H6" s="477"/>
      <c r="I6" s="477"/>
      <c r="J6" s="477"/>
      <c r="K6" s="477"/>
      <c r="L6" s="477"/>
      <c r="M6" s="477"/>
      <c r="N6" s="477"/>
      <c r="O6" s="477"/>
      <c r="P6" s="478"/>
      <c r="Q6" s="476">
        <f t="shared" si="0"/>
        <v>2351.4259999999999</v>
      </c>
    </row>
    <row r="7" spans="1:17">
      <c r="A7" s="476" t="s">
        <v>112</v>
      </c>
      <c r="B7" s="477">
        <f>landbouw!B8</f>
        <v>2241.5020104120003</v>
      </c>
      <c r="C7" s="477">
        <f>landbouw!C8</f>
        <v>0</v>
      </c>
      <c r="D7" s="477">
        <f>landbouw!D8</f>
        <v>722.66849468682005</v>
      </c>
      <c r="E7" s="477">
        <f>landbouw!E8</f>
        <v>57.799730475829186</v>
      </c>
      <c r="F7" s="477">
        <f>landbouw!F8</f>
        <v>8193.116721377457</v>
      </c>
      <c r="G7" s="477">
        <f>landbouw!G8</f>
        <v>0</v>
      </c>
      <c r="H7" s="477">
        <f>landbouw!H8</f>
        <v>0</v>
      </c>
      <c r="I7" s="477">
        <f>landbouw!I8</f>
        <v>0</v>
      </c>
      <c r="J7" s="477">
        <f>landbouw!J8</f>
        <v>322.69383213354007</v>
      </c>
      <c r="K7" s="477">
        <f>landbouw!K8</f>
        <v>0</v>
      </c>
      <c r="L7" s="477">
        <f>landbouw!L8</f>
        <v>0</v>
      </c>
      <c r="M7" s="477">
        <f>landbouw!M8</f>
        <v>0</v>
      </c>
      <c r="N7" s="477">
        <f>landbouw!N8</f>
        <v>0</v>
      </c>
      <c r="O7" s="477">
        <f>landbouw!O8</f>
        <v>0</v>
      </c>
      <c r="P7" s="478">
        <f>landbouw!P8</f>
        <v>0</v>
      </c>
      <c r="Q7" s="476">
        <f t="shared" si="0"/>
        <v>11537.780789085646</v>
      </c>
    </row>
    <row r="8" spans="1:17">
      <c r="A8" s="476" t="s">
        <v>638</v>
      </c>
      <c r="B8" s="477">
        <f>industrie!B18</f>
        <v>107457.09167216999</v>
      </c>
      <c r="C8" s="477">
        <f>industrie!C18</f>
        <v>0</v>
      </c>
      <c r="D8" s="477">
        <f>industrie!D18</f>
        <v>24704.085919469879</v>
      </c>
      <c r="E8" s="477">
        <f>industrie!E18</f>
        <v>8022.5437981648774</v>
      </c>
      <c r="F8" s="477">
        <f>industrie!F18</f>
        <v>31672.308430615602</v>
      </c>
      <c r="G8" s="477">
        <f>industrie!G18</f>
        <v>0</v>
      </c>
      <c r="H8" s="477">
        <f>industrie!H18</f>
        <v>0</v>
      </c>
      <c r="I8" s="477">
        <f>industrie!I18</f>
        <v>0</v>
      </c>
      <c r="J8" s="477">
        <f>industrie!J18</f>
        <v>678.95684129415031</v>
      </c>
      <c r="K8" s="477">
        <f>industrie!K18</f>
        <v>0</v>
      </c>
      <c r="L8" s="477">
        <f>industrie!L18</f>
        <v>0</v>
      </c>
      <c r="M8" s="477">
        <f>industrie!M18</f>
        <v>0</v>
      </c>
      <c r="N8" s="477">
        <f>industrie!N18</f>
        <v>24814.733153461621</v>
      </c>
      <c r="O8" s="477">
        <f>industrie!O18</f>
        <v>0</v>
      </c>
      <c r="P8" s="478">
        <f>industrie!P18</f>
        <v>0</v>
      </c>
      <c r="Q8" s="476">
        <f t="shared" si="0"/>
        <v>197349.71981517613</v>
      </c>
    </row>
    <row r="9" spans="1:17" s="482" customFormat="1">
      <c r="A9" s="480" t="s">
        <v>564</v>
      </c>
      <c r="B9" s="481">
        <f>transport!B14</f>
        <v>54.283109864493454</v>
      </c>
      <c r="C9" s="481">
        <f>transport!C14</f>
        <v>0</v>
      </c>
      <c r="D9" s="481">
        <f>transport!D14</f>
        <v>125.5719999069878</v>
      </c>
      <c r="E9" s="481">
        <f>transport!E14</f>
        <v>507.39888877569751</v>
      </c>
      <c r="F9" s="481">
        <f>transport!F14</f>
        <v>0</v>
      </c>
      <c r="G9" s="481">
        <f>transport!G14</f>
        <v>178630.19239189403</v>
      </c>
      <c r="H9" s="481">
        <f>transport!H14</f>
        <v>33990.664704178671</v>
      </c>
      <c r="I9" s="481">
        <f>transport!I14</f>
        <v>0</v>
      </c>
      <c r="J9" s="481">
        <f>transport!J14</f>
        <v>0</v>
      </c>
      <c r="K9" s="481">
        <f>transport!K14</f>
        <v>0</v>
      </c>
      <c r="L9" s="481">
        <f>transport!L14</f>
        <v>0</v>
      </c>
      <c r="M9" s="481">
        <f>transport!M14</f>
        <v>6646.1229590281719</v>
      </c>
      <c r="N9" s="481">
        <f>transport!N14</f>
        <v>0</v>
      </c>
      <c r="O9" s="481">
        <f>transport!O14</f>
        <v>0</v>
      </c>
      <c r="P9" s="481">
        <f>transport!P14</f>
        <v>0</v>
      </c>
      <c r="Q9" s="480">
        <f>SUM(B9:P9)</f>
        <v>219954.23405364805</v>
      </c>
    </row>
    <row r="10" spans="1:17">
      <c r="A10" s="476" t="s">
        <v>554</v>
      </c>
      <c r="B10" s="477">
        <f>transport!B54</f>
        <v>0</v>
      </c>
      <c r="C10" s="477">
        <f>transport!C54</f>
        <v>0</v>
      </c>
      <c r="D10" s="477">
        <f>transport!D54</f>
        <v>0</v>
      </c>
      <c r="E10" s="477">
        <f>transport!E54</f>
        <v>0</v>
      </c>
      <c r="F10" s="477">
        <f>transport!F54</f>
        <v>0</v>
      </c>
      <c r="G10" s="477">
        <f>transport!G54</f>
        <v>3427.6610700126007</v>
      </c>
      <c r="H10" s="477">
        <f>transport!H54</f>
        <v>0</v>
      </c>
      <c r="I10" s="477">
        <f>transport!I54</f>
        <v>0</v>
      </c>
      <c r="J10" s="477">
        <f>transport!J54</f>
        <v>0</v>
      </c>
      <c r="K10" s="477">
        <f>transport!K54</f>
        <v>0</v>
      </c>
      <c r="L10" s="477">
        <f>transport!L54</f>
        <v>0</v>
      </c>
      <c r="M10" s="477">
        <f>transport!M54</f>
        <v>106.31837808984086</v>
      </c>
      <c r="N10" s="477">
        <f>transport!N54</f>
        <v>0</v>
      </c>
      <c r="O10" s="477">
        <f>transport!O54</f>
        <v>0</v>
      </c>
      <c r="P10" s="478">
        <f>transport!P54</f>
        <v>0</v>
      </c>
      <c r="Q10" s="476">
        <f t="shared" si="0"/>
        <v>3533.9794481024414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1768.8714546000001</v>
      </c>
      <c r="C14" s="484"/>
      <c r="D14" s="484">
        <f>'SEAP template'!E25</f>
        <v>7014.8247022000005</v>
      </c>
      <c r="E14" s="484"/>
      <c r="F14" s="484"/>
      <c r="G14" s="484"/>
      <c r="H14" s="484"/>
      <c r="I14" s="484"/>
      <c r="J14" s="484"/>
      <c r="K14" s="484"/>
      <c r="L14" s="484"/>
      <c r="M14" s="484"/>
      <c r="N14" s="484"/>
      <c r="O14" s="484"/>
      <c r="P14" s="485"/>
      <c r="Q14" s="476">
        <f t="shared" si="0"/>
        <v>8783.6961568000006</v>
      </c>
    </row>
    <row r="15" spans="1:17" s="486" customFormat="1">
      <c r="A15" s="1038" t="s">
        <v>558</v>
      </c>
      <c r="B15" s="978">
        <f ca="1">SUM(B4:B14)</f>
        <v>226439.41919749466</v>
      </c>
      <c r="C15" s="978">
        <f t="shared" ref="C15:Q15" ca="1" si="1">SUM(C4:C14)</f>
        <v>0</v>
      </c>
      <c r="D15" s="978">
        <f t="shared" ca="1" si="1"/>
        <v>268964.16701693792</v>
      </c>
      <c r="E15" s="978">
        <f t="shared" si="1"/>
        <v>15010.967906395013</v>
      </c>
      <c r="F15" s="978">
        <f t="shared" ca="1" si="1"/>
        <v>102791.52167148155</v>
      </c>
      <c r="G15" s="978">
        <f t="shared" si="1"/>
        <v>182057.85346190663</v>
      </c>
      <c r="H15" s="978">
        <f t="shared" si="1"/>
        <v>33990.664704178671</v>
      </c>
      <c r="I15" s="978">
        <f t="shared" si="1"/>
        <v>0</v>
      </c>
      <c r="J15" s="978">
        <f t="shared" si="1"/>
        <v>2063.3927715753211</v>
      </c>
      <c r="K15" s="978">
        <f t="shared" si="1"/>
        <v>0</v>
      </c>
      <c r="L15" s="978">
        <f t="shared" ca="1" si="1"/>
        <v>0</v>
      </c>
      <c r="M15" s="978">
        <f t="shared" si="1"/>
        <v>6752.4413371180126</v>
      </c>
      <c r="N15" s="978">
        <f t="shared" ca="1" si="1"/>
        <v>37788.949230887527</v>
      </c>
      <c r="O15" s="978">
        <f t="shared" si="1"/>
        <v>248.57000000000002</v>
      </c>
      <c r="P15" s="978">
        <f t="shared" si="1"/>
        <v>724.5333333333333</v>
      </c>
      <c r="Q15" s="978">
        <f t="shared" ca="1" si="1"/>
        <v>876832.48063130851</v>
      </c>
    </row>
    <row r="17" spans="1:17">
      <c r="A17" s="487" t="s">
        <v>559</v>
      </c>
      <c r="B17" s="786">
        <f ca="1">huishoudens!B10</f>
        <v>0.21095710298742584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11314.945926952154</v>
      </c>
      <c r="C22" s="477">
        <f t="shared" ref="C22:C32" ca="1" si="3">C4*$C$17</f>
        <v>0</v>
      </c>
      <c r="D22" s="477">
        <f t="shared" ref="D22:D32" si="4">D4*$D$17</f>
        <v>30915.304927434401</v>
      </c>
      <c r="E22" s="477">
        <f t="shared" ref="E22:E32" si="5">E4*$E$17</f>
        <v>1222.4965437000469</v>
      </c>
      <c r="F22" s="477">
        <f t="shared" ref="F22:F32" si="6">F4*$F$17</f>
        <v>12886.271465640701</v>
      </c>
      <c r="G22" s="477">
        <f t="shared" ref="G22:G32" si="7">G4*$G$17</f>
        <v>0</v>
      </c>
      <c r="H22" s="477">
        <f t="shared" ref="H22:H32" si="8">H4*$H$17</f>
        <v>0</v>
      </c>
      <c r="I22" s="477">
        <f t="shared" ref="I22:I32" si="9">I4*$I$17</f>
        <v>0</v>
      </c>
      <c r="J22" s="477">
        <f t="shared" ref="J22:J32" si="10">J4*$J$17</f>
        <v>375.85670274426127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56714.875566471572</v>
      </c>
    </row>
    <row r="23" spans="1:17">
      <c r="A23" s="476" t="s">
        <v>156</v>
      </c>
      <c r="B23" s="477">
        <f t="shared" ca="1" si="2"/>
        <v>12431.703001967344</v>
      </c>
      <c r="C23" s="477">
        <f t="shared" ca="1" si="3"/>
        <v>0</v>
      </c>
      <c r="D23" s="477">
        <f t="shared" ca="1" si="4"/>
        <v>16836.892284501788</v>
      </c>
      <c r="E23" s="477">
        <f t="shared" si="5"/>
        <v>235.57564229809734</v>
      </c>
      <c r="F23" s="477">
        <f t="shared" ca="1" si="6"/>
        <v>3914.9963050627239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33419.167233829954</v>
      </c>
    </row>
    <row r="24" spans="1:17">
      <c r="A24" s="476" t="s">
        <v>194</v>
      </c>
      <c r="B24" s="477">
        <f t="shared" ca="1" si="2"/>
        <v>496.05001684931079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496.05001684931079</v>
      </c>
    </row>
    <row r="25" spans="1:17">
      <c r="A25" s="476" t="s">
        <v>112</v>
      </c>
      <c r="B25" s="477">
        <f t="shared" ca="1" si="2"/>
        <v>472.86077045700642</v>
      </c>
      <c r="C25" s="477">
        <f t="shared" ca="1" si="3"/>
        <v>0</v>
      </c>
      <c r="D25" s="477">
        <f t="shared" si="4"/>
        <v>145.97903592673765</v>
      </c>
      <c r="E25" s="477">
        <f t="shared" si="5"/>
        <v>13.120538818013225</v>
      </c>
      <c r="F25" s="477">
        <f t="shared" si="6"/>
        <v>2187.5621646077811</v>
      </c>
      <c r="G25" s="477">
        <f t="shared" si="7"/>
        <v>0</v>
      </c>
      <c r="H25" s="477">
        <f t="shared" si="8"/>
        <v>0</v>
      </c>
      <c r="I25" s="477">
        <f t="shared" si="9"/>
        <v>0</v>
      </c>
      <c r="J25" s="477">
        <f t="shared" si="10"/>
        <v>114.23361657527317</v>
      </c>
      <c r="K25" s="477">
        <f t="shared" si="11"/>
        <v>0</v>
      </c>
      <c r="L25" s="477">
        <f t="shared" si="12"/>
        <v>0</v>
      </c>
      <c r="M25" s="477">
        <f t="shared" si="13"/>
        <v>0</v>
      </c>
      <c r="N25" s="477">
        <f t="shared" si="14"/>
        <v>0</v>
      </c>
      <c r="O25" s="477">
        <f t="shared" si="15"/>
        <v>0</v>
      </c>
      <c r="P25" s="478">
        <f t="shared" si="16"/>
        <v>0</v>
      </c>
      <c r="Q25" s="476">
        <f t="shared" ca="1" si="17"/>
        <v>2933.7561263848115</v>
      </c>
    </row>
    <row r="26" spans="1:17">
      <c r="A26" s="476" t="s">
        <v>638</v>
      </c>
      <c r="B26" s="477">
        <f t="shared" ca="1" si="2"/>
        <v>22668.836754615226</v>
      </c>
      <c r="C26" s="477">
        <f t="shared" ca="1" si="3"/>
        <v>0</v>
      </c>
      <c r="D26" s="477">
        <f t="shared" si="4"/>
        <v>4990.2253557329159</v>
      </c>
      <c r="E26" s="477">
        <f t="shared" si="5"/>
        <v>1821.1174421834273</v>
      </c>
      <c r="F26" s="477">
        <f t="shared" si="6"/>
        <v>8456.5063509743668</v>
      </c>
      <c r="G26" s="477">
        <f t="shared" si="7"/>
        <v>0</v>
      </c>
      <c r="H26" s="477">
        <f t="shared" si="8"/>
        <v>0</v>
      </c>
      <c r="I26" s="477">
        <f t="shared" si="9"/>
        <v>0</v>
      </c>
      <c r="J26" s="477">
        <f t="shared" si="10"/>
        <v>240.35072181812919</v>
      </c>
      <c r="K26" s="477">
        <f t="shared" si="11"/>
        <v>0</v>
      </c>
      <c r="L26" s="477">
        <f t="shared" si="12"/>
        <v>0</v>
      </c>
      <c r="M26" s="477">
        <f t="shared" si="13"/>
        <v>0</v>
      </c>
      <c r="N26" s="477">
        <f t="shared" si="14"/>
        <v>0</v>
      </c>
      <c r="O26" s="477">
        <f t="shared" si="15"/>
        <v>0</v>
      </c>
      <c r="P26" s="478">
        <f t="shared" si="16"/>
        <v>0</v>
      </c>
      <c r="Q26" s="476">
        <f t="shared" ca="1" si="17"/>
        <v>38177.036625324057</v>
      </c>
    </row>
    <row r="27" spans="1:17" s="482" customFormat="1">
      <c r="A27" s="480" t="s">
        <v>564</v>
      </c>
      <c r="B27" s="780">
        <f t="shared" ca="1" si="2"/>
        <v>11.451407598161698</v>
      </c>
      <c r="C27" s="481">
        <f t="shared" ca="1" si="3"/>
        <v>0</v>
      </c>
      <c r="D27" s="481">
        <f t="shared" si="4"/>
        <v>25.365543981211538</v>
      </c>
      <c r="E27" s="481">
        <f t="shared" si="5"/>
        <v>115.17954775208334</v>
      </c>
      <c r="F27" s="481">
        <f t="shared" si="6"/>
        <v>0</v>
      </c>
      <c r="G27" s="481">
        <f t="shared" si="7"/>
        <v>47694.261368635707</v>
      </c>
      <c r="H27" s="481">
        <f t="shared" si="8"/>
        <v>8463.6755113404888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56309.933379307651</v>
      </c>
    </row>
    <row r="28" spans="1:17">
      <c r="A28" s="476" t="s">
        <v>554</v>
      </c>
      <c r="B28" s="477">
        <f t="shared" ca="1" si="2"/>
        <v>0</v>
      </c>
      <c r="C28" s="477">
        <f t="shared" ca="1" si="3"/>
        <v>0</v>
      </c>
      <c r="D28" s="477">
        <f t="shared" si="4"/>
        <v>0</v>
      </c>
      <c r="E28" s="477">
        <f t="shared" si="5"/>
        <v>0</v>
      </c>
      <c r="F28" s="477">
        <f t="shared" si="6"/>
        <v>0</v>
      </c>
      <c r="G28" s="477">
        <f t="shared" si="7"/>
        <v>915.18550569336446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915.18550569336446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373.15599761956997</v>
      </c>
      <c r="C32" s="477">
        <f t="shared" ca="1" si="3"/>
        <v>0</v>
      </c>
      <c r="D32" s="477">
        <f t="shared" si="4"/>
        <v>1416.9945898444003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1790.1505874639702</v>
      </c>
    </row>
    <row r="33" spans="1:17" s="486" customFormat="1">
      <c r="A33" s="1038" t="s">
        <v>558</v>
      </c>
      <c r="B33" s="978">
        <f ca="1">SUM(B22:B32)</f>
        <v>47769.00387605877</v>
      </c>
      <c r="C33" s="978">
        <f t="shared" ref="C33:Q33" ca="1" si="18">SUM(C22:C32)</f>
        <v>0</v>
      </c>
      <c r="D33" s="978">
        <f t="shared" ca="1" si="18"/>
        <v>54330.761737421453</v>
      </c>
      <c r="E33" s="978">
        <f t="shared" si="18"/>
        <v>3407.4897147516681</v>
      </c>
      <c r="F33" s="978">
        <f t="shared" ca="1" si="18"/>
        <v>27445.336286285572</v>
      </c>
      <c r="G33" s="978">
        <f t="shared" si="18"/>
        <v>48609.446874329071</v>
      </c>
      <c r="H33" s="978">
        <f t="shared" si="18"/>
        <v>8463.6755113404888</v>
      </c>
      <c r="I33" s="978">
        <f t="shared" si="18"/>
        <v>0</v>
      </c>
      <c r="J33" s="978">
        <f t="shared" si="18"/>
        <v>730.44104113766366</v>
      </c>
      <c r="K33" s="978">
        <f t="shared" si="18"/>
        <v>0</v>
      </c>
      <c r="L33" s="978">
        <f t="shared" ca="1" si="18"/>
        <v>0</v>
      </c>
      <c r="M33" s="978">
        <f t="shared" si="18"/>
        <v>0</v>
      </c>
      <c r="N33" s="978">
        <f t="shared" ca="1" si="18"/>
        <v>0</v>
      </c>
      <c r="O33" s="978">
        <f t="shared" si="18"/>
        <v>0</v>
      </c>
      <c r="P33" s="978">
        <f t="shared" si="18"/>
        <v>0</v>
      </c>
      <c r="Q33" s="978">
        <f t="shared" ca="1" si="18"/>
        <v>190756.15504132473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10290.080391798856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10290.080391798856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0.21095710298742584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0.21095710298742584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0.21095710298742584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0.21095710298742584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14979</v>
      </c>
      <c r="C9" s="342">
        <v>15731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4700.3</v>
      </c>
    </row>
    <row r="15" spans="1:6">
      <c r="A15" s="348" t="s">
        <v>184</v>
      </c>
      <c r="B15" s="334">
        <v>26</v>
      </c>
    </row>
    <row r="16" spans="1:6">
      <c r="A16" s="348" t="s">
        <v>6</v>
      </c>
      <c r="B16" s="334">
        <v>898</v>
      </c>
    </row>
    <row r="17" spans="1:6">
      <c r="A17" s="348" t="s">
        <v>7</v>
      </c>
      <c r="B17" s="334">
        <v>903</v>
      </c>
    </row>
    <row r="18" spans="1:6">
      <c r="A18" s="348" t="s">
        <v>8</v>
      </c>
      <c r="B18" s="334">
        <v>1293</v>
      </c>
    </row>
    <row r="19" spans="1:6">
      <c r="A19" s="348" t="s">
        <v>9</v>
      </c>
      <c r="B19" s="334">
        <v>1030</v>
      </c>
    </row>
    <row r="20" spans="1:6">
      <c r="A20" s="348" t="s">
        <v>10</v>
      </c>
      <c r="B20" s="334">
        <v>729</v>
      </c>
    </row>
    <row r="21" spans="1:6">
      <c r="A21" s="348" t="s">
        <v>11</v>
      </c>
      <c r="B21" s="334">
        <v>1344</v>
      </c>
    </row>
    <row r="22" spans="1:6">
      <c r="A22" s="348" t="s">
        <v>12</v>
      </c>
      <c r="B22" s="334">
        <v>8258</v>
      </c>
    </row>
    <row r="23" spans="1:6">
      <c r="A23" s="348" t="s">
        <v>13</v>
      </c>
      <c r="B23" s="334">
        <v>20</v>
      </c>
    </row>
    <row r="24" spans="1:6">
      <c r="A24" s="348" t="s">
        <v>14</v>
      </c>
      <c r="B24" s="334">
        <v>10</v>
      </c>
    </row>
    <row r="25" spans="1:6">
      <c r="A25" s="348" t="s">
        <v>15</v>
      </c>
      <c r="B25" s="334">
        <v>220</v>
      </c>
    </row>
    <row r="26" spans="1:6">
      <c r="A26" s="348" t="s">
        <v>16</v>
      </c>
      <c r="B26" s="334">
        <v>182</v>
      </c>
    </row>
    <row r="27" spans="1:6">
      <c r="A27" s="348" t="s">
        <v>17</v>
      </c>
      <c r="B27" s="334">
        <v>4</v>
      </c>
    </row>
    <row r="28" spans="1:6" s="356" customFormat="1">
      <c r="A28" s="355" t="s">
        <v>18</v>
      </c>
      <c r="B28" s="355">
        <v>23130</v>
      </c>
    </row>
    <row r="29" spans="1:6">
      <c r="A29" s="355" t="s">
        <v>884</v>
      </c>
      <c r="B29" s="355">
        <v>193</v>
      </c>
      <c r="C29" s="356"/>
      <c r="D29" s="356"/>
      <c r="E29" s="356"/>
      <c r="F29" s="356"/>
    </row>
    <row r="30" spans="1:6">
      <c r="A30" s="355" t="s">
        <v>885</v>
      </c>
      <c r="B30" s="341">
        <v>21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14</v>
      </c>
      <c r="F36" s="334">
        <v>55839.116369000003</v>
      </c>
    </row>
    <row r="37" spans="1:6">
      <c r="A37" s="348" t="s">
        <v>25</v>
      </c>
      <c r="B37" s="348" t="s">
        <v>28</v>
      </c>
      <c r="C37" s="334">
        <v>0</v>
      </c>
      <c r="D37" s="334">
        <v>0</v>
      </c>
      <c r="E37" s="334">
        <v>0</v>
      </c>
      <c r="F37" s="334">
        <v>0</v>
      </c>
    </row>
    <row r="38" spans="1:6">
      <c r="A38" s="348" t="s">
        <v>25</v>
      </c>
      <c r="B38" s="348" t="s">
        <v>29</v>
      </c>
      <c r="C38" s="334">
        <v>1</v>
      </c>
      <c r="D38" s="334">
        <v>179947.09589</v>
      </c>
      <c r="E38" s="334">
        <v>4</v>
      </c>
      <c r="F38" s="334">
        <v>22591.681842000002</v>
      </c>
    </row>
    <row r="39" spans="1:6">
      <c r="A39" s="348" t="s">
        <v>30</v>
      </c>
      <c r="B39" s="348" t="s">
        <v>31</v>
      </c>
      <c r="C39" s="334">
        <v>10879</v>
      </c>
      <c r="D39" s="334">
        <v>169674128.59999999</v>
      </c>
      <c r="E39" s="334">
        <v>15003</v>
      </c>
      <c r="F39" s="334">
        <v>49038808.829000004</v>
      </c>
    </row>
    <row r="40" spans="1:6">
      <c r="A40" s="348" t="s">
        <v>30</v>
      </c>
      <c r="B40" s="348" t="s">
        <v>29</v>
      </c>
      <c r="C40" s="334">
        <v>0</v>
      </c>
      <c r="D40" s="334">
        <v>0</v>
      </c>
      <c r="E40" s="334">
        <v>0</v>
      </c>
      <c r="F40" s="334">
        <v>0</v>
      </c>
    </row>
    <row r="41" spans="1:6">
      <c r="A41" s="348" t="s">
        <v>32</v>
      </c>
      <c r="B41" s="348" t="s">
        <v>33</v>
      </c>
      <c r="C41" s="334">
        <v>99</v>
      </c>
      <c r="D41" s="334">
        <v>1853494.5848000001</v>
      </c>
      <c r="E41" s="334">
        <v>227</v>
      </c>
      <c r="F41" s="334">
        <v>12496079.828</v>
      </c>
    </row>
    <row r="42" spans="1:6">
      <c r="A42" s="348" t="s">
        <v>32</v>
      </c>
      <c r="B42" s="348" t="s">
        <v>34</v>
      </c>
      <c r="C42" s="334">
        <v>3</v>
      </c>
      <c r="D42" s="334">
        <v>100756.23361</v>
      </c>
      <c r="E42" s="334">
        <v>0</v>
      </c>
      <c r="F42" s="334">
        <v>0</v>
      </c>
    </row>
    <row r="43" spans="1:6">
      <c r="A43" s="348" t="s">
        <v>32</v>
      </c>
      <c r="B43" s="348" t="s">
        <v>35</v>
      </c>
      <c r="C43" s="334">
        <v>0</v>
      </c>
      <c r="D43" s="334">
        <v>0</v>
      </c>
      <c r="E43" s="334">
        <v>0</v>
      </c>
      <c r="F43" s="334">
        <v>0</v>
      </c>
    </row>
    <row r="44" spans="1:6">
      <c r="A44" s="348" t="s">
        <v>32</v>
      </c>
      <c r="B44" s="348" t="s">
        <v>36</v>
      </c>
      <c r="C44" s="334">
        <v>12</v>
      </c>
      <c r="D44" s="334">
        <v>239648.91609000001</v>
      </c>
      <c r="E44" s="334">
        <v>29</v>
      </c>
      <c r="F44" s="334">
        <v>594163.25392000005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10610.573249999999</v>
      </c>
    </row>
    <row r="48" spans="1:6">
      <c r="A48" s="348" t="s">
        <v>32</v>
      </c>
      <c r="B48" s="348" t="s">
        <v>29</v>
      </c>
      <c r="C48" s="334">
        <v>37</v>
      </c>
      <c r="D48" s="334">
        <v>24691907.495000001</v>
      </c>
      <c r="E48" s="334">
        <v>38</v>
      </c>
      <c r="F48" s="334">
        <v>83660645.680999994</v>
      </c>
    </row>
    <row r="49" spans="1:6">
      <c r="A49" s="348" t="s">
        <v>32</v>
      </c>
      <c r="B49" s="348" t="s">
        <v>40</v>
      </c>
      <c r="C49" s="334">
        <v>0</v>
      </c>
      <c r="D49" s="334">
        <v>0</v>
      </c>
      <c r="E49" s="334">
        <v>0</v>
      </c>
      <c r="F49" s="334">
        <v>0</v>
      </c>
    </row>
    <row r="50" spans="1:6">
      <c r="A50" s="348" t="s">
        <v>32</v>
      </c>
      <c r="B50" s="348" t="s">
        <v>41</v>
      </c>
      <c r="C50" s="334">
        <v>15</v>
      </c>
      <c r="D50" s="334">
        <v>502314.63244000002</v>
      </c>
      <c r="E50" s="334">
        <v>19</v>
      </c>
      <c r="F50" s="334">
        <v>10695592.335999999</v>
      </c>
    </row>
    <row r="51" spans="1:6">
      <c r="A51" s="348" t="s">
        <v>42</v>
      </c>
      <c r="B51" s="348" t="s">
        <v>43</v>
      </c>
      <c r="C51" s="334">
        <v>30</v>
      </c>
      <c r="D51" s="334">
        <v>668142.72664000001</v>
      </c>
      <c r="E51" s="334">
        <v>119</v>
      </c>
      <c r="F51" s="334">
        <v>2150955.608</v>
      </c>
    </row>
    <row r="52" spans="1:6">
      <c r="A52" s="348" t="s">
        <v>42</v>
      </c>
      <c r="B52" s="348" t="s">
        <v>29</v>
      </c>
      <c r="C52" s="334">
        <v>6</v>
      </c>
      <c r="D52" s="334">
        <v>133041.85727000001</v>
      </c>
      <c r="E52" s="334">
        <v>7</v>
      </c>
      <c r="F52" s="334">
        <v>90546.402411999996</v>
      </c>
    </row>
    <row r="53" spans="1:6">
      <c r="A53" s="348" t="s">
        <v>44</v>
      </c>
      <c r="B53" s="348" t="s">
        <v>45</v>
      </c>
      <c r="C53" s="334">
        <v>331</v>
      </c>
      <c r="D53" s="334">
        <v>7014824.7022000002</v>
      </c>
      <c r="E53" s="334">
        <v>599</v>
      </c>
      <c r="F53" s="334">
        <v>1768871.4546000001</v>
      </c>
    </row>
    <row r="54" spans="1:6">
      <c r="A54" s="348" t="s">
        <v>46</v>
      </c>
      <c r="B54" s="348" t="s">
        <v>47</v>
      </c>
      <c r="C54" s="334">
        <v>0</v>
      </c>
      <c r="D54" s="334">
        <v>0</v>
      </c>
      <c r="E54" s="334">
        <v>1</v>
      </c>
      <c r="F54" s="334">
        <v>2351426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88</v>
      </c>
      <c r="D57" s="334">
        <v>3289824.8616999998</v>
      </c>
      <c r="E57" s="334">
        <v>139</v>
      </c>
      <c r="F57" s="334">
        <v>3819901.3731</v>
      </c>
    </row>
    <row r="58" spans="1:6">
      <c r="A58" s="348" t="s">
        <v>49</v>
      </c>
      <c r="B58" s="348" t="s">
        <v>51</v>
      </c>
      <c r="C58" s="334">
        <v>91</v>
      </c>
      <c r="D58" s="334">
        <v>16124675.112</v>
      </c>
      <c r="E58" s="334">
        <v>107</v>
      </c>
      <c r="F58" s="334">
        <v>7873701.5767000001</v>
      </c>
    </row>
    <row r="59" spans="1:6">
      <c r="A59" s="348" t="s">
        <v>49</v>
      </c>
      <c r="B59" s="348" t="s">
        <v>52</v>
      </c>
      <c r="C59" s="334">
        <v>307</v>
      </c>
      <c r="D59" s="334">
        <v>15178811.231000001</v>
      </c>
      <c r="E59" s="334">
        <v>488</v>
      </c>
      <c r="F59" s="334">
        <v>16346310.611</v>
      </c>
    </row>
    <row r="60" spans="1:6">
      <c r="A60" s="348" t="s">
        <v>49</v>
      </c>
      <c r="B60" s="348" t="s">
        <v>53</v>
      </c>
      <c r="C60" s="334">
        <v>160</v>
      </c>
      <c r="D60" s="334">
        <v>11247311.363</v>
      </c>
      <c r="E60" s="334">
        <v>175</v>
      </c>
      <c r="F60" s="334">
        <v>5217632.4762000004</v>
      </c>
    </row>
    <row r="61" spans="1:6">
      <c r="A61" s="348" t="s">
        <v>49</v>
      </c>
      <c r="B61" s="348" t="s">
        <v>54</v>
      </c>
      <c r="C61" s="334">
        <v>351</v>
      </c>
      <c r="D61" s="334">
        <v>36666425.204999998</v>
      </c>
      <c r="E61" s="334">
        <v>730</v>
      </c>
      <c r="F61" s="334">
        <v>21306229.73</v>
      </c>
    </row>
    <row r="62" spans="1:6">
      <c r="A62" s="348" t="s">
        <v>49</v>
      </c>
      <c r="B62" s="348" t="s">
        <v>55</v>
      </c>
      <c r="C62" s="334">
        <v>17</v>
      </c>
      <c r="D62" s="334">
        <v>2860713.2478</v>
      </c>
      <c r="E62" s="334">
        <v>20</v>
      </c>
      <c r="F62" s="334">
        <v>843108.91000999999</v>
      </c>
    </row>
    <row r="63" spans="1:6">
      <c r="A63" s="348" t="s">
        <v>49</v>
      </c>
      <c r="B63" s="348" t="s">
        <v>29</v>
      </c>
      <c r="C63" s="334">
        <v>114</v>
      </c>
      <c r="D63" s="334">
        <v>7039059.2715999996</v>
      </c>
      <c r="E63" s="334">
        <v>100</v>
      </c>
      <c r="F63" s="334">
        <v>3523119.6979</v>
      </c>
    </row>
    <row r="64" spans="1:6">
      <c r="A64" s="348" t="s">
        <v>56</v>
      </c>
      <c r="B64" s="348" t="s">
        <v>57</v>
      </c>
      <c r="C64" s="334">
        <v>0</v>
      </c>
      <c r="D64" s="334">
        <v>0</v>
      </c>
      <c r="E64" s="334">
        <v>0</v>
      </c>
      <c r="F64" s="334">
        <v>0</v>
      </c>
    </row>
    <row r="65" spans="1:6">
      <c r="A65" s="348" t="s">
        <v>56</v>
      </c>
      <c r="B65" s="348" t="s">
        <v>29</v>
      </c>
      <c r="C65" s="334">
        <v>3</v>
      </c>
      <c r="D65" s="334">
        <v>201632.59151</v>
      </c>
      <c r="E65" s="334">
        <v>1</v>
      </c>
      <c r="F65" s="334">
        <v>4024.4126470000001</v>
      </c>
    </row>
    <row r="66" spans="1:6">
      <c r="A66" s="348" t="s">
        <v>56</v>
      </c>
      <c r="B66" s="348" t="s">
        <v>58</v>
      </c>
      <c r="C66" s="334">
        <v>0</v>
      </c>
      <c r="D66" s="334">
        <v>0</v>
      </c>
      <c r="E66" s="334">
        <v>29</v>
      </c>
      <c r="F66" s="334">
        <v>869432.80926999997</v>
      </c>
    </row>
    <row r="67" spans="1:6">
      <c r="A67" s="355" t="s">
        <v>56</v>
      </c>
      <c r="B67" s="355" t="s">
        <v>59</v>
      </c>
      <c r="C67" s="334">
        <v>0</v>
      </c>
      <c r="D67" s="334">
        <v>0</v>
      </c>
      <c r="E67" s="334">
        <v>0</v>
      </c>
      <c r="F67" s="334">
        <v>0</v>
      </c>
    </row>
    <row r="68" spans="1:6">
      <c r="A68" s="341" t="s">
        <v>56</v>
      </c>
      <c r="B68" s="341" t="s">
        <v>60</v>
      </c>
      <c r="C68" s="334">
        <v>4</v>
      </c>
      <c r="D68" s="334">
        <v>747743.33034999995</v>
      </c>
      <c r="E68" s="334">
        <v>15</v>
      </c>
      <c r="F68" s="334">
        <v>1164502.9543999999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133546986</v>
      </c>
      <c r="E73" s="475">
        <v>136484118.7702561</v>
      </c>
    </row>
    <row r="74" spans="1:6">
      <c r="A74" s="348" t="s">
        <v>64</v>
      </c>
      <c r="B74" s="348" t="s">
        <v>667</v>
      </c>
      <c r="C74" s="1294" t="s">
        <v>669</v>
      </c>
      <c r="D74" s="475">
        <v>15599747.649646111</v>
      </c>
      <c r="E74" s="475">
        <v>15905482.628741018</v>
      </c>
    </row>
    <row r="75" spans="1:6">
      <c r="A75" s="348" t="s">
        <v>65</v>
      </c>
      <c r="B75" s="348" t="s">
        <v>666</v>
      </c>
      <c r="C75" s="1294" t="s">
        <v>670</v>
      </c>
      <c r="D75" s="475">
        <v>46201715</v>
      </c>
      <c r="E75" s="475">
        <v>47088696.46340178</v>
      </c>
    </row>
    <row r="76" spans="1:6">
      <c r="A76" s="348" t="s">
        <v>65</v>
      </c>
      <c r="B76" s="348" t="s">
        <v>667</v>
      </c>
      <c r="C76" s="1294" t="s">
        <v>671</v>
      </c>
      <c r="D76" s="475">
        <v>1621801.6496461108</v>
      </c>
      <c r="E76" s="475">
        <v>1642846.0513347099</v>
      </c>
    </row>
    <row r="77" spans="1:6">
      <c r="A77" s="348" t="s">
        <v>66</v>
      </c>
      <c r="B77" s="348" t="s">
        <v>666</v>
      </c>
      <c r="C77" s="1294" t="s">
        <v>672</v>
      </c>
      <c r="D77" s="475">
        <v>51898529</v>
      </c>
      <c r="E77" s="475">
        <v>54873613.229386866</v>
      </c>
    </row>
    <row r="78" spans="1:6">
      <c r="A78" s="341" t="s">
        <v>66</v>
      </c>
      <c r="B78" s="341" t="s">
        <v>667</v>
      </c>
      <c r="C78" s="341" t="s">
        <v>673</v>
      </c>
      <c r="D78" s="1295">
        <v>6376150</v>
      </c>
      <c r="E78" s="1295">
        <v>6577948.2967136288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949178.70070777857</v>
      </c>
      <c r="C83" s="475">
        <v>949178.70070777857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4597.4317465381655</v>
      </c>
    </row>
    <row r="92" spans="1:6">
      <c r="A92" s="341" t="s">
        <v>69</v>
      </c>
      <c r="B92" s="342">
        <v>5692.6486452606914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7932</v>
      </c>
    </row>
    <row r="98" spans="1:6">
      <c r="A98" s="348" t="s">
        <v>72</v>
      </c>
      <c r="B98" s="334">
        <v>4</v>
      </c>
    </row>
    <row r="99" spans="1:6">
      <c r="A99" s="348" t="s">
        <v>73</v>
      </c>
      <c r="B99" s="334">
        <v>90</v>
      </c>
    </row>
    <row r="100" spans="1:6">
      <c r="A100" s="348" t="s">
        <v>74</v>
      </c>
      <c r="B100" s="334">
        <v>630</v>
      </c>
    </row>
    <row r="101" spans="1:6">
      <c r="A101" s="348" t="s">
        <v>75</v>
      </c>
      <c r="B101" s="334">
        <v>56</v>
      </c>
    </row>
    <row r="102" spans="1:6">
      <c r="A102" s="348" t="s">
        <v>76</v>
      </c>
      <c r="B102" s="334">
        <v>307</v>
      </c>
    </row>
    <row r="103" spans="1:6">
      <c r="A103" s="348" t="s">
        <v>77</v>
      </c>
      <c r="B103" s="334">
        <v>329</v>
      </c>
    </row>
    <row r="104" spans="1:6">
      <c r="A104" s="348" t="s">
        <v>78</v>
      </c>
      <c r="B104" s="334">
        <v>4635</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1</v>
      </c>
    </row>
    <row r="131" spans="1:6">
      <c r="A131" s="348" t="s">
        <v>296</v>
      </c>
      <c r="B131" s="334">
        <v>8</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226439.41919749466</v>
      </c>
      <c r="C3" s="43" t="s">
        <v>170</v>
      </c>
      <c r="D3" s="43"/>
      <c r="E3" s="154"/>
      <c r="F3" s="43"/>
      <c r="G3" s="43"/>
      <c r="H3" s="43"/>
      <c r="I3" s="43"/>
      <c r="J3" s="43"/>
      <c r="K3" s="96"/>
    </row>
    <row r="4" spans="1:11">
      <c r="A4" s="383" t="s">
        <v>171</v>
      </c>
      <c r="B4" s="49">
        <f>IF(ISERROR('SEAP template'!B78+'SEAP template'!C78),0,'SEAP template'!B78+'SEAP template'!C78)</f>
        <v>10290.080391798856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0.21095710298742584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2351.4259999999999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2351.4259999999999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0.21095710298742584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496.05001684931079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49038.808829000001</v>
      </c>
      <c r="C5" s="17">
        <f>IF(ISERROR('Eigen informatie GS &amp; warmtenet'!B57),0,'Eigen informatie GS &amp; warmtenet'!B57)</f>
        <v>0</v>
      </c>
      <c r="D5" s="30">
        <f>(SUM(HH_hh_gas_kWh,HH_rest_gas_kWh)/1000)*0.902</f>
        <v>153046.06399719999</v>
      </c>
      <c r="E5" s="17">
        <f>B46*B57</f>
        <v>5385.4473290750966</v>
      </c>
      <c r="F5" s="17">
        <f>B51*B62</f>
        <v>48263.189009890259</v>
      </c>
      <c r="G5" s="18"/>
      <c r="H5" s="17"/>
      <c r="I5" s="17"/>
      <c r="J5" s="17">
        <f>B50*B61+C50*C61</f>
        <v>1061.7420981476307</v>
      </c>
      <c r="K5" s="17"/>
      <c r="L5" s="17"/>
      <c r="M5" s="17"/>
      <c r="N5" s="17">
        <f>B48*B59+C48*C59</f>
        <v>9516.9048430333987</v>
      </c>
      <c r="O5" s="17">
        <f>B69*B70*B71</f>
        <v>247.00666666666669</v>
      </c>
      <c r="P5" s="17">
        <f>B77*B78*B79/1000-B77*B78*B79/1000/B80</f>
        <v>572</v>
      </c>
    </row>
    <row r="6" spans="1:16">
      <c r="A6" s="16" t="s">
        <v>624</v>
      </c>
      <c r="B6" s="788">
        <f>kWh_PV_kleiner_dan_10kW</f>
        <v>4597.4317465381655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53636.24057553817</v>
      </c>
      <c r="C8" s="21">
        <f>C5</f>
        <v>0</v>
      </c>
      <c r="D8" s="21">
        <f>D5</f>
        <v>153046.06399719999</v>
      </c>
      <c r="E8" s="21">
        <f>E5</f>
        <v>5385.4473290750966</v>
      </c>
      <c r="F8" s="21">
        <f>F5</f>
        <v>48263.189009890259</v>
      </c>
      <c r="G8" s="21"/>
      <c r="H8" s="21"/>
      <c r="I8" s="21"/>
      <c r="J8" s="21">
        <f>J5</f>
        <v>1061.7420981476307</v>
      </c>
      <c r="K8" s="21"/>
      <c r="L8" s="21">
        <f>L5</f>
        <v>0</v>
      </c>
      <c r="M8" s="21">
        <f>M5</f>
        <v>0</v>
      </c>
      <c r="N8" s="21">
        <f>N5</f>
        <v>9516.9048430333987</v>
      </c>
      <c r="O8" s="21">
        <f>O5</f>
        <v>247.00666666666669</v>
      </c>
      <c r="P8" s="21">
        <f>P5</f>
        <v>572</v>
      </c>
    </row>
    <row r="9" spans="1:16">
      <c r="B9" s="19"/>
      <c r="C9" s="19"/>
      <c r="D9" s="258"/>
      <c r="E9" s="19"/>
      <c r="F9" s="19"/>
      <c r="G9" s="19"/>
      <c r="H9" s="19"/>
      <c r="I9" s="19"/>
      <c r="J9" s="19"/>
      <c r="K9" s="19"/>
      <c r="L9" s="19"/>
      <c r="M9" s="19"/>
      <c r="N9" s="19"/>
      <c r="O9" s="19"/>
      <c r="P9" s="19"/>
    </row>
    <row r="10" spans="1:16">
      <c r="A10" s="24" t="s">
        <v>214</v>
      </c>
      <c r="B10" s="25">
        <f ca="1">'EF ele_warmte'!B12</f>
        <v>0.21095710298742584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11314.945926952154</v>
      </c>
      <c r="C12" s="23">
        <f ca="1">C10*C8</f>
        <v>0</v>
      </c>
      <c r="D12" s="23">
        <f>D8*D10</f>
        <v>30915.304927434401</v>
      </c>
      <c r="E12" s="23">
        <f>E10*E8</f>
        <v>1222.4965437000469</v>
      </c>
      <c r="F12" s="23">
        <f>F10*F8</f>
        <v>12886.271465640701</v>
      </c>
      <c r="G12" s="23"/>
      <c r="H12" s="23"/>
      <c r="I12" s="23"/>
      <c r="J12" s="23">
        <f>J10*J8</f>
        <v>375.85670274426127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7932</v>
      </c>
      <c r="C18" s="166" t="s">
        <v>111</v>
      </c>
      <c r="D18" s="228"/>
      <c r="E18" s="15"/>
    </row>
    <row r="19" spans="1:7">
      <c r="A19" s="171" t="s">
        <v>72</v>
      </c>
      <c r="B19" s="37">
        <f>aantalw2001_ander</f>
        <v>4</v>
      </c>
      <c r="C19" s="166" t="s">
        <v>111</v>
      </c>
      <c r="D19" s="229"/>
      <c r="E19" s="15"/>
    </row>
    <row r="20" spans="1:7">
      <c r="A20" s="171" t="s">
        <v>73</v>
      </c>
      <c r="B20" s="37">
        <f>aantalw2001_propaan</f>
        <v>90</v>
      </c>
      <c r="C20" s="167">
        <f>IF(ISERROR(B20/SUM($B$20,$B$21,$B$22)*100),0,B20/SUM($B$20,$B$21,$B$22)*100)</f>
        <v>11.597938144329897</v>
      </c>
      <c r="D20" s="229"/>
      <c r="E20" s="15"/>
    </row>
    <row r="21" spans="1:7">
      <c r="A21" s="171" t="s">
        <v>74</v>
      </c>
      <c r="B21" s="37">
        <f>aantalw2001_elektriciteit</f>
        <v>630</v>
      </c>
      <c r="C21" s="167">
        <f>IF(ISERROR(B21/SUM($B$20,$B$21,$B$22)*100),0,B21/SUM($B$20,$B$21,$B$22)*100)</f>
        <v>81.185567010309285</v>
      </c>
      <c r="D21" s="229"/>
      <c r="E21" s="15"/>
    </row>
    <row r="22" spans="1:7">
      <c r="A22" s="171" t="s">
        <v>75</v>
      </c>
      <c r="B22" s="37">
        <f>aantalw2001_hout</f>
        <v>56</v>
      </c>
      <c r="C22" s="167">
        <f>IF(ISERROR(B22/SUM($B$20,$B$21,$B$22)*100),0,B22/SUM($B$20,$B$21,$B$22)*100)</f>
        <v>7.216494845360824</v>
      </c>
      <c r="D22" s="229"/>
      <c r="E22" s="15"/>
    </row>
    <row r="23" spans="1:7">
      <c r="A23" s="171" t="s">
        <v>76</v>
      </c>
      <c r="B23" s="37">
        <f>aantalw2001_niet_gespec</f>
        <v>307</v>
      </c>
      <c r="C23" s="166" t="s">
        <v>111</v>
      </c>
      <c r="D23" s="228"/>
      <c r="E23" s="15"/>
    </row>
    <row r="24" spans="1:7">
      <c r="A24" s="171" t="s">
        <v>77</v>
      </c>
      <c r="B24" s="37">
        <f>aantalw2001_steenkool</f>
        <v>329</v>
      </c>
      <c r="C24" s="166" t="s">
        <v>111</v>
      </c>
      <c r="D24" s="229"/>
      <c r="E24" s="15"/>
    </row>
    <row r="25" spans="1:7">
      <c r="A25" s="171" t="s">
        <v>78</v>
      </c>
      <c r="B25" s="37">
        <f>aantalw2001_stookolie</f>
        <v>4635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14979</v>
      </c>
      <c r="C28" s="36"/>
      <c r="D28" s="228"/>
    </row>
    <row r="29" spans="1:7" s="15" customFormat="1">
      <c r="A29" s="230" t="s">
        <v>699</v>
      </c>
      <c r="B29" s="37">
        <f>SUM(HH_hh_gas_aantal,HH_rest_gas_aantal)</f>
        <v>10879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10879</v>
      </c>
      <c r="C32" s="167">
        <f>IF(ISERROR(B32/SUM($B$32,$B$34,$B$35,$B$36,$B$38,$B$39)*100),0,B32/SUM($B$32,$B$34,$B$35,$B$36,$B$38,$B$39)*100)</f>
        <v>72.774098601913167</v>
      </c>
      <c r="D32" s="233"/>
      <c r="G32" s="15"/>
    </row>
    <row r="33" spans="1:7">
      <c r="A33" s="171" t="s">
        <v>72</v>
      </c>
      <c r="B33" s="34" t="s">
        <v>111</v>
      </c>
      <c r="C33" s="167"/>
      <c r="D33" s="233"/>
      <c r="G33" s="15"/>
    </row>
    <row r="34" spans="1:7">
      <c r="A34" s="171" t="s">
        <v>73</v>
      </c>
      <c r="B34" s="33">
        <f>IF((($B$28-$B$32-$B$39-$B$77-$B$38)*C20/100)&lt;0,0,($B$28-$B$32-$B$39-$B$77-$B$38)*C20/100)</f>
        <v>238.10567010309279</v>
      </c>
      <c r="C34" s="167">
        <f>IF(ISERROR(B34/SUM($B$32,$B$34,$B$35,$B$36,$B$38,$B$39)*100),0,B34/SUM($B$32,$B$34,$B$35,$B$36,$B$38,$B$39)*100)</f>
        <v>1.5927866084894831</v>
      </c>
      <c r="D34" s="233"/>
      <c r="G34" s="15"/>
    </row>
    <row r="35" spans="1:7">
      <c r="A35" s="171" t="s">
        <v>74</v>
      </c>
      <c r="B35" s="33">
        <f>IF((($B$28-$B$32-$B$39-$B$77-$B$38)*C21/100)&lt;0,0,($B$28-$B$32-$B$39-$B$77-$B$38)*C21/100)</f>
        <v>1666.7396907216496</v>
      </c>
      <c r="C35" s="167">
        <f>IF(ISERROR(B35/SUM($B$32,$B$34,$B$35,$B$36,$B$38,$B$39)*100),0,B35/SUM($B$32,$B$34,$B$35,$B$36,$B$38,$B$39)*100)</f>
        <v>11.14950625942638</v>
      </c>
      <c r="D35" s="233"/>
      <c r="G35" s="15"/>
    </row>
    <row r="36" spans="1:7">
      <c r="A36" s="171" t="s">
        <v>75</v>
      </c>
      <c r="B36" s="33">
        <f>IF((($B$28-$B$32-$B$39-$B$77-$B$38)*C22/100)&lt;0,0,($B$28-$B$32-$B$39-$B$77-$B$38)*C22/100)</f>
        <v>148.1546391752577</v>
      </c>
      <c r="C36" s="167">
        <f>IF(ISERROR(B36/SUM($B$32,$B$34,$B$35,$B$36,$B$38,$B$39)*100),0,B36/SUM($B$32,$B$34,$B$35,$B$36,$B$38,$B$39)*100)</f>
        <v>0.9910672230601224</v>
      </c>
      <c r="D36" s="233"/>
      <c r="G36" s="15"/>
    </row>
    <row r="37" spans="1:7">
      <c r="A37" s="171" t="s">
        <v>76</v>
      </c>
      <c r="B37" s="34" t="s">
        <v>111</v>
      </c>
      <c r="C37" s="167"/>
      <c r="D37" s="173"/>
      <c r="G37" s="15"/>
    </row>
    <row r="38" spans="1:7">
      <c r="A38" s="171" t="s">
        <v>77</v>
      </c>
      <c r="B38" s="33">
        <f>IF((B24-(B29-B18)*0.1)&lt;0,0,B24-(B29-B18)*0.1)</f>
        <v>34.300000000000011</v>
      </c>
      <c r="C38" s="167">
        <f>IF(ISERROR(B38/SUM($B$32,$B$34,$B$35,$B$36,$B$38,$B$39)*100),0,B38/SUM($B$32,$B$34,$B$35,$B$36,$B$38,$B$39)*100)</f>
        <v>0.22944678573817656</v>
      </c>
      <c r="D38" s="234"/>
      <c r="G38" s="15"/>
    </row>
    <row r="39" spans="1:7">
      <c r="A39" s="171" t="s">
        <v>78</v>
      </c>
      <c r="B39" s="33">
        <f>IF((B25-(B29-B18))&lt;0,0,B25-(B29-B18)*0.9)</f>
        <v>1982.6999999999998</v>
      </c>
      <c r="C39" s="167">
        <f>IF(ISERROR(B39/SUM($B$32,$B$34,$B$35,$B$36,$B$38,$B$39)*100),0,B39/SUM($B$32,$B$34,$B$35,$B$36,$B$38,$B$39)*100)</f>
        <v>13.263094521372665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10879</v>
      </c>
      <c r="C44" s="34" t="s">
        <v>111</v>
      </c>
      <c r="D44" s="174"/>
    </row>
    <row r="45" spans="1:7">
      <c r="A45" s="171" t="s">
        <v>72</v>
      </c>
      <c r="B45" s="33" t="str">
        <f t="shared" si="0"/>
        <v>-</v>
      </c>
      <c r="C45" s="34" t="s">
        <v>111</v>
      </c>
      <c r="D45" s="174"/>
    </row>
    <row r="46" spans="1:7">
      <c r="A46" s="171" t="s">
        <v>73</v>
      </c>
      <c r="B46" s="33">
        <f t="shared" si="0"/>
        <v>238.10567010309279</v>
      </c>
      <c r="C46" s="34" t="s">
        <v>111</v>
      </c>
      <c r="D46" s="174"/>
    </row>
    <row r="47" spans="1:7">
      <c r="A47" s="171" t="s">
        <v>74</v>
      </c>
      <c r="B47" s="33">
        <f t="shared" si="0"/>
        <v>1666.7396907216496</v>
      </c>
      <c r="C47" s="34" t="s">
        <v>111</v>
      </c>
      <c r="D47" s="174"/>
    </row>
    <row r="48" spans="1:7">
      <c r="A48" s="171" t="s">
        <v>75</v>
      </c>
      <c r="B48" s="33">
        <f t="shared" si="0"/>
        <v>148.1546391752577</v>
      </c>
      <c r="C48" s="33">
        <f>B48*10</f>
        <v>1481.5463917525769</v>
      </c>
      <c r="D48" s="234"/>
    </row>
    <row r="49" spans="1:6">
      <c r="A49" s="171" t="s">
        <v>76</v>
      </c>
      <c r="B49" s="33" t="str">
        <f t="shared" si="0"/>
        <v>-</v>
      </c>
      <c r="C49" s="34" t="s">
        <v>111</v>
      </c>
      <c r="D49" s="234"/>
    </row>
    <row r="50" spans="1:6">
      <c r="A50" s="171" t="s">
        <v>77</v>
      </c>
      <c r="B50" s="33">
        <f t="shared" si="0"/>
        <v>34.300000000000011</v>
      </c>
      <c r="C50" s="33">
        <f>B50*2</f>
        <v>68.600000000000023</v>
      </c>
      <c r="D50" s="234"/>
    </row>
    <row r="51" spans="1:6">
      <c r="A51" s="171" t="s">
        <v>78</v>
      </c>
      <c r="B51" s="33">
        <f t="shared" si="0"/>
        <v>1982.6999999999998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58930.00437491</v>
      </c>
      <c r="C5" s="17">
        <f>IF(ISERROR('Eigen informatie GS &amp; warmtenet'!B58),0,'Eigen informatie GS &amp; warmtenet'!B58)</f>
        <v>0</v>
      </c>
      <c r="D5" s="30">
        <f>SUM(D6:D12)</f>
        <v>83350.951903474197</v>
      </c>
      <c r="E5" s="17">
        <f>SUM(E6:E12)</f>
        <v>1037.7781599035125</v>
      </c>
      <c r="F5" s="17">
        <f>SUM(F6:F12)</f>
        <v>14662.907509598215</v>
      </c>
      <c r="G5" s="18"/>
      <c r="H5" s="17"/>
      <c r="I5" s="17"/>
      <c r="J5" s="17">
        <f>SUM(J6:J12)</f>
        <v>0</v>
      </c>
      <c r="K5" s="17"/>
      <c r="L5" s="17"/>
      <c r="M5" s="17"/>
      <c r="N5" s="17">
        <f>SUM(N6:N12)</f>
        <v>3457.3112343925095</v>
      </c>
      <c r="O5" s="17">
        <f>B38*B39*B40</f>
        <v>1.5633333333333335</v>
      </c>
      <c r="P5" s="17">
        <f>B46*B47*B48/1000-B46*B47*B48/1000/B49</f>
        <v>152.53333333333333</v>
      </c>
      <c r="R5" s="32"/>
    </row>
    <row r="6" spans="1:18">
      <c r="A6" s="32" t="s">
        <v>54</v>
      </c>
      <c r="B6" s="37">
        <f>B26</f>
        <v>21306.229729999999</v>
      </c>
      <c r="C6" s="33"/>
      <c r="D6" s="37">
        <f>IF(ISERROR(TER_kantoor_gas_kWh/1000),0,TER_kantoor_gas_kWh/1000)*0.902</f>
        <v>33073.115534910001</v>
      </c>
      <c r="E6" s="33">
        <f>$C$26*'E Balans VL '!I12/100/3.6*1000000</f>
        <v>278.92479263502872</v>
      </c>
      <c r="F6" s="33">
        <f>$C$26*('E Balans VL '!L12+'E Balans VL '!N12)/100/3.6*1000000</f>
        <v>5432.8684107964127</v>
      </c>
      <c r="G6" s="34"/>
      <c r="H6" s="33"/>
      <c r="I6" s="33"/>
      <c r="J6" s="33">
        <f>$C$26*('E Balans VL '!D12+'E Balans VL '!E12)/100/3.6*1000000</f>
        <v>0</v>
      </c>
      <c r="K6" s="33"/>
      <c r="L6" s="33"/>
      <c r="M6" s="33"/>
      <c r="N6" s="33">
        <f>$C$26*'E Balans VL '!Y12/100/3.6*1000000</f>
        <v>21.377977317394262</v>
      </c>
      <c r="O6" s="33"/>
      <c r="P6" s="33"/>
      <c r="R6" s="32"/>
    </row>
    <row r="7" spans="1:18">
      <c r="A7" s="32" t="s">
        <v>53</v>
      </c>
      <c r="B7" s="37">
        <f t="shared" ref="B7:B12" si="0">B27</f>
        <v>5217.6324762000004</v>
      </c>
      <c r="C7" s="33"/>
      <c r="D7" s="37">
        <f>IF(ISERROR(TER_horeca_gas_kWh/1000),0,TER_horeca_gas_kWh/1000)*0.902</f>
        <v>10145.074849426001</v>
      </c>
      <c r="E7" s="33">
        <f>$C$27*'E Balans VL '!I9/100/3.6*1000000</f>
        <v>172.67189716854142</v>
      </c>
      <c r="F7" s="33">
        <f>$C$27*('E Balans VL '!L9+'E Balans VL '!N9)/100/3.6*1000000</f>
        <v>2243.5619683762238</v>
      </c>
      <c r="G7" s="34"/>
      <c r="H7" s="33"/>
      <c r="I7" s="33"/>
      <c r="J7" s="33">
        <f>$C$27*('E Balans VL '!D9+'E Balans VL '!E9)/100/3.6*1000000</f>
        <v>0</v>
      </c>
      <c r="K7" s="33"/>
      <c r="L7" s="33"/>
      <c r="M7" s="33"/>
      <c r="N7" s="33">
        <f>$C$27*'E Balans VL '!Y9/100/3.6*1000000</f>
        <v>1.2559599053597787</v>
      </c>
      <c r="O7" s="33"/>
      <c r="P7" s="33"/>
      <c r="R7" s="32"/>
    </row>
    <row r="8" spans="1:18">
      <c r="A8" s="6" t="s">
        <v>52</v>
      </c>
      <c r="B8" s="37">
        <f t="shared" si="0"/>
        <v>16346.310610999999</v>
      </c>
      <c r="C8" s="33"/>
      <c r="D8" s="37">
        <f>IF(ISERROR(TER_handel_gas_kWh/1000),0,TER_handel_gas_kWh/1000)*0.902</f>
        <v>13691.287730362003</v>
      </c>
      <c r="E8" s="33">
        <f>$C$28*'E Balans VL '!I13/100/3.6*1000000</f>
        <v>515.91453930231091</v>
      </c>
      <c r="F8" s="33">
        <f>$C$28*('E Balans VL '!L13+'E Balans VL '!N13)/100/3.6*1000000</f>
        <v>3205.7993514762275</v>
      </c>
      <c r="G8" s="34"/>
      <c r="H8" s="33"/>
      <c r="I8" s="33"/>
      <c r="J8" s="33">
        <f>$C$28*('E Balans VL '!D13+'E Balans VL '!E13)/100/3.6*1000000</f>
        <v>0</v>
      </c>
      <c r="K8" s="33"/>
      <c r="L8" s="33"/>
      <c r="M8" s="33"/>
      <c r="N8" s="33">
        <f>$C$28*'E Balans VL '!Y13/100/3.6*1000000</f>
        <v>19.399897098012431</v>
      </c>
      <c r="O8" s="33"/>
      <c r="P8" s="33"/>
      <c r="R8" s="32"/>
    </row>
    <row r="9" spans="1:18">
      <c r="A9" s="32" t="s">
        <v>51</v>
      </c>
      <c r="B9" s="37">
        <f t="shared" si="0"/>
        <v>7873.7015767000003</v>
      </c>
      <c r="C9" s="33"/>
      <c r="D9" s="37">
        <f>IF(ISERROR(TER_gezond_gas_kWh/1000),0,TER_gezond_gas_kWh/1000)*0.902</f>
        <v>14544.456951024</v>
      </c>
      <c r="E9" s="33">
        <f>$C$29*'E Balans VL '!I10/100/3.6*1000000</f>
        <v>1.0080641418464131</v>
      </c>
      <c r="F9" s="33">
        <f>$C$29*('E Balans VL '!L10+'E Balans VL '!N10)/100/3.6*1000000</f>
        <v>1640.4220555035708</v>
      </c>
      <c r="G9" s="34"/>
      <c r="H9" s="33"/>
      <c r="I9" s="33"/>
      <c r="J9" s="33">
        <f>$C$29*('E Balans VL '!D10+'E Balans VL '!E10)/100/3.6*1000000</f>
        <v>0</v>
      </c>
      <c r="K9" s="33"/>
      <c r="L9" s="33"/>
      <c r="M9" s="33"/>
      <c r="N9" s="33">
        <f>$C$29*'E Balans VL '!Y10/100/3.6*1000000</f>
        <v>92.480346618969946</v>
      </c>
      <c r="O9" s="33"/>
      <c r="P9" s="33"/>
      <c r="R9" s="32"/>
    </row>
    <row r="10" spans="1:18">
      <c r="A10" s="32" t="s">
        <v>50</v>
      </c>
      <c r="B10" s="37">
        <f t="shared" si="0"/>
        <v>3819.9013731</v>
      </c>
      <c r="C10" s="33"/>
      <c r="D10" s="37">
        <f>IF(ISERROR(TER_ander_gas_kWh/1000),0,TER_ander_gas_kWh/1000)*0.902</f>
        <v>2967.4220252534001</v>
      </c>
      <c r="E10" s="33">
        <f>$C$30*'E Balans VL '!I14/100/3.6*1000000</f>
        <v>5.7442333557901959</v>
      </c>
      <c r="F10" s="33">
        <f>$C$30*('E Balans VL '!L14+'E Balans VL '!N14)/100/3.6*1000000</f>
        <v>843.31109019918586</v>
      </c>
      <c r="G10" s="34"/>
      <c r="H10" s="33"/>
      <c r="I10" s="33"/>
      <c r="J10" s="33">
        <f>$C$30*('E Balans VL '!D14+'E Balans VL '!E14)/100/3.6*1000000</f>
        <v>0</v>
      </c>
      <c r="K10" s="33"/>
      <c r="L10" s="33"/>
      <c r="M10" s="33"/>
      <c r="N10" s="33">
        <f>$C$30*'E Balans VL '!Y14/100/3.6*1000000</f>
        <v>3010.3393516727183</v>
      </c>
      <c r="O10" s="33"/>
      <c r="P10" s="33"/>
      <c r="R10" s="32"/>
    </row>
    <row r="11" spans="1:18">
      <c r="A11" s="32" t="s">
        <v>55</v>
      </c>
      <c r="B11" s="37">
        <f t="shared" si="0"/>
        <v>843.10891001000005</v>
      </c>
      <c r="C11" s="33"/>
      <c r="D11" s="37">
        <f>IF(ISERROR(TER_onderwijs_gas_kWh/1000),0,TER_onderwijs_gas_kWh/1000)*0.902</f>
        <v>2580.3633495156</v>
      </c>
      <c r="E11" s="33">
        <f>$C$31*'E Balans VL '!I11/100/3.6*1000000</f>
        <v>1.4847854428100495</v>
      </c>
      <c r="F11" s="33">
        <f>$C$31*('E Balans VL '!L11+'E Balans VL '!N11)/100/3.6*1000000</f>
        <v>389.27863978211138</v>
      </c>
      <c r="G11" s="34"/>
      <c r="H11" s="33"/>
      <c r="I11" s="33"/>
      <c r="J11" s="33">
        <f>$C$31*('E Balans VL '!D11+'E Balans VL '!E11)/100/3.6*1000000</f>
        <v>0</v>
      </c>
      <c r="K11" s="33"/>
      <c r="L11" s="33"/>
      <c r="M11" s="33"/>
      <c r="N11" s="33">
        <f>$C$31*'E Balans VL '!Y11/100/3.6*1000000</f>
        <v>1.5707235585151758</v>
      </c>
      <c r="O11" s="33"/>
      <c r="P11" s="33"/>
      <c r="R11" s="32"/>
    </row>
    <row r="12" spans="1:18">
      <c r="A12" s="32" t="s">
        <v>260</v>
      </c>
      <c r="B12" s="37">
        <f t="shared" si="0"/>
        <v>3523.1196979000001</v>
      </c>
      <c r="C12" s="33"/>
      <c r="D12" s="37">
        <f>IF(ISERROR(TER_rest_gas_kWh/1000),0,TER_rest_gas_kWh/1000)*0.902</f>
        <v>6349.2314629831999</v>
      </c>
      <c r="E12" s="33">
        <f>$C$32*'E Balans VL '!I8/100/3.6*1000000</f>
        <v>62.029847857184684</v>
      </c>
      <c r="F12" s="33">
        <f>$C$32*('E Balans VL '!L8+'E Balans VL '!N8)/100/3.6*1000000</f>
        <v>907.66599346448425</v>
      </c>
      <c r="G12" s="34"/>
      <c r="H12" s="33"/>
      <c r="I12" s="33"/>
      <c r="J12" s="33">
        <f>$C$32*('E Balans VL '!D8+'E Balans VL '!E8)/100/3.6*1000000</f>
        <v>0</v>
      </c>
      <c r="K12" s="33"/>
      <c r="L12" s="33"/>
      <c r="M12" s="33"/>
      <c r="N12" s="33">
        <f>$C$32*'E Balans VL '!Y8/100/3.6*1000000</f>
        <v>310.88697822153995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58930.00437491</v>
      </c>
      <c r="C16" s="21">
        <f t="shared" ca="1" si="1"/>
        <v>0</v>
      </c>
      <c r="D16" s="21">
        <f t="shared" ca="1" si="1"/>
        <v>83350.951903474197</v>
      </c>
      <c r="E16" s="21">
        <f t="shared" si="1"/>
        <v>1037.7781599035125</v>
      </c>
      <c r="F16" s="21">
        <f t="shared" ca="1" si="1"/>
        <v>14662.907509598215</v>
      </c>
      <c r="G16" s="21">
        <f t="shared" si="1"/>
        <v>0</v>
      </c>
      <c r="H16" s="21">
        <f t="shared" si="1"/>
        <v>0</v>
      </c>
      <c r="I16" s="21">
        <f t="shared" si="1"/>
        <v>0</v>
      </c>
      <c r="J16" s="21">
        <f t="shared" si="1"/>
        <v>0</v>
      </c>
      <c r="K16" s="21">
        <f t="shared" si="1"/>
        <v>0</v>
      </c>
      <c r="L16" s="21">
        <f t="shared" ca="1" si="1"/>
        <v>0</v>
      </c>
      <c r="M16" s="21">
        <f t="shared" si="1"/>
        <v>0</v>
      </c>
      <c r="N16" s="21">
        <f t="shared" ca="1" si="1"/>
        <v>3457.3112343925095</v>
      </c>
      <c r="O16" s="21">
        <f>O5</f>
        <v>1.5633333333333335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0.21095710298742584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12431.703001967344</v>
      </c>
      <c r="C20" s="23">
        <f t="shared" ref="C20:P20" ca="1" si="2">C16*C18</f>
        <v>0</v>
      </c>
      <c r="D20" s="23">
        <f t="shared" ca="1" si="2"/>
        <v>16836.892284501788</v>
      </c>
      <c r="E20" s="23">
        <f t="shared" si="2"/>
        <v>235.57564229809734</v>
      </c>
      <c r="F20" s="23">
        <f t="shared" ca="1" si="2"/>
        <v>3914.9963050627239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21306.229729999999</v>
      </c>
      <c r="C26" s="39">
        <f>IF(ISERROR(B26*3.6/1000000/'E Balans VL '!Z12*100),0,B26*3.6/1000000/'E Balans VL '!Z12*100)</f>
        <v>0.45639599298194378</v>
      </c>
      <c r="D26" s="237" t="s">
        <v>660</v>
      </c>
      <c r="F26" s="6"/>
    </row>
    <row r="27" spans="1:18">
      <c r="A27" s="231" t="s">
        <v>53</v>
      </c>
      <c r="B27" s="33">
        <f>IF(ISERROR(TER_horeca_ele_kWh/1000),0,TER_horeca_ele_kWh/1000)</f>
        <v>5217.6324762000004</v>
      </c>
      <c r="C27" s="39">
        <f>IF(ISERROR(B27*3.6/1000000/'E Balans VL '!Z9*100),0,B27*3.6/1000000/'E Balans VL '!Z9*100)</f>
        <v>0.41869686990968302</v>
      </c>
      <c r="D27" s="237" t="s">
        <v>660</v>
      </c>
      <c r="F27" s="6"/>
    </row>
    <row r="28" spans="1:18">
      <c r="A28" s="171" t="s">
        <v>52</v>
      </c>
      <c r="B28" s="33">
        <f>IF(ISERROR(TER_handel_ele_kWh/1000),0,TER_handel_ele_kWh/1000)</f>
        <v>16346.310610999999</v>
      </c>
      <c r="C28" s="39">
        <f>IF(ISERROR(B28*3.6/1000000/'E Balans VL '!Z13*100),0,B28*3.6/1000000/'E Balans VL '!Z13*100)</f>
        <v>0.482122404326566</v>
      </c>
      <c r="D28" s="237" t="s">
        <v>660</v>
      </c>
      <c r="F28" s="6"/>
    </row>
    <row r="29" spans="1:18">
      <c r="A29" s="231" t="s">
        <v>51</v>
      </c>
      <c r="B29" s="33">
        <f>IF(ISERROR(TER_gezond_ele_kWh/1000),0,TER_gezond_ele_kWh/1000)</f>
        <v>7873.7015767000003</v>
      </c>
      <c r="C29" s="39">
        <f>IF(ISERROR(B29*3.6/1000000/'E Balans VL '!Z10*100),0,B29*3.6/1000000/'E Balans VL '!Z10*100)</f>
        <v>0.84070022653603438</v>
      </c>
      <c r="D29" s="237" t="s">
        <v>660</v>
      </c>
      <c r="F29" s="6"/>
    </row>
    <row r="30" spans="1:18">
      <c r="A30" s="231" t="s">
        <v>50</v>
      </c>
      <c r="B30" s="33">
        <f>IF(ISERROR(TER_ander_ele_kWh/1000),0,TER_ander_ele_kWh/1000)</f>
        <v>3819.9013731</v>
      </c>
      <c r="C30" s="39">
        <f>IF(ISERROR(B30*3.6/1000000/'E Balans VL '!Z14*100),0,B30*3.6/1000000/'E Balans VL '!Z14*100)</f>
        <v>0.28853215085787909</v>
      </c>
      <c r="D30" s="237" t="s">
        <v>660</v>
      </c>
      <c r="F30" s="6"/>
    </row>
    <row r="31" spans="1:18">
      <c r="A31" s="231" t="s">
        <v>55</v>
      </c>
      <c r="B31" s="33">
        <f>IF(ISERROR(TER_onderwijs_ele_kWh/1000),0,TER_onderwijs_ele_kWh/1000)</f>
        <v>843.10891001000005</v>
      </c>
      <c r="C31" s="39">
        <f>IF(ISERROR(B31*3.6/1000000/'E Balans VL '!Z11*100),0,B31*3.6/1000000/'E Balans VL '!Z11*100)</f>
        <v>0.17025183408076652</v>
      </c>
      <c r="D31" s="237" t="s">
        <v>660</v>
      </c>
    </row>
    <row r="32" spans="1:18">
      <c r="A32" s="231" t="s">
        <v>260</v>
      </c>
      <c r="B32" s="33">
        <f>IF(ISERROR(TER_rest_ele_kWh/1000),0,TER_rest_ele_kWh/1000)</f>
        <v>3523.1196979000001</v>
      </c>
      <c r="C32" s="39">
        <f>IF(ISERROR(B32*3.6/1000000/'E Balans VL '!Z8*100),0,B32*3.6/1000000/'E Balans VL '!Z8*100)</f>
        <v>2.9211568204378514E-2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107457.09167216999</v>
      </c>
      <c r="C5" s="17">
        <f>IF(ISERROR('Eigen informatie GS &amp; warmtenet'!B59),0,'Eigen informatie GS &amp; warmtenet'!B59)</f>
        <v>0</v>
      </c>
      <c r="D5" s="30">
        <f>SUM(D6:D15)</f>
        <v>24704.085919469879</v>
      </c>
      <c r="E5" s="17">
        <f>SUM(E6:E15)</f>
        <v>8022.5437981648774</v>
      </c>
      <c r="F5" s="17">
        <f>SUM(F6:F15)</f>
        <v>31672.308430615602</v>
      </c>
      <c r="G5" s="18"/>
      <c r="H5" s="17"/>
      <c r="I5" s="17"/>
      <c r="J5" s="17">
        <f>SUM(J6:J15)</f>
        <v>678.95684129415031</v>
      </c>
      <c r="K5" s="17"/>
      <c r="L5" s="17"/>
      <c r="M5" s="17"/>
      <c r="N5" s="17">
        <f>SUM(N6:N15)</f>
        <v>24814.733153461621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594.1632539200001</v>
      </c>
      <c r="C8" s="33"/>
      <c r="D8" s="37">
        <f>IF( ISERROR(IND_metaal_Gas_kWH/1000),0,IND_metaal_Gas_kWH/1000)*0.902</f>
        <v>216.16332231318</v>
      </c>
      <c r="E8" s="33">
        <f>C30*'E Balans VL '!I18/100/3.6*1000000</f>
        <v>21.37979134173133</v>
      </c>
      <c r="F8" s="33">
        <f>C30*'E Balans VL '!L18/100/3.6*1000000+C30*'E Balans VL '!N18/100/3.6*1000000</f>
        <v>259.45183228642821</v>
      </c>
      <c r="G8" s="34"/>
      <c r="H8" s="33"/>
      <c r="I8" s="33"/>
      <c r="J8" s="40">
        <f>C30*'E Balans VL '!D18/100/3.6*1000000+C30*'E Balans VL '!E18/100/3.6*1000000</f>
        <v>0</v>
      </c>
      <c r="K8" s="33"/>
      <c r="L8" s="33"/>
      <c r="M8" s="33"/>
      <c r="N8" s="33">
        <f>C30*'E Balans VL '!Y18/100/3.6*1000000</f>
        <v>29.779058509755348</v>
      </c>
      <c r="O8" s="33"/>
      <c r="P8" s="33"/>
      <c r="R8" s="32"/>
    </row>
    <row r="9" spans="1:18">
      <c r="A9" s="6" t="s">
        <v>33</v>
      </c>
      <c r="B9" s="37">
        <f t="shared" si="0"/>
        <v>12496.079828</v>
      </c>
      <c r="C9" s="33"/>
      <c r="D9" s="37">
        <f>IF( ISERROR(IND_andere_gas_kWh/1000),0,IND_andere_gas_kWh/1000)*0.902</f>
        <v>1671.8521154896</v>
      </c>
      <c r="E9" s="33">
        <f>C31*'E Balans VL '!I19/100/3.6*1000000</f>
        <v>3188.7168403804699</v>
      </c>
      <c r="F9" s="33">
        <f>C31*'E Balans VL '!L19/100/3.6*1000000+C31*'E Balans VL '!N19/100/3.6*1000000</f>
        <v>10758.18549003354</v>
      </c>
      <c r="G9" s="34"/>
      <c r="H9" s="33"/>
      <c r="I9" s="33"/>
      <c r="J9" s="40">
        <f>C31*'E Balans VL '!D19/100/3.6*1000000+C31*'E Balans VL '!E19/100/3.6*1000000</f>
        <v>0</v>
      </c>
      <c r="K9" s="33"/>
      <c r="L9" s="33"/>
      <c r="M9" s="33"/>
      <c r="N9" s="33">
        <f>C31*'E Balans VL '!Y19/100/3.6*1000000</f>
        <v>3907.952108255547</v>
      </c>
      <c r="O9" s="33"/>
      <c r="P9" s="33"/>
      <c r="R9" s="32"/>
    </row>
    <row r="10" spans="1:18">
      <c r="A10" s="6" t="s">
        <v>41</v>
      </c>
      <c r="B10" s="37">
        <f t="shared" si="0"/>
        <v>10695.592336</v>
      </c>
      <c r="C10" s="33"/>
      <c r="D10" s="37">
        <f>IF( ISERROR(IND_voed_gas_kWh/1000),0,IND_voed_gas_kWh/1000)*0.902</f>
        <v>453.08779846088004</v>
      </c>
      <c r="E10" s="33">
        <f>C32*'E Balans VL '!I20/100/3.6*1000000</f>
        <v>271.89664343291088</v>
      </c>
      <c r="F10" s="33">
        <f>C32*'E Balans VL '!L20/100/3.6*1000000+C32*'E Balans VL '!N20/100/3.6*1000000</f>
        <v>2420.2519909495918</v>
      </c>
      <c r="G10" s="34"/>
      <c r="H10" s="33"/>
      <c r="I10" s="33"/>
      <c r="J10" s="40">
        <f>C32*'E Balans VL '!D20/100/3.6*1000000+C32*'E Balans VL '!E20/100/3.6*1000000</f>
        <v>0</v>
      </c>
      <c r="K10" s="33"/>
      <c r="L10" s="33"/>
      <c r="M10" s="33"/>
      <c r="N10" s="33">
        <f>C32*'E Balans VL '!Y20/100/3.6*1000000</f>
        <v>4011.1370414337025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10.61057325</v>
      </c>
      <c r="C13" s="33"/>
      <c r="D13" s="37">
        <f>IF( ISERROR(IND_papier_gas_kWh/1000),0,IND_papier_gas_kWh/1000)*0.902</f>
        <v>0</v>
      </c>
      <c r="E13" s="33">
        <f>C35*'E Balans VL '!I23/100/3.6*1000000</f>
        <v>4.5505661864797688E-2</v>
      </c>
      <c r="F13" s="33">
        <f>C35*'E Balans VL '!L23/100/3.6*1000000+C35*'E Balans VL '!N23/100/3.6*1000000</f>
        <v>0.26667663889534393</v>
      </c>
      <c r="G13" s="34"/>
      <c r="H13" s="33"/>
      <c r="I13" s="33"/>
      <c r="J13" s="40">
        <f>C35*'E Balans VL '!D23/100/3.6*1000000+C35*'E Balans VL '!E23/100/3.6*1000000</f>
        <v>0.71031968248719657</v>
      </c>
      <c r="K13" s="33"/>
      <c r="L13" s="33"/>
      <c r="M13" s="33"/>
      <c r="N13" s="33">
        <f>C35*'E Balans VL '!Y23/100/3.6*1000000</f>
        <v>19.313766605588356</v>
      </c>
      <c r="O13" s="33"/>
      <c r="P13" s="33"/>
      <c r="R13" s="32"/>
    </row>
    <row r="14" spans="1:18">
      <c r="A14" s="6" t="s">
        <v>34</v>
      </c>
      <c r="B14" s="37">
        <f t="shared" si="0"/>
        <v>0</v>
      </c>
      <c r="C14" s="33"/>
      <c r="D14" s="37">
        <f>IF( ISERROR(IND_chemie_gas_kWh/1000),0,IND_chemie_gas_kWh/1000)*0.902</f>
        <v>90.882122716219996</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83660.645680999995</v>
      </c>
      <c r="C15" s="33"/>
      <c r="D15" s="37">
        <f>IF( ISERROR(IND_rest_gas_kWh/1000),0,IND_rest_gas_kWh/1000)*0.902</f>
        <v>22272.100560489998</v>
      </c>
      <c r="E15" s="33">
        <f>C37*'E Balans VL '!I15/100/3.6*1000000</f>
        <v>4540.5050173479003</v>
      </c>
      <c r="F15" s="33">
        <f>C37*'E Balans VL '!L15/100/3.6*1000000+C37*'E Balans VL '!N15/100/3.6*1000000</f>
        <v>18234.152440707148</v>
      </c>
      <c r="G15" s="34"/>
      <c r="H15" s="33"/>
      <c r="I15" s="33"/>
      <c r="J15" s="40">
        <f>C37*'E Balans VL '!D15/100/3.6*1000000+C37*'E Balans VL '!E15/100/3.6*1000000</f>
        <v>678.24652161166307</v>
      </c>
      <c r="K15" s="33"/>
      <c r="L15" s="33"/>
      <c r="M15" s="33"/>
      <c r="N15" s="33">
        <f>C37*'E Balans VL '!Y15/100/3.6*1000000</f>
        <v>16846.551178657028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107457.09167216999</v>
      </c>
      <c r="C18" s="21">
        <f>C5+C16</f>
        <v>0</v>
      </c>
      <c r="D18" s="21">
        <f>MAX((D5+D16),0)</f>
        <v>24704.085919469879</v>
      </c>
      <c r="E18" s="21">
        <f>MAX((E5+E16),0)</f>
        <v>8022.5437981648774</v>
      </c>
      <c r="F18" s="21">
        <f>MAX((F5+F16),0)</f>
        <v>31672.308430615602</v>
      </c>
      <c r="G18" s="21"/>
      <c r="H18" s="21"/>
      <c r="I18" s="21"/>
      <c r="J18" s="21">
        <f>MAX((J5+J16),0)</f>
        <v>678.95684129415031</v>
      </c>
      <c r="K18" s="21"/>
      <c r="L18" s="21">
        <f>MAX((L5+L16),0)</f>
        <v>0</v>
      </c>
      <c r="M18" s="21"/>
      <c r="N18" s="21">
        <f>MAX((N5+N16),0)</f>
        <v>24814.733153461621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0.21095710298742584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22668.836754615226</v>
      </c>
      <c r="C22" s="23">
        <f ca="1">C18*C20</f>
        <v>0</v>
      </c>
      <c r="D22" s="23">
        <f>D18*D20</f>
        <v>4990.2253557329159</v>
      </c>
      <c r="E22" s="23">
        <f>E18*E20</f>
        <v>1821.1174421834273</v>
      </c>
      <c r="F22" s="23">
        <f>F18*F20</f>
        <v>8456.5063509743668</v>
      </c>
      <c r="G22" s="23"/>
      <c r="H22" s="23"/>
      <c r="I22" s="23"/>
      <c r="J22" s="23">
        <f>J18*J20</f>
        <v>240.35072181812919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594.1632539200001</v>
      </c>
      <c r="C30" s="39">
        <f>IF(ISERROR(B30*3.6/1000000/'E Balans VL '!Z18*100),0,B30*3.6/1000000/'E Balans VL '!Z18*100)</f>
        <v>0.12589045498121471</v>
      </c>
      <c r="D30" s="237" t="s">
        <v>660</v>
      </c>
    </row>
    <row r="31" spans="1:18">
      <c r="A31" s="6" t="s">
        <v>33</v>
      </c>
      <c r="B31" s="37">
        <f>IF( ISERROR(IND_ander_ele_kWh/1000),0,IND_ander_ele_kWh/1000)</f>
        <v>12496.079828</v>
      </c>
      <c r="C31" s="39">
        <f>IF(ISERROR(B31*3.6/1000000/'E Balans VL '!Z19*100),0,B31*3.6/1000000/'E Balans VL '!Z19*100)</f>
        <v>0.52598837437332457</v>
      </c>
      <c r="D31" s="237" t="s">
        <v>660</v>
      </c>
    </row>
    <row r="32" spans="1:18">
      <c r="A32" s="171" t="s">
        <v>41</v>
      </c>
      <c r="B32" s="37">
        <f>IF( ISERROR(IND_voed_ele_kWh/1000),0,IND_voed_ele_kWh/1000)</f>
        <v>10695.592336</v>
      </c>
      <c r="C32" s="39">
        <f>IF(ISERROR(B32*3.6/1000000/'E Balans VL '!Z20*100),0,B32*3.6/1000000/'E Balans VL '!Z20*100)</f>
        <v>1.7868197120332583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10.61057325</v>
      </c>
      <c r="C35" s="39">
        <f>IF(ISERROR(B35*3.6/1000000/'E Balans VL '!Z22*100),0,B35*3.6/1000000/'E Balans VL '!Z22*100)</f>
        <v>1.3449473820900321E-3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83660.645680999995</v>
      </c>
      <c r="C37" s="39">
        <f>IF(ISERROR(B37*3.6/1000000/'E Balans VL '!Z15*100),0,B37*3.6/1000000/'E Balans VL '!Z15*100)</f>
        <v>0.67542478746949963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2241.5020104120003</v>
      </c>
      <c r="C5" s="17">
        <f>'Eigen informatie GS &amp; warmtenet'!B60</f>
        <v>0</v>
      </c>
      <c r="D5" s="30">
        <f>IF(ISERROR(SUM(LB_lb_gas_kWh,LB_rest_gas_kWh)/1000),0,SUM(LB_lb_gas_kWh,LB_rest_gas_kWh)/1000)*0.902</f>
        <v>722.66849468682005</v>
      </c>
      <c r="E5" s="17">
        <f>B17*'E Balans VL '!I25/3.6*1000000/100</f>
        <v>57.799730475829186</v>
      </c>
      <c r="F5" s="17">
        <f>B17*('E Balans VL '!L25/3.6*1000000+'E Balans VL '!N25/3.6*1000000)/100</f>
        <v>8193.116721377457</v>
      </c>
      <c r="G5" s="18"/>
      <c r="H5" s="17"/>
      <c r="I5" s="17"/>
      <c r="J5" s="17">
        <f>('E Balans VL '!D25+'E Balans VL '!E25)/3.6*1000000*landbouw!B17/100</f>
        <v>322.69383213354007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2241.5020104120003</v>
      </c>
      <c r="C8" s="21">
        <f>C5+C6</f>
        <v>0</v>
      </c>
      <c r="D8" s="21">
        <f>MAX((D5+D6),0)</f>
        <v>722.66849468682005</v>
      </c>
      <c r="E8" s="21">
        <f>MAX((E5+E6),0)</f>
        <v>57.799730475829186</v>
      </c>
      <c r="F8" s="21">
        <f>MAX((F5+F6),0)</f>
        <v>8193.116721377457</v>
      </c>
      <c r="G8" s="21"/>
      <c r="H8" s="21"/>
      <c r="I8" s="21"/>
      <c r="J8" s="21">
        <f>MAX((J5+J6),0)</f>
        <v>322.69383213354007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0.21095710298742584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472.86077045700642</v>
      </c>
      <c r="C12" s="23">
        <f ca="1">C8*C10</f>
        <v>0</v>
      </c>
      <c r="D12" s="23">
        <f>D8*D10</f>
        <v>145.97903592673765</v>
      </c>
      <c r="E12" s="23">
        <f>E8*E10</f>
        <v>13.120538818013225</v>
      </c>
      <c r="F12" s="23">
        <f>F8*F10</f>
        <v>2187.5621646077811</v>
      </c>
      <c r="G12" s="23"/>
      <c r="H12" s="23"/>
      <c r="I12" s="23"/>
      <c r="J12" s="23">
        <f>J8*J10</f>
        <v>114.23361657527317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0.31606663084448816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364.39183579453351</v>
      </c>
      <c r="C26" s="247">
        <f>B26*'GWP N2O_CH4'!B5</f>
        <v>7652.2285516852035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91.108481236043517</v>
      </c>
      <c r="C27" s="247">
        <f>B27*'GWP N2O_CH4'!B5</f>
        <v>1913.2781059569138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4.7441179906793041</v>
      </c>
      <c r="C28" s="247">
        <f>B28*'GWP N2O_CH4'!B4</f>
        <v>1470.6765771105843</v>
      </c>
      <c r="D28" s="50"/>
    </row>
    <row r="29" spans="1:4">
      <c r="A29" s="41" t="s">
        <v>277</v>
      </c>
      <c r="B29" s="247">
        <f>B34*'ha_N2O bodem landbouw'!B4</f>
        <v>31.008258018767854</v>
      </c>
      <c r="C29" s="247">
        <f>B29*'GWP N2O_CH4'!B4</f>
        <v>9612.5599858180358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6.9785430919802362E-3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1.9541919551217644E-4</v>
      </c>
      <c r="C5" s="463" t="s">
        <v>211</v>
      </c>
      <c r="D5" s="448">
        <f>SUM(D6:D11)</f>
        <v>4.5205919966515609E-4</v>
      </c>
      <c r="E5" s="448">
        <f>SUM(E6:E11)</f>
        <v>1.826635999592511E-3</v>
      </c>
      <c r="F5" s="461" t="s">
        <v>211</v>
      </c>
      <c r="G5" s="448">
        <f>SUM(G6:G11)</f>
        <v>0.64306869261081845</v>
      </c>
      <c r="H5" s="448">
        <f>SUM(H6:H11)</f>
        <v>0.12236639293504321</v>
      </c>
      <c r="I5" s="463" t="s">
        <v>211</v>
      </c>
      <c r="J5" s="463" t="s">
        <v>211</v>
      </c>
      <c r="K5" s="463" t="s">
        <v>211</v>
      </c>
      <c r="L5" s="463" t="s">
        <v>211</v>
      </c>
      <c r="M5" s="448">
        <f>SUM(M6:M11)</f>
        <v>2.3926042652501419E-2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1.1266115535763536E-4</v>
      </c>
      <c r="C6" s="449"/>
      <c r="D6" s="892">
        <f>vkm_2011_GW_PW*SUMIFS(TableVerdeelsleutelVkm[CNG],TableVerdeelsleutelVkm[Voertuigtype],"Lichte voertuigen")*SUMIFS(TableECFTransport[EnergieConsumptieFactor (PJ per km)],TableECFTransport[Index],CONCATENATE($A6,"_CNG_CNG"))</f>
        <v>2.2385968912863176E-4</v>
      </c>
      <c r="E6" s="892">
        <f>vkm_2011_GW_PW*SUMIFS(TableVerdeelsleutelVkm[LPG],TableVerdeelsleutelVkm[Voertuigtype],"Lichte voertuigen")*SUMIFS(TableECFTransport[EnergieConsumptieFactor (PJ per km)],TableECFTransport[Index],CONCATENATE($A6,"_LPG_LPG"))</f>
        <v>8.8096812440399371E-4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0.20946399220428835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6.0605552516978682E-2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8.4156163993785761E-3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0.1494798658090094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4.8288381465721603E-5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4.7098818560768847E-3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3.897608435284486E-5</v>
      </c>
      <c r="C8" s="449"/>
      <c r="D8" s="451">
        <f>vkm_2011_NGW_PW*SUMIFS(TableVerdeelsleutelVkm[CNG],TableVerdeelsleutelVkm[Voertuigtype],"Lichte voertuigen")*SUMIFS(TableECFTransport[EnergieConsumptieFactor (PJ per km)],TableECFTransport[Index],CONCATENATE($A8,"_CNG_CNG"))</f>
        <v>1.3712890188613335E-4</v>
      </c>
      <c r="E8" s="451">
        <f>vkm_2011_NGW_PW*SUMIFS(TableVerdeelsleutelVkm[LPG],TableVerdeelsleutelVkm[Voertuigtype],"Lichte voertuigen")*SUMIFS(TableECFTransport[EnergieConsumptieFactor (PJ per km)],TableECFTransport[Index],CONCATENATE($A8,"_LPG_LPG"))</f>
        <v>4.9908219460991822E-4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0.11081027691468254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3.5998344769022063E-2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4.5700951068137772E-3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1.9835838827882292E-2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6.0600169520852091E-6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6.2498649929304149E-4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4.3781955801696219E-5</v>
      </c>
      <c r="C10" s="449"/>
      <c r="D10" s="451">
        <f>vkm_2011_SW_PW*SUMIFS(TableVerdeelsleutelVkm[CNG],TableVerdeelsleutelVkm[Voertuigtype],"Lichte voertuigen")*SUMIFS(TableECFTransport[EnergieConsumptieFactor (PJ per km)],TableECFTransport[Index],CONCATENATE($A10,"_CNG_CNG"))</f>
        <v>9.1070608650390959E-5</v>
      </c>
      <c r="E10" s="451">
        <f>vkm_2011_SW_PW*SUMIFS(TableVerdeelsleutelVkm[LPG],TableVerdeelsleutelVkm[Voertuigtype],"Lichte voertuigen")*SUMIFS(TableECFTransport[EnergieConsumptieFactor (PJ per km)],TableECFTransport[Index],CONCATENATE($A10,"_LPG_LPG"))</f>
        <v>4.4658568057859906E-4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9.511762243448918E-2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2.5687834175531506E-2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3.7665501510928631E-3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5.8361096420466656E-2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2.0313075093156218E-5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1.8389126398462737E-3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54.283109864493454</v>
      </c>
      <c r="C14" s="21"/>
      <c r="D14" s="21">
        <f t="shared" ref="D14:M14" si="0">((D5)*10^9/3600)+D12</f>
        <v>125.5719999069878</v>
      </c>
      <c r="E14" s="21">
        <f t="shared" si="0"/>
        <v>507.39888877569751</v>
      </c>
      <c r="F14" s="21"/>
      <c r="G14" s="21">
        <f t="shared" si="0"/>
        <v>178630.19239189403</v>
      </c>
      <c r="H14" s="21">
        <f t="shared" si="0"/>
        <v>33990.664704178671</v>
      </c>
      <c r="I14" s="21"/>
      <c r="J14" s="21"/>
      <c r="K14" s="21"/>
      <c r="L14" s="21"/>
      <c r="M14" s="21">
        <f t="shared" si="0"/>
        <v>6646.1229590281719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0.21095710298742584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11.451407598161698</v>
      </c>
      <c r="C18" s="23"/>
      <c r="D18" s="23">
        <f t="shared" ref="D18:M18" si="1">D14*D16</f>
        <v>25.365543981211538</v>
      </c>
      <c r="E18" s="23">
        <f t="shared" si="1"/>
        <v>115.17954775208334</v>
      </c>
      <c r="F18" s="23"/>
      <c r="G18" s="23">
        <f t="shared" si="1"/>
        <v>47694.261368635707</v>
      </c>
      <c r="H18" s="23">
        <f t="shared" si="1"/>
        <v>8463.6755113404888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1.2339579852045363E-2</v>
      </c>
      <c r="H50" s="321">
        <f t="shared" si="2"/>
        <v>0</v>
      </c>
      <c r="I50" s="321">
        <f t="shared" si="2"/>
        <v>0</v>
      </c>
      <c r="J50" s="321">
        <f t="shared" si="2"/>
        <v>0</v>
      </c>
      <c r="K50" s="321">
        <f t="shared" si="2"/>
        <v>0</v>
      </c>
      <c r="L50" s="321">
        <f t="shared" si="2"/>
        <v>0</v>
      </c>
      <c r="M50" s="321">
        <f t="shared" si="2"/>
        <v>3.827461611234271E-4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1.2339579852045363E-2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3.827461611234271E-4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3427.6610700126007</v>
      </c>
      <c r="H54" s="21">
        <f t="shared" si="3"/>
        <v>0</v>
      </c>
      <c r="I54" s="21">
        <f t="shared" si="3"/>
        <v>0</v>
      </c>
      <c r="J54" s="21">
        <f t="shared" si="3"/>
        <v>0</v>
      </c>
      <c r="K54" s="21">
        <f t="shared" si="3"/>
        <v>0</v>
      </c>
      <c r="L54" s="21">
        <f t="shared" si="3"/>
        <v>0</v>
      </c>
      <c r="M54" s="21">
        <f t="shared" si="3"/>
        <v>106.31837808984086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0.21095710298742584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915.18550569336446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10290.080391798856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10290.080391798856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2019-08-12T08:23:58Z</dcterms:modified>
</cp:coreProperties>
</file>