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B78" i="14"/>
  <c r="B8" i="59"/>
  <c r="B10" s="1"/>
  <c r="C90" i="14"/>
  <c r="C17" i="59"/>
  <c r="C20" s="1"/>
  <c r="C78" i="14"/>
  <c r="C8" i="59"/>
  <c r="C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J28" i="48"/>
  <c r="J27"/>
  <c r="J32"/>
  <c r="J29"/>
  <c r="J31"/>
  <c r="J24"/>
  <c r="J30"/>
  <c r="O4"/>
  <c r="P11"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I5" i="48" l="1"/>
  <c r="J10" i="14"/>
  <c r="J16" s="1"/>
  <c r="J27" s="1"/>
  <c r="P22" i="48"/>
  <c r="M12" i="22"/>
  <c r="M13" i="48"/>
  <c r="M31" s="1"/>
  <c r="N18" i="14"/>
  <c r="P8" i="48"/>
  <c r="P26" s="1"/>
  <c r="Q13" i="14"/>
  <c r="I20" i="15"/>
  <c r="J40" i="14" s="1"/>
  <c r="J46" s="1"/>
  <c r="J61" s="1"/>
  <c r="F4" i="48"/>
  <c r="F22" s="1"/>
  <c r="G11" i="14"/>
  <c r="H18"/>
  <c r="G13" i="48"/>
  <c r="H13"/>
  <c r="H31" s="1"/>
  <c r="I18" i="14"/>
  <c r="F20"/>
  <c r="F22" s="1"/>
  <c r="E9" i="48"/>
  <c r="E27" s="1"/>
  <c r="O22"/>
  <c r="E20" i="14"/>
  <c r="E22" s="1"/>
  <c r="D9" i="48"/>
  <c r="D27" s="1"/>
  <c r="O5"/>
  <c r="O23" s="1"/>
  <c r="P10" i="14"/>
  <c r="J7" i="48"/>
  <c r="J25" s="1"/>
  <c r="K24" i="14"/>
  <c r="K26" s="1"/>
  <c r="K23" i="48"/>
  <c r="K33" s="1"/>
  <c r="K15"/>
  <c r="C20" i="14"/>
  <c r="B9" i="48"/>
  <c r="Q16" i="14"/>
  <c r="Q27" s="1"/>
  <c r="Q63"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N22" s="1"/>
  <c r="N27" s="1"/>
  <c r="R18"/>
  <c r="G10" i="48"/>
  <c r="H19" i="14"/>
  <c r="G31" i="48"/>
  <c r="Q13"/>
  <c r="I23"/>
  <c r="I33" s="1"/>
  <c r="I15"/>
  <c r="E12" i="13"/>
  <c r="F41" i="14" s="1"/>
  <c r="F11"/>
  <c r="E4" i="48"/>
  <c r="J4"/>
  <c r="K11" i="14"/>
  <c r="E7" i="48"/>
  <c r="E25" s="1"/>
  <c r="F24" i="14"/>
  <c r="F26" s="1"/>
  <c r="N20"/>
  <c r="M9" i="48"/>
  <c r="O22" i="16"/>
  <c r="P43" i="14" s="1"/>
  <c r="P46" s="1"/>
  <c r="P61" s="1"/>
  <c r="P63" s="1"/>
  <c r="O8" i="48"/>
  <c r="O26" s="1"/>
  <c r="O33" s="1"/>
  <c r="P13" i="14"/>
  <c r="I20"/>
  <c r="H9" i="48"/>
  <c r="C22" i="14"/>
  <c r="J63"/>
  <c r="P16"/>
  <c r="P27" s="1"/>
  <c r="I22"/>
  <c r="I27" s="1"/>
  <c r="P15" i="48"/>
  <c r="P33"/>
  <c r="G14" i="22"/>
  <c r="O15"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J20" s="1"/>
  <c r="K40" i="14"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E22" i="48" l="1"/>
  <c r="Q4"/>
  <c r="G28"/>
  <c r="Q10"/>
  <c r="J22"/>
  <c r="E5"/>
  <c r="E23" s="1"/>
  <c r="F10" i="14"/>
  <c r="R19"/>
  <c r="I63"/>
  <c r="J5" i="48"/>
  <c r="J23" s="1"/>
  <c r="K10" i="14"/>
  <c r="H27" i="48"/>
  <c r="H33" s="1"/>
  <c r="H15"/>
  <c r="M27"/>
  <c r="M33" s="1"/>
  <c r="M15"/>
  <c r="H20" i="14"/>
  <c r="G9" i="48"/>
  <c r="R24" i="14"/>
  <c r="R26" s="1"/>
  <c r="R11"/>
  <c r="Q7" i="48"/>
  <c r="E20" i="15"/>
  <c r="F40" i="14" s="1"/>
  <c r="J18" i="16"/>
  <c r="E18"/>
  <c r="F18"/>
  <c r="F22" s="1"/>
  <c r="G43" i="14" s="1"/>
  <c r="N18" i="16"/>
  <c r="G18" i="22"/>
  <c r="H50" i="14" s="1"/>
  <c r="H52" s="1"/>
  <c r="H61" s="1"/>
  <c r="H18" i="22"/>
  <c r="I50" i="14" s="1"/>
  <c r="I52" s="1"/>
  <c r="I61" s="1"/>
  <c r="E8" i="48" l="1"/>
  <c r="E26" s="1"/>
  <c r="E33" s="1"/>
  <c r="F13" i="14"/>
  <c r="F16" s="1"/>
  <c r="F27" s="1"/>
  <c r="J22" i="16"/>
  <c r="K43" i="14" s="1"/>
  <c r="K46" s="1"/>
  <c r="K61" s="1"/>
  <c r="J8" i="48"/>
  <c r="J26" s="1"/>
  <c r="K13" i="14"/>
  <c r="K16" s="1"/>
  <c r="K27" s="1"/>
  <c r="R20"/>
  <c r="R22" s="1"/>
  <c r="H22"/>
  <c r="H27" s="1"/>
  <c r="G27" i="48"/>
  <c r="G33" s="1"/>
  <c r="G15"/>
  <c r="Q9"/>
  <c r="H63" i="14"/>
  <c r="E22" i="16"/>
  <c r="F43" i="14" s="1"/>
  <c r="F46" s="1"/>
  <c r="F61" s="1"/>
  <c r="J15" i="48"/>
  <c r="J33"/>
  <c r="N8"/>
  <c r="N26" s="1"/>
  <c r="O13" i="14"/>
  <c r="N22" i="16"/>
  <c r="O43" i="14" s="1"/>
  <c r="G13"/>
  <c r="F8" i="48"/>
  <c r="F63" i="14" l="1"/>
  <c r="K63"/>
  <c r="E15" i="48"/>
  <c r="R1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<sst xmlns="http://schemas.openxmlformats.org/spreadsheetml/2006/main" count="2408" uniqueCount="899">
  <si>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</si>
  <si>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</si>
  <si>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</si>
  <si>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</si>
  <si>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</si>
  <si>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</si>
  <si>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</si>
  <si>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</si>
  <si>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</si>
  <si>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</si>
  <si>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</si>
  <si>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</si>
  <si>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</si>
  <si>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</si>
  <si>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</si>
  <si>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</si>
  <si>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</si>
  <si>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</si>
  <si>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</si>
  <si>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</si>
  <si>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</si>
  <si>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</si>
  <si>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</si>
  <si>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</si>
  <si>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</si>
  <si>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</si>
  <si>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</si>
  <si>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</si>
  <si>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</si>
  <si>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</si>
  <si>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</si>
  <si>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</si>
  <si>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</si>
  <si>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</si>
  <si>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</si>
  <si>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</si>
  <si>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</si>
  <si>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</si>
  <si>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</si>
  <si>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</si>
  <si>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</si>
  <si>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</si>
  <si>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</si>
  <si>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</si>
  <si>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</si>
  <si>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</si>
  <si>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</si>
  <si>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</si>
  <si>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</si>
  <si>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</si>
  <si>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</si>
  <si>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</si>
  <si>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</si>
  <si>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</si>
  <si>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</si>
  <si>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</si>
  <si>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</si>
  <si>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</si>
  <si>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</si>
  <si>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</si>
  <si>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</si>
  <si>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</si>
  <si>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</si>
  <si>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</si>
  <si>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</si>
  <si>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</si>
  <si>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</si>
  <si>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</si>
  <si>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</si>
  <si>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</si>
  <si>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</si>
  <si>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</si>
  <si>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</si>
  <si>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</si>
  <si>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</si>
  <si>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</si>
  <si>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</si>
  <si>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</si>
  <si>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</si>
  <si>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</si>
  <si>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</si>
  <si>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</si>
  <si>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</si>
  <si>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</si>
  <si>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</si>
  <si>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</si>
  <si>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</si>
  <si>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</si>
  <si>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</si>
  <si>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</si>
  <si>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</si>
  <si>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</si>
  <si>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</si>
  <si>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</si>
  <si>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</si>
  <si>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</si>
  <si>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</si>
  <si>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</si>
  <si>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</si>
  <si>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</si>
  <si>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</si>
  <si>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</si>
  <si>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</si>
  <si>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</si>
  <si>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</si>
  <si>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</si>
  <si>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</si>
  <si>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</si>
  <si>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</si>
  <si>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</si>
  <si>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</si>
  <si>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</si>
  <si>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</si>
  <si>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</si>
  <si>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</si>
  <si>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</si>
  <si>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</si>
  <si>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</si>
  <si>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</si>
  <si>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</si>
  <si>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</si>
  <si>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</si>
  <si>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</si>
  <si>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</si>
  <si>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</si>
  <si>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</si>
  <si>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</si>
  <si>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</si>
  <si>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</si>
  <si>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</si>
  <si>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</si>
  <si>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</si>
  <si>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</si>
  <si>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</si>
  <si>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</si>
  <si>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</si>
  <si>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</si>
  <si>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</si>
  <si>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</si>
  <si>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</si>
  <si>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</si>
  <si>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</si>
  <si>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</si>
  <si>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</si>
  <si>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</si>
  <si>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</si>
  <si>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</si>
  <si>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</si>
  <si>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</si>
  <si>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</si>
  <si>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</si>
  <si>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</si>
  <si>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</si>
  <si>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</si>
  <si>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</si>
  <si>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</si>
  <si>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</si>
  <si>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</si>
  <si>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</si>
  <si>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</si>
  <si>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</si>
  <si>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</si>
  <si>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</si>
  <si>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</si>
  <si>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</si>
  <si>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</si>
  <si>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</si>
  <si>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</si>
  <si>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</si>
  <si>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</si>
  <si>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</si>
  <si>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</si>
  <si>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</si>
  <si>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</si>
  <si>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</si>
  <si>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</si>
  <si>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</si>
  <si>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</si>
  <si>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</si>
  <si>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</si>
  <si>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</si>
  <si>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</si>
  <si>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</si>
  <si>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</si>
  <si>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</si>
  <si>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</si>
  <si>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</si>
  <si>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</si>
  <si>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</si>
  <si>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</si>
  <si>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</si>
  <si>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</si>
  <si>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</si>
  <si>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</si>
  <si>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</si>
  <si>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</si>
  <si>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</si>
  <si>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</si>
  <si>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</si>
  <si>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</si>
  <si>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</si>
  <si>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</si>
  <si>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</si>
  <si>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</si>
  <si>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</si>
  <si>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</si>
  <si>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</si>
  <si>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</si>
  <si>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</si>
  <si>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</si>
  <si>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</si>
  <si>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</si>
  <si>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</si>
  <si>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</si>
  <si>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</si>
  <si>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</si>
  <si>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</si>
  <si>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</si>
  <si>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</si>
  <si>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</si>
  <si>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</si>
  <si>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</si>
  <si>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</si>
  <si>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</si>
  <si>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</si>
  <si>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</si>
  <si>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</si>
  <si>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</si>
  <si>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</si>
  <si>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</si>
  <si>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</si>
  <si>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</si>
  <si>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</si>
  <si>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</si>
  <si>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</si>
  <si>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</si>
  <si>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</si>
  <si>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</si>
  <si>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</si>
  <si>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</si>
  <si>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</si>
  <si>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</si>
  <si>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</si>
  <si>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</si>
  <si>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</si>
  <si>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</si>
  <si>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</si>
  <si>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</si>
  <si>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</si>
  <si>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</si>
  <si>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</si>
  <si>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</si>
  <si>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</si>
  <si>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</si>
  <si>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</si>
  <si>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</si>
  <si>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</si>
  <si>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</si>
  <si>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</si>
  <si>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</si>
  <si>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</si>
  <si>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</si>
  <si>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</si>
  <si>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</si>
  <si>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</si>
  <si>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</si>
  <si>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</si>
  <si>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</si>
  <si>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</si>
  <si>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</si>
  <si>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</si>
  <si>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</si>
  <si>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</si>
  <si>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</si>
  <si>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</si>
  <si>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</si>
  <si>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</si>
  <si>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</si>
  <si>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</si>
  <si>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</si>
  <si>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</si>
  <si>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</si>
  <si>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</si>
  <si>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</si>
  <si>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</si>
  <si>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</si>
  <si>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</si>
  <si>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</si>
  <si>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</si>
  <si>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</si>
  <si>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</si>
  <si>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</si>
  <si>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</si>
  <si>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</si>
  <si>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</si>
  <si>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</si>
  <si>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</si>
  <si>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</si>
  <si>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</si>
  <si>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</si>
  <si>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</si>
  <si>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</si>
  <si>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</si>
  <si>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</si>
  <si>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</si>
  <si>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</si>
  <si>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</si>
  <si>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</si>
  <si>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</si>
  <si>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</si>
  <si>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</si>
  <si>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</si>
  <si>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</si>
  <si>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</si>
  <si>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</si>
  <si>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</si>
  <si>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</si>
  <si>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</si>
  <si>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</si>
  <si>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</si>
  <si>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</si>
  <si>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</si>
  <si>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</si>
  <si>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</si>
  <si>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</si>
  <si>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</si>
  <si>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</si>
  <si>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</si>
  <si>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</si>
  <si>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</si>
  <si>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</si>
  <si>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</si>
  <si>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</si>
  <si>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</si>
  <si>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</si>
  <si>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</si>
  <si>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</si>
  <si>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</si>
  <si>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</si>
  <si>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</si>
  <si>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</si>
  <si>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</si>
  <si>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</si>
  <si>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</si>
  <si>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</si>
  <si>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</si>
  <si>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</si>
  <si>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</si>
  <si>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</si>
  <si>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</si>
  <si>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</si>
  <si>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</si>
  <si>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</si>
  <si>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</si>
  <si>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</si>
  <si>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</si>
  <si>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</si>
  <si>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</si>
  <si>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</si>
  <si>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</si>
  <si>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</si>
  <si>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</si>
  <si>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</si>
  <si>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</si>
  <si>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</si>
  <si>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</si>
  <si>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</si>
  <si>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</si>
  <si>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</si>
  <si>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</si>
  <si>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</si>
  <si>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</si>
  <si>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</si>
  <si>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</si>
  <si>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</si>
  <si>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</si>
  <si>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</si>
  <si>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</si>
  <si>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</si>
  <si>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</si>
  <si>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</si>
  <si>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</si>
  <si>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</si>
  <si>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</si>
  <si>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</si>
  <si>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</si>
  <si>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</si>
  <si>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</si>
  <si>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</si>
  <si>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</si>
  <si>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</si>
  <si>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</si>
  <si>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</si>
  <si>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</si>
  <si>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</si>
  <si>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</si>
  <si>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</si>
  <si>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</si>
  <si>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</si>
  <si>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</si>
  <si>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</si>
  <si>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</si>
  <si>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</si>
  <si>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</si>
  <si>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</si>
  <si>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</si>
  <si>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</si>
  <si>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</si>
  <si>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</si>
  <si>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</si>
  <si>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</si>
  <si>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</si>
  <si>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</si>
  <si>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</si>
  <si>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</si>
  <si>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</si>
  <si>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</si>
  <si>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</si>
  <si>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</si>
  <si>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</si>
  <si>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</si>
  <si>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</si>
  <si>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</si>
  <si>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</si>
  <si>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</si>
  <si>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</si>
  <si>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</si>
  <si>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</si>
  <si>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</si>
  <si>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</si>
  <si>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</si>
  <si>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</si>
  <si>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</si>
  <si>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</si>
  <si>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</si>
  <si>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</si>
  <si>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</si>
  <si>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</si>
  <si>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</si>
  <si>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</si>
  <si>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</si>
  <si>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</si>
  <si>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</si>
  <si>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</si>
  <si>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</si>
  <si>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</si>
  <si>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</si>
  <si>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</si>
  <si>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</si>
  <si>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</si>
  <si>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</si>
  <si>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</si>
  <si>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</si>
  <si>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</si>
  <si>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</si>
  <si>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</si>
  <si>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</si>
  <si>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</si>
  <si>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</si>
  <si>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</si>
  <si>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</si>
  <si>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</si>
  <si>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</si>
  <si>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</si>
  <si>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</si>
  <si>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</si>
  <si>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</si>
  <si>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</si>
  <si>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</si>
  <si>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</si>
  <si>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</si>
  <si>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</si>
  <si>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</si>
  <si>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</si>
  <si>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</si>
  <si>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</si>
  <si>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</si>
  <si>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</si>
  <si>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</si>
  <si>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</si>
  <si>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</si>
  <si>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</si>
  <si>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</si>
  <si>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</si>
  <si>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</si>
  <si>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</si>
  <si>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</si>
  <si>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</si>
  <si>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</si>
  <si>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</si>
  <si>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</si>
  <si>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</si>
  <si>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</si>
  <si>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</si>
  <si>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</si>
  <si>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</si>
  <si>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</si>
  <si>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</si>
  <si>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</si>
  <si>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</si>
  <si>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</si>
  <si>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</si>
  <si>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</si>
  <si>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</si>
  <si>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</si>
  <si>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</si>
  <si>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</si>
  <si>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</si>
  <si>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</si>
  <si>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</si>
  <si>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</si>
  <si>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</si>
  <si>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</si>
  <si>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</si>
  <si>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</si>
  <si>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</si>
  <si>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</si>
  <si>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</si>
  <si>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</si>
  <si>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</si>
  <si>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</si>
  <si>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</si>
  <si>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</si>
  <si>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</si>
  <si>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</si>
  <si>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</si>
  <si>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</si>
  <si>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</si>
  <si>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</si>
  <si>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</si>
  <si>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</si>
  <si>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</si>
  <si>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</si>
  <si>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</si>
  <si>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</si>
  <si>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</si>
  <si>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</si>
  <si>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</si>
  <si>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</si>
  <si>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</si>
  <si>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</si>
  <si>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</si>
  <si>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</si>
  <si>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</si>
  <si>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</si>
  <si>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</si>
  <si>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</si>
  <si>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</si>
  <si>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</si>
  <si>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</si>
  <si>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</si>
  <si>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</si>
  <si>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</si>
  <si>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</si>
  <si>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</si>
  <si>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</si>
  <si>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</si>
  <si>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</si>
  <si>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</si>
  <si>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</si>
  <si>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</si>
  <si>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</si>
  <si>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</si>
  <si>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</si>
  <si>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</si>
  <si>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</si>
  <si>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</si>
  <si>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</si>
  <si>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</si>
  <si>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</si>
  <si>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</si>
  <si>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</si>
  <si>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</si>
  <si>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</si>
  <si>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</si>
  <si>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</si>
  <si>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</si>
  <si>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</si>
  <si>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</si>
  <si>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</si>
  <si>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</si>
  <si>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</si>
  <si>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</si>
  <si>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</si>
  <si>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</si>
  <si>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</si>
  <si>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</si>
  <si>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</si>
  <si>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</si>
  <si>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</si>
  <si>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</si>
  <si>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</si>
  <si>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</si>
  <si>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</si>
  <si>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</si>
  <si>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</si>
  <si>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</si>
  <si>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</si>
  <si>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</si>
  <si>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</si>
  <si>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</si>
  <si>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</si>
  <si>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</si>
  <si>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</si>
  <si>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</si>
  <si>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</si>
  <si>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</si>
  <si>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</si>
  <si>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</si>
  <si>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</si>
  <si>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</si>
  <si>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</si>
  <si>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</si>
  <si>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</si>
  <si>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</si>
  <si>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</si>
  <si>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</si>
  <si>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</si>
  <si>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</si>
  <si>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</si>
  <si>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</si>
  <si>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</si>
  <si>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</si>
  <si>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</si>
  <si>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</si>
  <si>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</si>
  <si>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</si>
  <si>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</si>
  <si>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</si>
  <si>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</si>
  <si>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</si>
  <si>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</si>
  <si>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</si>
  <si>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</si>
  <si>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</si>
  <si>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</si>
  <si>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</si>
  <si>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</si>
  <si>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</si>
  <si>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</si>
  <si>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</si>
  <si>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</si>
  <si>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</si>
  <si>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</si>
  <si>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</si>
  <si>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</si>
  <si>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</si>
  <si>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</si>
  <si>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</si>
  <si>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</si>
  <si>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</si>
  <si>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</si>
  <si>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</si>
  <si>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</si>
  <si>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</si>
  <si>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</si>
  <si>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</si>
  <si>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</si>
  <si>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</si>
  <si>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</si>
  <si>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</si>
  <si>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</si>
  <si>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</si>
  <si>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</si>
  <si>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</si>
  <si>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</si>
  <si>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</si>
  <si>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</si>
  <si>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</si>
  <si>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</si>
  <si>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</si>
  <si>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</si>
  <si>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</si>
  <si>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</si>
  <si>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</si>
  <si>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</si>
  <si>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</si>
  <si>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</si>
  <si>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</si>
  <si>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</si>
  <si>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</si>
  <si>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</si>
  <si>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</si>
  <si>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</si>
  <si>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</si>
  <si>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</si>
  <si>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</si>
  <si>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</si>
  <si>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</si>
  <si>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</si>
  <si>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</si>
  <si>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</si>
  <si>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</si>
  <si>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</si>
  <si>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</si>
  <si>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</si>
  <si>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</si>
  <si>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</si>
  <si>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</si>
  <si>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</si>
  <si>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</si>
  <si>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</si>
  <si>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</si>
  <si>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</si>
  <si>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</si>
  <si>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</si>
  <si>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</si>
  <si>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</si>
  <si>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</si>
  <si>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</si>
  <si>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</si>
  <si>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</si>
  <si>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</si>
  <si>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</si>
  <si>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</si>
  <si>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</si>
  <si>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</si>
  <si>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</si>
  <si>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</si>
  <si>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</si>
  <si>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</si>
  <si>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</si>
  <si>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</si>
  <si>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</si>
  <si>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</si>
  <si>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</si>
  <si>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</si>
  <si>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</si>
  <si>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</si>
  <si>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</si>
  <si>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</si>
  <si>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</si>
  <si>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</si>
  <si>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</si>
  <si>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</si>
  <si>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</si>
  <si>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</si>
  <si>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</si>
  <si>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</si>
  <si>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</si>
  <si>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</si>
  <si>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</si>
  <si>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</si>
  <si>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</si>
  <si>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</si>
  <si>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</si>
  <si>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</si>
  <si>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</si>
  <si>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</si>
  <si>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</si>
  <si>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</si>
  <si>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</si>
  <si>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</si>
  <si>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</si>
  <si>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</si>
  <si>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</si>
  <si>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</si>
  <si>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</si>
  <si>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</si>
  <si>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</si>
  <si>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</si>
  <si>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</si>
  <si>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</si>
  <si>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</si>
  <si>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</si>
  <si>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</si>
  <si>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</si>
  <si>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</si>
  <si>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</si>
  <si>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</si>
  <si>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</si>
  <si>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</si>
  <si>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</si>
  <si>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</si>
  <si>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</si>
  <si>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</si>
  <si>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</si>
  <si>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</si>
  <si>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</si>
  <si>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</si>
  <si>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</si>
  <si>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</si>
  <si>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</si>
  <si>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</si>
  <si>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</si>
  <si>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</si>
  <si>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</si>
  <si>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</si>
  <si>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</si>
  <si>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</si>
  <si>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</si>
  <si>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</si>
  <si>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</si>
  <si>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</si>
  <si>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</si>
  <si>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</si>
  <si>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</si>
  <si>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</si>
  <si>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</si>
  <si>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</si>
  <si>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</si>
  <si>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</si>
  <si>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</si>
  <si>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</si>
  <si>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</si>
  <si>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</si>
  <si>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</si>
  <si>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</si>
  <si>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</si>
  <si>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</si>
  <si>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</si>
  <si>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</si>
  <si>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</si>
  <si>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</si>
  <si>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</si>
  <si>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</si>
  <si>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</si>
  <si>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</si>
  <si>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</si>
  <si>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</si>
  <si>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</si>
  <si>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</si>
  <si>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</si>
  <si>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</si>
  <si>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</si>
  <si>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</si>
  <si>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</si>
  <si>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</si>
  <si>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</si>
  <si>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</si>
  <si>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</si>
  <si>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</si>
  <si>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</si>
  <si>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</si>
  <si>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</si>
  <si>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</si>
  <si>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</si>
  <si>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</si>
  <si>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</si>
  <si>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</si>
  <si>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</si>
  <si>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</si>
  <si>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</si>
  <si>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</si>
  <si>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</si>
  <si>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</si>
  <si>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</si>
  <si>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</si>
  <si>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</si>
  <si>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</si>
  <si>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</si>
  <si>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</si>
  <si>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</si>
  <si>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</si>
  <si>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</si>
  <si>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</si>
  <si>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</si>
  <si>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</si>
  <si>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</si>
  <si>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</si>
  <si>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</si>
  <si>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</si>
  <si>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</si>
  <si>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</si>
  <si>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</si>
  <si>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</si>
  <si>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</si>
  <si>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</si>
  <si>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</si>
  <si>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</si>
  <si>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</si>
  <si>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</si>
  <si>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</si>
  <si>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</si>
  <si>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</si>
  <si>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</si>
  <si>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</si>
  <si>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</si>
  <si>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</si>
  <si>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</si>
  <si>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</si>
  <si>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</si>
  <si>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24094</t>
  </si>
  <si>
    <t>ROTSELAAR</t>
  </si>
  <si>
    <t>Paarden&amp;pony's 200 - 600 kg</t>
  </si>
  <si>
    <t>Paarden&amp;pony's &lt; 200 kg</t>
  </si>
  <si>
    <t>referentietaak LNE (2017); Jaarverslag De Lijn (2015)</t>
  </si>
  <si>
    <t>op basis van VEA (maart 2018) en Inventaris Hernieuwbare Energiebronnen (juni 2018)</t>
  </si>
  <si>
    <t>VEA (januari 2017)</t>
  </si>
  <si>
    <t>VEA (juni 2018)</t>
  </si>
  <si>
    <t>Ward Janssen</t>
  </si>
  <si>
    <t>Guldentop 23, 3118 Werchter</t>
  </si>
  <si>
    <t>WKK-0038 Ward Janssen</t>
  </si>
  <si>
    <t>interne verbrandingsmotor</t>
  </si>
  <si>
    <t>WKK interne verbrandinsgmotor (vloeibaar)</t>
  </si>
  <si>
    <t>IVERLEK</t>
  </si>
  <si>
    <t>WKK-0730 Armonea</t>
  </si>
  <si>
    <t>WKK interne verbrandinsgmotor (gas)</t>
  </si>
  <si>
    <t>Aarschotsesteenweg 146 , 3111 Wezemaal</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</si>
</sst>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140370.28001813032</c:v>
                </c:pt>
                <c:pt idx="1">
                  <c:v>35384.530557248872</c:v>
                </c:pt>
                <c:pt idx="2">
                  <c:v>895.58299999999997</c:v>
                </c:pt>
                <c:pt idx="3">
                  <c:v>2900.515673620459</c:v>
                </c:pt>
                <c:pt idx="4">
                  <c:v>96107.121055923912</c:v>
                </c:pt>
                <c:pt idx="5">
                  <c:v>173199.83421759773</c:v>
                </c:pt>
                <c:pt idx="6">
                  <c:v>1720.0566224512622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140370.28001813032</c:v>
                </c:pt>
                <c:pt idx="1">
                  <c:v>35384.530557248872</c:v>
                </c:pt>
                <c:pt idx="2">
                  <c:v>895.58299999999997</c:v>
                </c:pt>
                <c:pt idx="3">
                  <c:v>2900.515673620459</c:v>
                </c:pt>
                <c:pt idx="4">
                  <c:v>96107.121055923912</c:v>
                </c:pt>
                <c:pt idx="5">
                  <c:v>173199.83421759773</c:v>
                </c:pt>
                <c:pt idx="6">
                  <c:v>1720.0566224512622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29616.298255407455</c:v>
                </c:pt>
                <c:pt idx="2">
                  <c:v>7089.0171722066543</c:v>
                </c:pt>
                <c:pt idx="3">
                  <c:v>187.45901363600436</c:v>
                </c:pt>
                <c:pt idx="4">
                  <c:v>742.25367377654402</c:v>
                </c:pt>
                <c:pt idx="5">
                  <c:v>18761.165708639594</c:v>
                </c:pt>
                <c:pt idx="6">
                  <c:v>44312.823425628616</c:v>
                </c:pt>
                <c:pt idx="7">
                  <c:v>445.43860906846095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798784"/>
        <c:axId val="184013568"/>
      </c:barChart>
      <c:catAx>
        <c:axId val="183798784"/>
        <c:scaling>
          <c:orientation val="minMax"/>
        </c:scaling>
        <c:axPos val="b"/>
        <c:numFmt formatCode="General" sourceLinked="0"/>
        <c:tickLblPos val="nextTo"/>
        <c:crossAx val="184013568"/>
        <c:crosses val="autoZero"/>
        <c:auto val="1"/>
        <c:lblAlgn val="ctr"/>
        <c:lblOffset val="100"/>
      </c:catAx>
      <c:valAx>
        <c:axId val="184013568"/>
        <c:scaling>
          <c:orientation val="minMax"/>
        </c:scaling>
        <c:axPos val="l"/>
        <c:majorGridlines/>
        <c:numFmt formatCode="#,##0" sourceLinked="1"/>
        <c:tickLblPos val="nextTo"/>
        <c:crossAx val="183798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29616.298255407455</c:v>
                </c:pt>
                <c:pt idx="2">
                  <c:v>7089.0171722066543</c:v>
                </c:pt>
                <c:pt idx="3">
                  <c:v>187.45901363600436</c:v>
                </c:pt>
                <c:pt idx="4">
                  <c:v>742.25367377654402</c:v>
                </c:pt>
                <c:pt idx="5">
                  <c:v>18761.165708639594</c:v>
                </c:pt>
                <c:pt idx="6">
                  <c:v>44312.823425628616</c:v>
                </c:pt>
                <c:pt idx="7">
                  <c:v>445.43860906846095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24094</v>
      </c>
      <c r="B6" s="415"/>
      <c r="C6" s="416"/>
    </row>
    <row r="7" spans="1:7" s="413" customFormat="1" ht="15.75" customHeight="1">
      <c r="A7" s="417" t="str">
        <f>txtMunicipality</f>
        <v>ROTSELAAR</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0.20931506475223891</v>
      </c>
      <c r="C17" s="524">
        <f ca="1">'EF ele_warmte'!B22</f>
        <v>0.18304543699317805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0.20931506475223891</v>
      </c>
      <c r="C29" s="525">
        <f ca="1">'EF ele_warmte'!B22</f>
        <v>0.18304543699317805</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24094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6485</v>
      </c>
      <c r="C9" s="342">
        <v>6546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931.94</v>
      </c>
    </row>
    <row r="15" spans="1:6">
      <c r="A15" s="348" t="s">
        <v>184</v>
      </c>
      <c r="B15" s="334">
        <v>1</v>
      </c>
    </row>
    <row r="16" spans="1:6">
      <c r="A16" s="348" t="s">
        <v>6</v>
      </c>
      <c r="B16" s="334">
        <v>0</v>
      </c>
    </row>
    <row r="17" spans="1:6">
      <c r="A17" s="348" t="s">
        <v>7</v>
      </c>
      <c r="B17" s="334">
        <v>60</v>
      </c>
    </row>
    <row r="18" spans="1:6">
      <c r="A18" s="348" t="s">
        <v>8</v>
      </c>
      <c r="B18" s="334">
        <v>34</v>
      </c>
    </row>
    <row r="19" spans="1:6">
      <c r="A19" s="348" t="s">
        <v>9</v>
      </c>
      <c r="B19" s="334">
        <v>29</v>
      </c>
    </row>
    <row r="20" spans="1:6">
      <c r="A20" s="348" t="s">
        <v>10</v>
      </c>
      <c r="B20" s="334">
        <v>150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241</v>
      </c>
    </row>
    <row r="27" spans="1:6">
      <c r="A27" s="348" t="s">
        <v>17</v>
      </c>
      <c r="B27" s="334">
        <v>0</v>
      </c>
    </row>
    <row r="28" spans="1:6" s="356" customFormat="1">
      <c r="A28" s="355" t="s">
        <v>18</v>
      </c>
      <c r="B28" s="355">
        <v>0</v>
      </c>
    </row>
    <row r="29" spans="1:6">
      <c r="A29" s="355" t="s">
        <v>884</v>
      </c>
      <c r="B29" s="355">
        <v>58</v>
      </c>
      <c r="C29" s="356"/>
      <c r="D29" s="356"/>
      <c r="E29" s="356"/>
      <c r="F29" s="356"/>
    </row>
    <row r="30" spans="1:6">
      <c r="A30" s="355" t="s">
        <v>885</v>
      </c>
      <c r="B30" s="341">
        <v>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42316.75</v>
      </c>
    </row>
    <row r="37" spans="1:6">
      <c r="A37" s="348" t="s">
        <v>25</v>
      </c>
      <c r="B37" s="348" t="s">
        <v>28</v>
      </c>
      <c r="C37" s="334">
        <v>0</v>
      </c>
      <c r="D37" s="334">
        <v>0</v>
      </c>
      <c r="E37" s="334">
        <v>0</v>
      </c>
      <c r="F37" s="334">
        <v>0</v>
      </c>
    </row>
    <row r="38" spans="1:6">
      <c r="A38" s="348" t="s">
        <v>25</v>
      </c>
      <c r="B38" s="348" t="s">
        <v>29</v>
      </c>
      <c r="C38" s="334">
        <v>0</v>
      </c>
      <c r="D38" s="334">
        <v>0</v>
      </c>
      <c r="E38" s="334">
        <v>3</v>
      </c>
      <c r="F38" s="334">
        <v>3979.2739130999998</v>
      </c>
    </row>
    <row r="39" spans="1:6">
      <c r="A39" s="348" t="s">
        <v>30</v>
      </c>
      <c r="B39" s="348" t="s">
        <v>31</v>
      </c>
      <c r="C39" s="334">
        <v>2832</v>
      </c>
      <c r="D39" s="334">
        <v>45466359.553999998</v>
      </c>
      <c r="E39" s="334">
        <v>6338</v>
      </c>
      <c r="F39" s="334">
        <v>25896865.302000001</v>
      </c>
    </row>
    <row r="40" spans="1:6">
      <c r="A40" s="348" t="s">
        <v>30</v>
      </c>
      <c r="B40" s="348" t="s">
        <v>29</v>
      </c>
      <c r="C40" s="334">
        <v>0</v>
      </c>
      <c r="D40" s="334">
        <v>0</v>
      </c>
      <c r="E40" s="334">
        <v>0</v>
      </c>
      <c r="F40" s="334">
        <v>0</v>
      </c>
    </row>
    <row r="41" spans="1:6">
      <c r="A41" s="348" t="s">
        <v>32</v>
      </c>
      <c r="B41" s="348" t="s">
        <v>33</v>
      </c>
      <c r="C41" s="334">
        <v>6</v>
      </c>
      <c r="D41" s="334">
        <v>124404.31643000001</v>
      </c>
      <c r="E41" s="334">
        <v>102</v>
      </c>
      <c r="F41" s="334">
        <v>1548094.4018999999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52642.340853000002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15801</v>
      </c>
    </row>
    <row r="48" spans="1:6">
      <c r="A48" s="348" t="s">
        <v>32</v>
      </c>
      <c r="B48" s="348" t="s">
        <v>29</v>
      </c>
      <c r="C48" s="334">
        <v>52</v>
      </c>
      <c r="D48" s="334">
        <v>36983218.082999997</v>
      </c>
      <c r="E48" s="334">
        <v>54</v>
      </c>
      <c r="F48" s="334">
        <v>39650180.339000002</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15</v>
      </c>
      <c r="F51" s="334">
        <v>459053.53979000001</v>
      </c>
    </row>
    <row r="52" spans="1:6">
      <c r="A52" s="348" t="s">
        <v>42</v>
      </c>
      <c r="B52" s="348" t="s">
        <v>29</v>
      </c>
      <c r="C52" s="334">
        <v>3</v>
      </c>
      <c r="D52" s="334">
        <v>88327.599904999995</v>
      </c>
      <c r="E52" s="334">
        <v>16</v>
      </c>
      <c r="F52" s="334">
        <v>125584.67062</v>
      </c>
    </row>
    <row r="53" spans="1:6">
      <c r="A53" s="348" t="s">
        <v>44</v>
      </c>
      <c r="B53" s="348" t="s">
        <v>45</v>
      </c>
      <c r="C53" s="334">
        <v>76</v>
      </c>
      <c r="D53" s="334">
        <v>1329968.0654</v>
      </c>
      <c r="E53" s="334">
        <v>206</v>
      </c>
      <c r="F53" s="334">
        <v>748735.07649000001</v>
      </c>
    </row>
    <row r="54" spans="1:6">
      <c r="A54" s="348" t="s">
        <v>46</v>
      </c>
      <c r="B54" s="348" t="s">
        <v>47</v>
      </c>
      <c r="C54" s="334">
        <v>0</v>
      </c>
      <c r="D54" s="334">
        <v>0</v>
      </c>
      <c r="E54" s="334">
        <v>1</v>
      </c>
      <c r="F54" s="334">
        <v>895583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1756590.4966</v>
      </c>
      <c r="E57" s="334">
        <v>64</v>
      </c>
      <c r="F57" s="334">
        <v>1867037.9772999999</v>
      </c>
    </row>
    <row r="58" spans="1:6">
      <c r="A58" s="348" t="s">
        <v>49</v>
      </c>
      <c r="B58" s="348" t="s">
        <v>51</v>
      </c>
      <c r="C58" s="334">
        <v>7</v>
      </c>
      <c r="D58" s="334">
        <v>155439.35558999999</v>
      </c>
      <c r="E58" s="334">
        <v>15</v>
      </c>
      <c r="F58" s="334">
        <v>149271.28229</v>
      </c>
    </row>
    <row r="59" spans="1:6">
      <c r="A59" s="348" t="s">
        <v>49</v>
      </c>
      <c r="B59" s="348" t="s">
        <v>52</v>
      </c>
      <c r="C59" s="334">
        <v>0</v>
      </c>
      <c r="D59" s="334">
        <v>0</v>
      </c>
      <c r="E59" s="334">
        <v>41</v>
      </c>
      <c r="F59" s="334">
        <v>1316630.2002000001</v>
      </c>
    </row>
    <row r="60" spans="1:6">
      <c r="A60" s="348" t="s">
        <v>49</v>
      </c>
      <c r="B60" s="348" t="s">
        <v>53</v>
      </c>
      <c r="C60" s="334">
        <v>26</v>
      </c>
      <c r="D60" s="334">
        <v>1332491.9650000001</v>
      </c>
      <c r="E60" s="334">
        <v>45</v>
      </c>
      <c r="F60" s="334">
        <v>1772385.9452</v>
      </c>
    </row>
    <row r="61" spans="1:6">
      <c r="A61" s="348" t="s">
        <v>49</v>
      </c>
      <c r="B61" s="348" t="s">
        <v>54</v>
      </c>
      <c r="C61" s="334">
        <v>55</v>
      </c>
      <c r="D61" s="334">
        <v>2833838.8138000001</v>
      </c>
      <c r="E61" s="334">
        <v>241</v>
      </c>
      <c r="F61" s="334">
        <v>2327048.3865</v>
      </c>
    </row>
    <row r="62" spans="1:6">
      <c r="A62" s="348" t="s">
        <v>49</v>
      </c>
      <c r="B62" s="348" t="s">
        <v>55</v>
      </c>
      <c r="C62" s="334">
        <v>0</v>
      </c>
      <c r="D62" s="334">
        <v>0</v>
      </c>
      <c r="E62" s="334">
        <v>4</v>
      </c>
      <c r="F62" s="334">
        <v>33362.035341000003</v>
      </c>
    </row>
    <row r="63" spans="1:6">
      <c r="A63" s="348" t="s">
        <v>49</v>
      </c>
      <c r="B63" s="348" t="s">
        <v>29</v>
      </c>
      <c r="C63" s="334">
        <v>169</v>
      </c>
      <c r="D63" s="334">
        <v>9267471.9176000003</v>
      </c>
      <c r="E63" s="334">
        <v>234</v>
      </c>
      <c r="F63" s="334">
        <v>7592921.0257000001</v>
      </c>
    </row>
    <row r="64" spans="1:6">
      <c r="A64" s="348" t="s">
        <v>56</v>
      </c>
      <c r="B64" s="348" t="s">
        <v>57</v>
      </c>
      <c r="C64" s="334">
        <v>0</v>
      </c>
      <c r="D64" s="334">
        <v>0</v>
      </c>
      <c r="E64" s="334">
        <v>0</v>
      </c>
      <c r="F64" s="334">
        <v>0</v>
      </c>
    </row>
    <row r="65" spans="1:6">
      <c r="A65" s="348" t="s">
        <v>56</v>
      </c>
      <c r="B65" s="348" t="s">
        <v>29</v>
      </c>
      <c r="C65" s="334">
        <v>1</v>
      </c>
      <c r="D65" s="334">
        <v>23090.568362000002</v>
      </c>
      <c r="E65" s="334">
        <v>5</v>
      </c>
      <c r="F65" s="334">
        <v>75473.788560000001</v>
      </c>
    </row>
    <row r="66" spans="1:6">
      <c r="A66" s="348" t="s">
        <v>56</v>
      </c>
      <c r="B66" s="348" t="s">
        <v>58</v>
      </c>
      <c r="C66" s="334">
        <v>0</v>
      </c>
      <c r="D66" s="334">
        <v>0</v>
      </c>
      <c r="E66" s="334">
        <v>5</v>
      </c>
      <c r="F66" s="334">
        <v>64079</v>
      </c>
    </row>
    <row r="67" spans="1:6">
      <c r="A67" s="355" t="s">
        <v>56</v>
      </c>
      <c r="B67" s="355" t="s">
        <v>59</v>
      </c>
      <c r="C67" s="334">
        <v>0</v>
      </c>
      <c r="D67" s="334">
        <v>0</v>
      </c>
      <c r="E67" s="334">
        <v>0</v>
      </c>
      <c r="F67" s="334">
        <v>0</v>
      </c>
    </row>
    <row r="68" spans="1:6">
      <c r="A68" s="341" t="s">
        <v>56</v>
      </c>
      <c r="B68" s="341" t="s">
        <v>60</v>
      </c>
      <c r="C68" s="334">
        <v>0</v>
      </c>
      <c r="D68" s="334">
        <v>0</v>
      </c>
      <c r="E68" s="334">
        <v>4</v>
      </c>
      <c r="F68" s="334">
        <v>79858.640962999998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84114826</v>
      </c>
      <c r="E73" s="475">
        <v>87671920.168188974</v>
      </c>
    </row>
    <row r="74" spans="1:6">
      <c r="A74" s="348" t="s">
        <v>64</v>
      </c>
      <c r="B74" s="348" t="s">
        <v>667</v>
      </c>
      <c r="C74" s="1294" t="s">
        <v>669</v>
      </c>
      <c r="D74" s="475">
        <v>5400863.1204463793</v>
      </c>
      <c r="E74" s="475">
        <v>5564533.540077148</v>
      </c>
    </row>
    <row r="75" spans="1:6">
      <c r="A75" s="348" t="s">
        <v>65</v>
      </c>
      <c r="B75" s="348" t="s">
        <v>666</v>
      </c>
      <c r="C75" s="1294" t="s">
        <v>670</v>
      </c>
      <c r="D75" s="475">
        <v>23577432</v>
      </c>
      <c r="E75" s="475">
        <v>24616902.848354887</v>
      </c>
    </row>
    <row r="76" spans="1:6">
      <c r="A76" s="348" t="s">
        <v>65</v>
      </c>
      <c r="B76" s="348" t="s">
        <v>667</v>
      </c>
      <c r="C76" s="1294" t="s">
        <v>671</v>
      </c>
      <c r="D76" s="475">
        <v>243695.12044637947</v>
      </c>
      <c r="E76" s="475">
        <v>258202.89011920081</v>
      </c>
    </row>
    <row r="77" spans="1:6">
      <c r="A77" s="348" t="s">
        <v>66</v>
      </c>
      <c r="B77" s="348" t="s">
        <v>666</v>
      </c>
      <c r="C77" s="1294" t="s">
        <v>672</v>
      </c>
      <c r="D77" s="475">
        <v>90983146</v>
      </c>
      <c r="E77" s="475">
        <v>95961295.234450281</v>
      </c>
    </row>
    <row r="78" spans="1:6">
      <c r="A78" s="341" t="s">
        <v>66</v>
      </c>
      <c r="B78" s="341" t="s">
        <v>667</v>
      </c>
      <c r="C78" s="341" t="s">
        <v>673</v>
      </c>
      <c r="D78" s="1295">
        <v>9939177</v>
      </c>
      <c r="E78" s="1295">
        <v>10256196.0723926</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461983.75910724106</v>
      </c>
      <c r="C83" s="475">
        <v>461983.75910724106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213.49112426035504</v>
      </c>
    </row>
    <row r="90" spans="1:6">
      <c r="A90" s="348" t="s">
        <v>552</v>
      </c>
      <c r="B90" s="1296">
        <v>0</v>
      </c>
    </row>
    <row r="91" spans="1:6">
      <c r="A91" s="348" t="s">
        <v>68</v>
      </c>
      <c r="B91" s="334">
        <v>3531.5380134190573</v>
      </c>
    </row>
    <row r="92" spans="1:6">
      <c r="A92" s="341" t="s">
        <v>69</v>
      </c>
      <c r="B92" s="342">
        <v>888.30499488580767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1003</v>
      </c>
    </row>
    <row r="98" spans="1:6">
      <c r="A98" s="348" t="s">
        <v>72</v>
      </c>
      <c r="B98" s="334">
        <v>4</v>
      </c>
    </row>
    <row r="99" spans="1:6">
      <c r="A99" s="348" t="s">
        <v>73</v>
      </c>
      <c r="B99" s="334">
        <v>252</v>
      </c>
    </row>
    <row r="100" spans="1:6">
      <c r="A100" s="348" t="s">
        <v>74</v>
      </c>
      <c r="B100" s="334">
        <v>479</v>
      </c>
    </row>
    <row r="101" spans="1:6">
      <c r="A101" s="348" t="s">
        <v>75</v>
      </c>
      <c r="B101" s="334">
        <v>73</v>
      </c>
    </row>
    <row r="102" spans="1:6">
      <c r="A102" s="348" t="s">
        <v>76</v>
      </c>
      <c r="B102" s="334">
        <v>50</v>
      </c>
    </row>
    <row r="103" spans="1:6">
      <c r="A103" s="348" t="s">
        <v>77</v>
      </c>
      <c r="B103" s="334">
        <v>111</v>
      </c>
    </row>
    <row r="104" spans="1:6">
      <c r="A104" s="348" t="s">
        <v>78</v>
      </c>
      <c r="B104" s="334">
        <v>3569</v>
      </c>
    </row>
    <row r="105" spans="1:6">
      <c r="A105" s="341" t="s">
        <v>79</v>
      </c>
      <c r="B105" s="341">
        <v>16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39</v>
      </c>
      <c r="C123" s="334">
        <v>28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196</v>
      </c>
    </row>
    <row r="130" spans="1:6">
      <c r="A130" s="348" t="s">
        <v>295</v>
      </c>
      <c r="B130" s="334">
        <v>1</v>
      </c>
    </row>
    <row r="131" spans="1:6">
      <c r="A131" s="348" t="s">
        <v>296</v>
      </c>
      <c r="B131" s="334">
        <v>0</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88206.291185619339</v>
      </c>
      <c r="C3" s="43" t="s">
        <v>170</v>
      </c>
      <c r="D3" s="43"/>
      <c r="E3" s="154"/>
      <c r="F3" s="43"/>
      <c r="G3" s="43"/>
      <c r="H3" s="43"/>
      <c r="I3" s="43"/>
      <c r="J3" s="43"/>
      <c r="K3" s="96"/>
    </row>
    <row r="4" spans="1:11">
      <c r="A4" s="383" t="s">
        <v>171</v>
      </c>
      <c r="B4" s="49">
        <f>IF(ISERROR('SEAP template'!B78+'SEAP template'!C78),0,'SEAP template'!B78+'SEAP template'!C78)</f>
        <v>4810.33413256522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32.399042347792516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0.20931506475223891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43.783814795064643</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239.19642857142858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0.18304543699317805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895.58299999999997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895.58299999999997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0.20931506475223891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187.45901363600436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25896.865302000002</v>
      </c>
      <c r="C5" s="17">
        <f>IF(ISERROR('Eigen informatie GS &amp; warmtenet'!B57),0,'Eigen informatie GS &amp; warmtenet'!B57)</f>
        <v>0</v>
      </c>
      <c r="D5" s="30">
        <f>(SUM(HH_hh_gas_kWh,HH_rest_gas_kWh)/1000)*0.902</f>
        <v>41010.656317707995</v>
      </c>
      <c r="E5" s="17">
        <f>B46*B57</f>
        <v>11782.940556526151</v>
      </c>
      <c r="F5" s="17">
        <f>B51*B62</f>
        <v>46807.528192423451</v>
      </c>
      <c r="G5" s="18"/>
      <c r="H5" s="17"/>
      <c r="I5" s="17"/>
      <c r="J5" s="17">
        <f>B50*B61+C50*C61</f>
        <v>0</v>
      </c>
      <c r="K5" s="17"/>
      <c r="L5" s="17"/>
      <c r="M5" s="17"/>
      <c r="N5" s="17">
        <f>B48*B59+C48*C59</f>
        <v>9694.0316360536744</v>
      </c>
      <c r="O5" s="17">
        <f>B69*B70*B71</f>
        <v>350.18666666666672</v>
      </c>
      <c r="P5" s="17">
        <f>B77*B78*B79/1000-B77*B78*B79/1000/B80</f>
        <v>1296.5333333333333</v>
      </c>
    </row>
    <row r="6" spans="1:16">
      <c r="A6" s="16" t="s">
        <v>624</v>
      </c>
      <c r="B6" s="788">
        <f>kWh_PV_kleiner_dan_10kW</f>
        <v>3531.5380134190573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29428.403315419058</v>
      </c>
      <c r="C8" s="21">
        <f>C5</f>
        <v>0</v>
      </c>
      <c r="D8" s="21">
        <f>D5</f>
        <v>41010.656317707995</v>
      </c>
      <c r="E8" s="21">
        <f>E5</f>
        <v>11782.940556526151</v>
      </c>
      <c r="F8" s="21">
        <f>F5</f>
        <v>46807.528192423451</v>
      </c>
      <c r="G8" s="21"/>
      <c r="H8" s="21"/>
      <c r="I8" s="21"/>
      <c r="J8" s="21">
        <f>J5</f>
        <v>0</v>
      </c>
      <c r="K8" s="21"/>
      <c r="L8" s="21">
        <f>L5</f>
        <v>0</v>
      </c>
      <c r="M8" s="21">
        <f>M5</f>
        <v>0</v>
      </c>
      <c r="N8" s="21">
        <f>N5</f>
        <v>9694.0316360536744</v>
      </c>
      <c r="O8" s="21">
        <f>O5</f>
        <v>350.18666666666672</v>
      </c>
      <c r="P8" s="21">
        <f>P5</f>
        <v>1296.5333333333333</v>
      </c>
    </row>
    <row r="9" spans="1:16">
      <c r="B9" s="19"/>
      <c r="C9" s="19"/>
      <c r="D9" s="258"/>
      <c r="E9" s="19"/>
      <c r="F9" s="19"/>
      <c r="G9" s="19"/>
      <c r="H9" s="19"/>
      <c r="I9" s="19"/>
      <c r="J9" s="19"/>
      <c r="K9" s="19"/>
      <c r="L9" s="19"/>
      <c r="M9" s="19"/>
      <c r="N9" s="19"/>
      <c r="O9" s="19"/>
      <c r="P9" s="19"/>
    </row>
    <row r="10" spans="1:16">
      <c r="A10" s="24" t="s">
        <v>214</v>
      </c>
      <c r="B10" s="25">
        <f ca="1">'EF ele_warmte'!B12</f>
        <v>0.20931506475223891</v>
      </c>
      <c r="C10" s="25">
        <f ca="1">'EF ele_warmte'!B22</f>
        <v>0.18304543699317805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6159.8081455219426</v>
      </c>
      <c r="C12" s="23">
        <f ca="1">C10*C8</f>
        <v>0</v>
      </c>
      <c r="D12" s="23">
        <f>D8*D10</f>
        <v>8284.1525761770154</v>
      </c>
      <c r="E12" s="23">
        <f>E10*E8</f>
        <v>2674.7275063314364</v>
      </c>
      <c r="F12" s="23">
        <f>F10*F8</f>
        <v>12497.610027377063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1003</v>
      </c>
      <c r="C18" s="166" t="s">
        <v>111</v>
      </c>
      <c r="D18" s="228"/>
      <c r="E18" s="15"/>
    </row>
    <row r="19" spans="1:7">
      <c r="A19" s="171" t="s">
        <v>72</v>
      </c>
      <c r="B19" s="37">
        <f>aantalw2001_ander</f>
        <v>4</v>
      </c>
      <c r="C19" s="166" t="s">
        <v>111</v>
      </c>
      <c r="D19" s="229"/>
      <c r="E19" s="15"/>
    </row>
    <row r="20" spans="1:7">
      <c r="A20" s="171" t="s">
        <v>73</v>
      </c>
      <c r="B20" s="37">
        <f>aantalw2001_propaan</f>
        <v>252</v>
      </c>
      <c r="C20" s="167">
        <f>IF(ISERROR(B20/SUM($B$20,$B$21,$B$22)*100),0,B20/SUM($B$20,$B$21,$B$22)*100)</f>
        <v>31.343283582089555</v>
      </c>
      <c r="D20" s="229"/>
      <c r="E20" s="15"/>
    </row>
    <row r="21" spans="1:7">
      <c r="A21" s="171" t="s">
        <v>74</v>
      </c>
      <c r="B21" s="37">
        <f>aantalw2001_elektriciteit</f>
        <v>479</v>
      </c>
      <c r="C21" s="167">
        <f>IF(ISERROR(B21/SUM($B$20,$B$21,$B$22)*100),0,B21/SUM($B$20,$B$21,$B$22)*100)</f>
        <v>59.5771144278607</v>
      </c>
      <c r="D21" s="229"/>
      <c r="E21" s="15"/>
    </row>
    <row r="22" spans="1:7">
      <c r="A22" s="171" t="s">
        <v>75</v>
      </c>
      <c r="B22" s="37">
        <f>aantalw2001_hout</f>
        <v>73</v>
      </c>
      <c r="C22" s="167">
        <f>IF(ISERROR(B22/SUM($B$20,$B$21,$B$22)*100),0,B22/SUM($B$20,$B$21,$B$22)*100)</f>
        <v>9.0796019900497509</v>
      </c>
      <c r="D22" s="229"/>
      <c r="E22" s="15"/>
    </row>
    <row r="23" spans="1:7">
      <c r="A23" s="171" t="s">
        <v>76</v>
      </c>
      <c r="B23" s="37">
        <f>aantalw2001_niet_gespec</f>
        <v>50</v>
      </c>
      <c r="C23" s="166" t="s">
        <v>111</v>
      </c>
      <c r="D23" s="228"/>
      <c r="E23" s="15"/>
    </row>
    <row r="24" spans="1:7">
      <c r="A24" s="171" t="s">
        <v>77</v>
      </c>
      <c r="B24" s="37">
        <f>aantalw2001_steenkool</f>
        <v>111</v>
      </c>
      <c r="C24" s="166" t="s">
        <v>111</v>
      </c>
      <c r="D24" s="229"/>
      <c r="E24" s="15"/>
    </row>
    <row r="25" spans="1:7">
      <c r="A25" s="171" t="s">
        <v>78</v>
      </c>
      <c r="B25" s="37">
        <f>aantalw2001_stookolie</f>
        <v>3569</v>
      </c>
      <c r="C25" s="166" t="s">
        <v>111</v>
      </c>
      <c r="D25" s="228"/>
      <c r="E25" s="52"/>
    </row>
    <row r="26" spans="1:7">
      <c r="A26" s="171" t="s">
        <v>79</v>
      </c>
      <c r="B26" s="37">
        <f>aantalw2001_WP</f>
        <v>16</v>
      </c>
      <c r="C26" s="166" t="s">
        <v>111</v>
      </c>
      <c r="D26" s="228"/>
      <c r="E26" s="15"/>
    </row>
    <row r="27" spans="1:7" s="15" customFormat="1">
      <c r="A27" s="171"/>
      <c r="B27" s="29"/>
      <c r="C27" s="36"/>
      <c r="D27" s="228"/>
    </row>
    <row r="28" spans="1:7" s="15" customFormat="1">
      <c r="A28" s="230" t="s">
        <v>698</v>
      </c>
      <c r="B28" s="37">
        <f>aantalHuishoudens2011</f>
        <v>6485</v>
      </c>
      <c r="C28" s="36"/>
      <c r="D28" s="228"/>
    </row>
    <row r="29" spans="1:7" s="15" customFormat="1">
      <c r="A29" s="230" t="s">
        <v>699</v>
      </c>
      <c r="B29" s="37">
        <f>SUM(HH_hh_gas_aantal,HH_rest_gas_aantal)</f>
        <v>2832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2832</v>
      </c>
      <c r="C32" s="167">
        <f>IF(ISERROR(B32/SUM($B$32,$B$34,$B$35,$B$36,$B$38,$B$39)*100),0,B32/SUM($B$32,$B$34,$B$35,$B$36,$B$38,$B$39)*100)</f>
        <v>44.13277232351566</v>
      </c>
      <c r="D32" s="233"/>
      <c r="G32" s="15"/>
    </row>
    <row r="33" spans="1:7">
      <c r="A33" s="171" t="s">
        <v>72</v>
      </c>
      <c r="B33" s="34" t="s">
        <v>111</v>
      </c>
      <c r="C33" s="167"/>
      <c r="D33" s="233"/>
      <c r="G33" s="15"/>
    </row>
    <row r="34" spans="1:7">
      <c r="A34" s="171" t="s">
        <v>73</v>
      </c>
      <c r="B34" s="33">
        <f>IF((($B$28-$B$32-$B$39-$B$77-$B$38)*C20/100)&lt;0,0,($B$28-$B$32-$B$39-$B$77-$B$38)*C20/100)</f>
        <v>520.95671641791046</v>
      </c>
      <c r="C34" s="167">
        <f>IF(ISERROR(B34/SUM($B$32,$B$34,$B$35,$B$36,$B$38,$B$39)*100),0,B34/SUM($B$32,$B$34,$B$35,$B$36,$B$38,$B$39)*100)</f>
        <v>8.1183842359032319</v>
      </c>
      <c r="D34" s="233"/>
      <c r="G34" s="15"/>
    </row>
    <row r="35" spans="1:7">
      <c r="A35" s="171" t="s">
        <v>74</v>
      </c>
      <c r="B35" s="33">
        <f>IF((($B$28-$B$32-$B$39-$B$77-$B$38)*C21/100)&lt;0,0,($B$28-$B$32-$B$39-$B$77-$B$38)*C21/100)</f>
        <v>990.23121890547282</v>
      </c>
      <c r="C35" s="167">
        <f>IF(ISERROR(B35/SUM($B$32,$B$34,$B$35,$B$36,$B$38,$B$39)*100),0,B35/SUM($B$32,$B$34,$B$35,$B$36,$B$38,$B$39)*100)</f>
        <v>15.431373210308132</v>
      </c>
      <c r="D35" s="233"/>
      <c r="G35" s="15"/>
    </row>
    <row r="36" spans="1:7">
      <c r="A36" s="171" t="s">
        <v>75</v>
      </c>
      <c r="B36" s="33">
        <f>IF((($B$28-$B$32-$B$39-$B$77-$B$38)*C22/100)&lt;0,0,($B$28-$B$32-$B$39-$B$77-$B$38)*C22/100)</f>
        <v>150.91206467661692</v>
      </c>
      <c r="C36" s="167">
        <f>IF(ISERROR(B36/SUM($B$32,$B$34,$B$35,$B$36,$B$38,$B$39)*100),0,B36/SUM($B$32,$B$34,$B$35,$B$36,$B$38,$B$39)*100)</f>
        <v>2.3517541635751429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1922.8999999999999</v>
      </c>
      <c r="C39" s="167">
        <f>IF(ISERROR(B39/SUM($B$32,$B$34,$B$35,$B$36,$B$38,$B$39)*100),0,B39/SUM($B$32,$B$34,$B$35,$B$36,$B$38,$B$39)*100)</f>
        <v>29.965716066697833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2832</v>
      </c>
      <c r="C44" s="34" t="s">
        <v>111</v>
      </c>
      <c r="D44" s="174"/>
    </row>
    <row r="45" spans="1:7">
      <c r="A45" s="171" t="s">
        <v>72</v>
      </c>
      <c r="B45" s="33" t="str">
        <f t="shared" si="0"/>
        <v>-</v>
      </c>
      <c r="C45" s="34" t="s">
        <v>111</v>
      </c>
      <c r="D45" s="174"/>
    </row>
    <row r="46" spans="1:7">
      <c r="A46" s="171" t="s">
        <v>73</v>
      </c>
      <c r="B46" s="33">
        <f t="shared" si="0"/>
        <v>520.95671641791046</v>
      </c>
      <c r="C46" s="34" t="s">
        <v>111</v>
      </c>
      <c r="D46" s="174"/>
    </row>
    <row r="47" spans="1:7">
      <c r="A47" s="171" t="s">
        <v>74</v>
      </c>
      <c r="B47" s="33">
        <f t="shared" si="0"/>
        <v>990.23121890547282</v>
      </c>
      <c r="C47" s="34" t="s">
        <v>111</v>
      </c>
      <c r="D47" s="174"/>
    </row>
    <row r="48" spans="1:7">
      <c r="A48" s="171" t="s">
        <v>75</v>
      </c>
      <c r="B48" s="33">
        <f t="shared" si="0"/>
        <v>150.91206467661692</v>
      </c>
      <c r="C48" s="33">
        <f>B48*10</f>
        <v>1509.1206467661691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1922.8999999999999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15058.656852531001</v>
      </c>
      <c r="C5" s="17">
        <f>IF(ISERROR('Eigen informatie GS &amp; warmtenet'!B58),0,'Eigen informatie GS &amp; warmtenet'!B58)</f>
        <v>0</v>
      </c>
      <c r="D5" s="30">
        <f>SUM(D6:D12)</f>
        <v>13841.940958828181</v>
      </c>
      <c r="E5" s="17">
        <f>SUM(E6:E12)</f>
        <v>267.24428714344367</v>
      </c>
      <c r="F5" s="17">
        <f>SUM(F6:F12)</f>
        <v>4028.5662436673124</v>
      </c>
      <c r="G5" s="18"/>
      <c r="H5" s="17"/>
      <c r="I5" s="17"/>
      <c r="J5" s="17">
        <f>SUM(J6:J12)</f>
        <v>0</v>
      </c>
      <c r="K5" s="17"/>
      <c r="L5" s="17"/>
      <c r="M5" s="17"/>
      <c r="N5" s="17">
        <f>SUM(N6:N12)</f>
        <v>2147.5053103170258</v>
      </c>
      <c r="O5" s="17">
        <f>B38*B39*B40</f>
        <v>1.5633333333333335</v>
      </c>
      <c r="P5" s="17">
        <f>B46*B47*B48/1000-B46*B47*B48/1000/B49</f>
        <v>0</v>
      </c>
      <c r="R5" s="32"/>
    </row>
    <row r="6" spans="1:18">
      <c r="A6" s="32" t="s">
        <v>54</v>
      </c>
      <c r="B6" s="37">
        <f>B26</f>
        <v>2327.0483865000001</v>
      </c>
      <c r="C6" s="33"/>
      <c r="D6" s="37">
        <f>IF(ISERROR(TER_kantoor_gas_kWh/1000),0,TER_kantoor_gas_kWh/1000)*0.902</f>
        <v>2556.1226100476001</v>
      </c>
      <c r="E6" s="33">
        <f>$C$26*'E Balans VL '!I12/100/3.6*1000000</f>
        <v>30.463929887241978</v>
      </c>
      <c r="F6" s="33">
        <f>$C$26*('E Balans VL '!L12+'E Balans VL '!N12)/100/3.6*1000000</f>
        <v>593.37329173774049</v>
      </c>
      <c r="G6" s="34"/>
      <c r="H6" s="33"/>
      <c r="I6" s="33"/>
      <c r="J6" s="33">
        <f>$C$26*('E Balans VL '!D12+'E Balans VL '!E12)/100/3.6*1000000</f>
        <v>0</v>
      </c>
      <c r="K6" s="33"/>
      <c r="L6" s="33"/>
      <c r="M6" s="33"/>
      <c r="N6" s="33">
        <f>$C$26*'E Balans VL '!Y12/100/3.6*1000000</f>
        <v>2.3348845972982901</v>
      </c>
      <c r="O6" s="33"/>
      <c r="P6" s="33"/>
      <c r="R6" s="32"/>
    </row>
    <row r="7" spans="1:18">
      <c r="A7" s="32" t="s">
        <v>53</v>
      </c>
      <c r="B7" s="37">
        <f t="shared" ref="B7:B12" si="0">B27</f>
        <v>1772.3859451999999</v>
      </c>
      <c r="C7" s="33"/>
      <c r="D7" s="37">
        <f>IF(ISERROR(TER_horeca_gas_kWh/1000),0,TER_horeca_gas_kWh/1000)*0.902</f>
        <v>1201.9077524300001</v>
      </c>
      <c r="E7" s="33">
        <f>$C$27*'E Balans VL '!I9/100/3.6*1000000</f>
        <v>58.655193724076227</v>
      </c>
      <c r="F7" s="33">
        <f>$C$27*('E Balans VL '!L9+'E Balans VL '!N9)/100/3.6*1000000</f>
        <v>762.11916383028176</v>
      </c>
      <c r="G7" s="34"/>
      <c r="H7" s="33"/>
      <c r="I7" s="33"/>
      <c r="J7" s="33">
        <f>$C$27*('E Balans VL '!D9+'E Balans VL '!E9)/100/3.6*1000000</f>
        <v>0</v>
      </c>
      <c r="K7" s="33"/>
      <c r="L7" s="33"/>
      <c r="M7" s="33"/>
      <c r="N7" s="33">
        <f>$C$27*'E Balans VL '!Y9/100/3.6*1000000</f>
        <v>0.42663903487806071</v>
      </c>
      <c r="O7" s="33"/>
      <c r="P7" s="33"/>
      <c r="R7" s="32"/>
    </row>
    <row r="8" spans="1:18">
      <c r="A8" s="6" t="s">
        <v>52</v>
      </c>
      <c r="B8" s="37">
        <f t="shared" si="0"/>
        <v>1316.6302002</v>
      </c>
      <c r="C8" s="33"/>
      <c r="D8" s="37">
        <f>IF(ISERROR(TER_handel_gas_kWh/1000),0,TER_handel_gas_kWh/1000)*0.902</f>
        <v>0</v>
      </c>
      <c r="E8" s="33">
        <f>$C$28*'E Balans VL '!I13/100/3.6*1000000</f>
        <v>41.554860869374949</v>
      </c>
      <c r="F8" s="33">
        <f>$C$28*('E Balans VL '!L13+'E Balans VL '!N13)/100/3.6*1000000</f>
        <v>258.21436667762924</v>
      </c>
      <c r="G8" s="34"/>
      <c r="H8" s="33"/>
      <c r="I8" s="33"/>
      <c r="J8" s="33">
        <f>$C$28*('E Balans VL '!D13+'E Balans VL '!E13)/100/3.6*1000000</f>
        <v>0</v>
      </c>
      <c r="K8" s="33"/>
      <c r="L8" s="33"/>
      <c r="M8" s="33"/>
      <c r="N8" s="33">
        <f>$C$28*'E Balans VL '!Y13/100/3.6*1000000</f>
        <v>1.5625844270221489</v>
      </c>
      <c r="O8" s="33"/>
      <c r="P8" s="33"/>
      <c r="R8" s="32"/>
    </row>
    <row r="9" spans="1:18">
      <c r="A9" s="32" t="s">
        <v>51</v>
      </c>
      <c r="B9" s="37">
        <f t="shared" si="0"/>
        <v>149.27128229000002</v>
      </c>
      <c r="C9" s="33"/>
      <c r="D9" s="37">
        <f>IF(ISERROR(TER_gezond_gas_kWh/1000),0,TER_gezond_gas_kWh/1000)*0.902</f>
        <v>140.20629874218</v>
      </c>
      <c r="E9" s="33">
        <f>$C$29*'E Balans VL '!I10/100/3.6*1000000</f>
        <v>1.9111090967591528E-2</v>
      </c>
      <c r="F9" s="33">
        <f>$C$29*('E Balans VL '!L10+'E Balans VL '!N10)/100/3.6*1000000</f>
        <v>31.099464633817608</v>
      </c>
      <c r="G9" s="34"/>
      <c r="H9" s="33"/>
      <c r="I9" s="33"/>
      <c r="J9" s="33">
        <f>$C$29*('E Balans VL '!D10+'E Balans VL '!E10)/100/3.6*1000000</f>
        <v>0</v>
      </c>
      <c r="K9" s="33"/>
      <c r="L9" s="33"/>
      <c r="M9" s="33"/>
      <c r="N9" s="33">
        <f>$C$29*'E Balans VL '!Y10/100/3.6*1000000</f>
        <v>1.7532617653796165</v>
      </c>
      <c r="O9" s="33"/>
      <c r="P9" s="33"/>
      <c r="R9" s="32"/>
    </row>
    <row r="10" spans="1:18">
      <c r="A10" s="32" t="s">
        <v>50</v>
      </c>
      <c r="B10" s="37">
        <f t="shared" si="0"/>
        <v>1867.0379773</v>
      </c>
      <c r="C10" s="33"/>
      <c r="D10" s="37">
        <f>IF(ISERROR(TER_ander_gas_kWh/1000),0,TER_ander_gas_kWh/1000)*0.902</f>
        <v>1584.4446279332001</v>
      </c>
      <c r="E10" s="33">
        <f>$C$30*'E Balans VL '!I14/100/3.6*1000000</f>
        <v>2.807586054775598</v>
      </c>
      <c r="F10" s="33">
        <f>$C$30*('E Balans VL '!L14+'E Balans VL '!N14)/100/3.6*1000000</f>
        <v>412.18180217108124</v>
      </c>
      <c r="G10" s="34"/>
      <c r="H10" s="33"/>
      <c r="I10" s="33"/>
      <c r="J10" s="33">
        <f>$C$30*('E Balans VL '!D14+'E Balans VL '!E14)/100/3.6*1000000</f>
        <v>0</v>
      </c>
      <c r="K10" s="33"/>
      <c r="L10" s="33"/>
      <c r="M10" s="33"/>
      <c r="N10" s="33">
        <f>$C$30*'E Balans VL '!Y14/100/3.6*1000000</f>
        <v>1471.3515730309116</v>
      </c>
      <c r="O10" s="33"/>
      <c r="P10" s="33"/>
      <c r="R10" s="32"/>
    </row>
    <row r="11" spans="1:18">
      <c r="A11" s="32" t="s">
        <v>55</v>
      </c>
      <c r="B11" s="37">
        <f t="shared" si="0"/>
        <v>33.362035341000002</v>
      </c>
      <c r="C11" s="33"/>
      <c r="D11" s="37">
        <f>IF(ISERROR(TER_onderwijs_gas_kWh/1000),0,TER_onderwijs_gas_kWh/1000)*0.902</f>
        <v>0</v>
      </c>
      <c r="E11" s="33">
        <f>$C$31*'E Balans VL '!I11/100/3.6*1000000</f>
        <v>5.8753339964398757E-2</v>
      </c>
      <c r="F11" s="33">
        <f>$C$31*('E Balans VL '!L11+'E Balans VL '!N11)/100/3.6*1000000</f>
        <v>15.403855401970745</v>
      </c>
      <c r="G11" s="34"/>
      <c r="H11" s="33"/>
      <c r="I11" s="33"/>
      <c r="J11" s="33">
        <f>$C$31*('E Balans VL '!D11+'E Balans VL '!E11)/100/3.6*1000000</f>
        <v>0</v>
      </c>
      <c r="K11" s="33"/>
      <c r="L11" s="33"/>
      <c r="M11" s="33"/>
      <c r="N11" s="33">
        <f>$C$31*'E Balans VL '!Y11/100/3.6*1000000</f>
        <v>6.2153933196487078E-2</v>
      </c>
      <c r="O11" s="33"/>
      <c r="P11" s="33"/>
      <c r="R11" s="32"/>
    </row>
    <row r="12" spans="1:18">
      <c r="A12" s="32" t="s">
        <v>260</v>
      </c>
      <c r="B12" s="37">
        <f t="shared" si="0"/>
        <v>7592.9210257000004</v>
      </c>
      <c r="C12" s="33"/>
      <c r="D12" s="37">
        <f>IF(ISERROR(TER_rest_gas_kWh/1000),0,TER_rest_gas_kWh/1000)*0.902</f>
        <v>8359.2596696752007</v>
      </c>
      <c r="E12" s="33">
        <f>$C$32*'E Balans VL '!I8/100/3.6*1000000</f>
        <v>133.68485217704293</v>
      </c>
      <c r="F12" s="33">
        <f>$C$32*('E Balans VL '!L8+'E Balans VL '!N8)/100/3.6*1000000</f>
        <v>1956.1742992147915</v>
      </c>
      <c r="G12" s="34"/>
      <c r="H12" s="33"/>
      <c r="I12" s="33"/>
      <c r="J12" s="33">
        <f>$C$32*('E Balans VL '!D8+'E Balans VL '!E8)/100/3.6*1000000</f>
        <v>0</v>
      </c>
      <c r="K12" s="33"/>
      <c r="L12" s="33"/>
      <c r="M12" s="33"/>
      <c r="N12" s="33">
        <f>$C$32*'E Balans VL '!Y8/100/3.6*1000000</f>
        <v>670.01421352833927</v>
      </c>
      <c r="O12" s="33"/>
      <c r="P12" s="33"/>
      <c r="R12" s="32"/>
    </row>
    <row r="13" spans="1:18">
      <c r="A13" s="16" t="s">
        <v>491</v>
      </c>
      <c r="B13" s="247">
        <f ca="1">'lokale energieproductie'!N91+'lokale energieproductie'!N60</f>
        <v>177</v>
      </c>
      <c r="C13" s="247">
        <f ca="1">'lokale energieproductie'!O91+'lokale energieproductie'!O60</f>
        <v>239.19642857142858</v>
      </c>
      <c r="D13" s="310">
        <f ca="1">('lokale energieproductie'!P60+'lokale energieproductie'!P91)*(-1)</f>
        <v>-377.14285714285717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-112.5</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15235.656852531001</v>
      </c>
      <c r="C16" s="21">
        <f t="shared" ca="1" si="1"/>
        <v>239.19642857142858</v>
      </c>
      <c r="D16" s="21">
        <f t="shared" ca="1" si="1"/>
        <v>13464.798101685325</v>
      </c>
      <c r="E16" s="21">
        <f t="shared" si="1"/>
        <v>267.24428714344367</v>
      </c>
      <c r="F16" s="21">
        <f t="shared" ca="1" si="1"/>
        <v>4028.5662436673124</v>
      </c>
      <c r="G16" s="21">
        <f t="shared" si="1"/>
        <v>0</v>
      </c>
      <c r="H16" s="21">
        <f t="shared" si="1"/>
        <v>0</v>
      </c>
      <c r="I16" s="21">
        <f t="shared" si="1"/>
        <v>0</v>
      </c>
      <c r="J16" s="21">
        <f t="shared" si="1"/>
        <v>0</v>
      </c>
      <c r="K16" s="21">
        <f t="shared" si="1"/>
        <v>0</v>
      </c>
      <c r="L16" s="21">
        <f t="shared" ca="1" si="1"/>
        <v>0</v>
      </c>
      <c r="M16" s="21">
        <f t="shared" si="1"/>
        <v>0</v>
      </c>
      <c r="N16" s="21">
        <f t="shared" ca="1" si="1"/>
        <v>2147.5053103170258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0.20931506475223891</v>
      </c>
      <c r="C18" s="25">
        <f ca="1">'EF ele_warmte'!B22</f>
        <v>0.18304543699317805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3189.0525006304188</v>
      </c>
      <c r="C20" s="23">
        <f t="shared" ref="C20:P20" ca="1" si="2">C16*C18</f>
        <v>43.783814795064643</v>
      </c>
      <c r="D20" s="23">
        <f t="shared" ca="1" si="2"/>
        <v>2719.8892165404359</v>
      </c>
      <c r="E20" s="23">
        <f t="shared" si="2"/>
        <v>60.664453181561719</v>
      </c>
      <c r="F20" s="23">
        <f t="shared" ca="1" si="2"/>
        <v>1075.6271870591725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2327.0483865000001</v>
      </c>
      <c r="C26" s="39">
        <f>IF(ISERROR(B26*3.6/1000000/'E Balans VL '!Z12*100),0,B26*3.6/1000000/'E Balans VL '!Z12*100)</f>
        <v>4.9847184252326066E-2</v>
      </c>
      <c r="D26" s="237" t="s">
        <v>660</v>
      </c>
      <c r="F26" s="6"/>
    </row>
    <row r="27" spans="1:18">
      <c r="A27" s="231" t="s">
        <v>53</v>
      </c>
      <c r="B27" s="33">
        <f>IF(ISERROR(TER_horeca_ele_kWh/1000),0,TER_horeca_ele_kWh/1000)</f>
        <v>1772.3859451999999</v>
      </c>
      <c r="C27" s="39">
        <f>IF(ISERROR(B27*3.6/1000000/'E Balans VL '!Z9*100),0,B27*3.6/1000000/'E Balans VL '!Z9*100)</f>
        <v>0.14222781135163831</v>
      </c>
      <c r="D27" s="237" t="s">
        <v>660</v>
      </c>
      <c r="F27" s="6"/>
    </row>
    <row r="28" spans="1:18">
      <c r="A28" s="171" t="s">
        <v>52</v>
      </c>
      <c r="B28" s="33">
        <f>IF(ISERROR(TER_handel_ele_kWh/1000),0,TER_handel_ele_kWh/1000)</f>
        <v>1316.6302002</v>
      </c>
      <c r="C28" s="39">
        <f>IF(ISERROR(B28*3.6/1000000/'E Balans VL '!Z13*100),0,B28*3.6/1000000/'E Balans VL '!Z13*100)</f>
        <v>3.8833039016292058E-2</v>
      </c>
      <c r="D28" s="237" t="s">
        <v>660</v>
      </c>
      <c r="F28" s="6"/>
    </row>
    <row r="29" spans="1:18">
      <c r="A29" s="231" t="s">
        <v>51</v>
      </c>
      <c r="B29" s="33">
        <f>IF(ISERROR(TER_gezond_ele_kWh/1000),0,TER_gezond_ele_kWh/1000)</f>
        <v>149.27128229000002</v>
      </c>
      <c r="C29" s="39">
        <f>IF(ISERROR(B29*3.6/1000000/'E Balans VL '!Z10*100),0,B29*3.6/1000000/'E Balans VL '!Z10*100)</f>
        <v>1.5938170835415801E-2</v>
      </c>
      <c r="D29" s="237" t="s">
        <v>660</v>
      </c>
      <c r="F29" s="6"/>
    </row>
    <row r="30" spans="1:18">
      <c r="A30" s="231" t="s">
        <v>50</v>
      </c>
      <c r="B30" s="33">
        <f>IF(ISERROR(TER_ander_ele_kWh/1000),0,TER_ander_ele_kWh/1000)</f>
        <v>1867.0379773</v>
      </c>
      <c r="C30" s="39">
        <f>IF(ISERROR(B30*3.6/1000000/'E Balans VL '!Z14*100),0,B30*3.6/1000000/'E Balans VL '!Z14*100)</f>
        <v>0.141024709987875</v>
      </c>
      <c r="D30" s="237" t="s">
        <v>660</v>
      </c>
      <c r="F30" s="6"/>
    </row>
    <row r="31" spans="1:18">
      <c r="A31" s="231" t="s">
        <v>55</v>
      </c>
      <c r="B31" s="33">
        <f>IF(ISERROR(TER_onderwijs_ele_kWh/1000),0,TER_onderwijs_ele_kWh/1000)</f>
        <v>33.362035341000002</v>
      </c>
      <c r="C31" s="39">
        <f>IF(ISERROR(B31*3.6/1000000/'E Balans VL '!Z11*100),0,B31*3.6/1000000/'E Balans VL '!Z11*100)</f>
        <v>6.7369086461264308E-3</v>
      </c>
      <c r="D31" s="237" t="s">
        <v>660</v>
      </c>
    </row>
    <row r="32" spans="1:18">
      <c r="A32" s="231" t="s">
        <v>260</v>
      </c>
      <c r="B32" s="33">
        <f>IF(ISERROR(TER_rest_ele_kWh/1000),0,TER_rest_ele_kWh/1000)</f>
        <v>7592.9210257000004</v>
      </c>
      <c r="C32" s="39">
        <f>IF(ISERROR(B32*3.6/1000000/'E Balans VL '!Z8*100),0,B32*3.6/1000000/'E Balans VL '!Z8*100)</f>
        <v>6.2955888369305921E-2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41266.718081752995</v>
      </c>
      <c r="C5" s="17">
        <f>IF(ISERROR('Eigen informatie GS &amp; warmtenet'!B59),0,'Eigen informatie GS &amp; warmtenet'!B59)</f>
        <v>0</v>
      </c>
      <c r="D5" s="30">
        <f>SUM(D6:D15)</f>
        <v>33471.075404285861</v>
      </c>
      <c r="E5" s="17">
        <f>SUM(E6:E15)</f>
        <v>2548.9305359025243</v>
      </c>
      <c r="F5" s="17">
        <f>SUM(F6:F15)</f>
        <v>9998.0832135733581</v>
      </c>
      <c r="G5" s="18"/>
      <c r="H5" s="17"/>
      <c r="I5" s="17"/>
      <c r="J5" s="17">
        <f>SUM(J6:J15)</f>
        <v>322.50638391348696</v>
      </c>
      <c r="K5" s="17"/>
      <c r="L5" s="17"/>
      <c r="M5" s="17"/>
      <c r="N5" s="17">
        <f>SUM(N6:N15)</f>
        <v>8499.8074364956829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52.642340853</v>
      </c>
      <c r="C8" s="33"/>
      <c r="D8" s="37">
        <f>IF( ISERROR(IND_metaal_Gas_kWH/1000),0,IND_metaal_Gas_kWH/1000)*0.902</f>
        <v>0</v>
      </c>
      <c r="E8" s="33">
        <f>C30*'E Balans VL '!I18/100/3.6*1000000</f>
        <v>1.8942306777675233</v>
      </c>
      <c r="F8" s="33">
        <f>C30*'E Balans VL '!L18/100/3.6*1000000+C30*'E Balans VL '!N18/100/3.6*1000000</f>
        <v>22.987203769414723</v>
      </c>
      <c r="G8" s="34"/>
      <c r="H8" s="33"/>
      <c r="I8" s="33"/>
      <c r="J8" s="40">
        <f>C30*'E Balans VL '!D18/100/3.6*1000000+C30*'E Balans VL '!E18/100/3.6*1000000</f>
        <v>0</v>
      </c>
      <c r="K8" s="33"/>
      <c r="L8" s="33"/>
      <c r="M8" s="33"/>
      <c r="N8" s="33">
        <f>C30*'E Balans VL '!Y18/100/3.6*1000000</f>
        <v>2.6383983492911236</v>
      </c>
      <c r="O8" s="33"/>
      <c r="P8" s="33"/>
      <c r="R8" s="32"/>
    </row>
    <row r="9" spans="1:18">
      <c r="A9" s="6" t="s">
        <v>33</v>
      </c>
      <c r="B9" s="37">
        <f t="shared" si="0"/>
        <v>1548.0944018999999</v>
      </c>
      <c r="C9" s="33"/>
      <c r="D9" s="37">
        <f>IF( ISERROR(IND_andere_gas_kWh/1000),0,IND_andere_gas_kWh/1000)*0.902</f>
        <v>112.21269341986002</v>
      </c>
      <c r="E9" s="33">
        <f>C31*'E Balans VL '!I19/100/3.6*1000000</f>
        <v>395.03866474797803</v>
      </c>
      <c r="F9" s="33">
        <f>C31*'E Balans VL '!L19/100/3.6*1000000+C31*'E Balans VL '!N19/100/3.6*1000000</f>
        <v>1332.7929207369923</v>
      </c>
      <c r="G9" s="34"/>
      <c r="H9" s="33"/>
      <c r="I9" s="33"/>
      <c r="J9" s="40">
        <f>C31*'E Balans VL '!D19/100/3.6*1000000+C31*'E Balans VL '!E19/100/3.6*1000000</f>
        <v>0</v>
      </c>
      <c r="K9" s="33"/>
      <c r="L9" s="33"/>
      <c r="M9" s="33"/>
      <c r="N9" s="33">
        <f>C31*'E Balans VL '!Y19/100/3.6*1000000</f>
        <v>484.14213617039616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15.801</v>
      </c>
      <c r="C13" s="33"/>
      <c r="D13" s="37">
        <f>IF( ISERROR(IND_papier_gas_kWh/1000),0,IND_papier_gas_kWh/1000)*0.902</f>
        <v>0</v>
      </c>
      <c r="E13" s="33">
        <f>C35*'E Balans VL '!I23/100/3.6*1000000</f>
        <v>6.7765892208101766E-2</v>
      </c>
      <c r="F13" s="33">
        <f>C35*'E Balans VL '!L23/100/3.6*1000000+C35*'E Balans VL '!N23/100/3.6*1000000</f>
        <v>0.39712817318190885</v>
      </c>
      <c r="G13" s="34"/>
      <c r="H13" s="33"/>
      <c r="I13" s="33"/>
      <c r="J13" s="40">
        <f>C35*'E Balans VL '!D23/100/3.6*1000000+C35*'E Balans VL '!E23/100/3.6*1000000</f>
        <v>1.0577902850800445</v>
      </c>
      <c r="K13" s="33"/>
      <c r="L13" s="33"/>
      <c r="M13" s="33"/>
      <c r="N13" s="33">
        <f>C35*'E Balans VL '!Y23/100/3.6*1000000</f>
        <v>28.761577621162139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39650.180338999999</v>
      </c>
      <c r="C15" s="33"/>
      <c r="D15" s="37">
        <f>IF( ISERROR(IND_rest_gas_kWh/1000),0,IND_rest_gas_kWh/1000)*0.902</f>
        <v>33358.862710866</v>
      </c>
      <c r="E15" s="33">
        <f>C37*'E Balans VL '!I15/100/3.6*1000000</f>
        <v>2151.9298745845708</v>
      </c>
      <c r="F15" s="33">
        <f>C37*'E Balans VL '!L15/100/3.6*1000000+C37*'E Balans VL '!N15/100/3.6*1000000</f>
        <v>8641.9059608937696</v>
      </c>
      <c r="G15" s="34"/>
      <c r="H15" s="33"/>
      <c r="I15" s="33"/>
      <c r="J15" s="40">
        <f>C37*'E Balans VL '!D15/100/3.6*1000000+C37*'E Balans VL '!E15/100/3.6*1000000</f>
        <v>321.44859362840691</v>
      </c>
      <c r="K15" s="33"/>
      <c r="L15" s="33"/>
      <c r="M15" s="33"/>
      <c r="N15" s="33">
        <f>C37*'E Balans VL '!Y15/100/3.6*1000000</f>
        <v>7984.2653243548339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41266.718081752995</v>
      </c>
      <c r="C18" s="21">
        <f>C5+C16</f>
        <v>0</v>
      </c>
      <c r="D18" s="21">
        <f>MAX((D5+D16),0)</f>
        <v>33471.075404285861</v>
      </c>
      <c r="E18" s="21">
        <f>MAX((E5+E16),0)</f>
        <v>2548.9305359025243</v>
      </c>
      <c r="F18" s="21">
        <f>MAX((F5+F16),0)</f>
        <v>9998.0832135733581</v>
      </c>
      <c r="G18" s="21"/>
      <c r="H18" s="21"/>
      <c r="I18" s="21"/>
      <c r="J18" s="21">
        <f>MAX((J5+J16),0)</f>
        <v>322.50638391348696</v>
      </c>
      <c r="K18" s="21"/>
      <c r="L18" s="21">
        <f>MAX((L5+L16),0)</f>
        <v>0</v>
      </c>
      <c r="M18" s="21"/>
      <c r="N18" s="21">
        <f>MAX((N5+N16),0)</f>
        <v>8499.8074364956829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0.20931506475223891</v>
      </c>
      <c r="C20" s="25">
        <f ca="1">'EF ele_warmte'!B22</f>
        <v>0.18304543699317805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8637.7457673945155</v>
      </c>
      <c r="C22" s="23">
        <f ca="1">C18*C20</f>
        <v>0</v>
      </c>
      <c r="D22" s="23">
        <f>D18*D20</f>
        <v>6761.1572316657439</v>
      </c>
      <c r="E22" s="23">
        <f>E18*E20</f>
        <v>578.60723164987303</v>
      </c>
      <c r="F22" s="23">
        <f>F18*F20</f>
        <v>2669.4882180240866</v>
      </c>
      <c r="G22" s="23"/>
      <c r="H22" s="23"/>
      <c r="I22" s="23"/>
      <c r="J22" s="23">
        <f>J18*J20</f>
        <v>114.16725990537438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52.642340853</v>
      </c>
      <c r="C30" s="39">
        <f>IF(ISERROR(B30*3.6/1000000/'E Balans VL '!Z18*100),0,B30*3.6/1000000/'E Balans VL '!Z18*100)</f>
        <v>1.1153783404708259E-2</v>
      </c>
      <c r="D30" s="237" t="s">
        <v>660</v>
      </c>
    </row>
    <row r="31" spans="1:18">
      <c r="A31" s="6" t="s">
        <v>33</v>
      </c>
      <c r="B31" s="37">
        <f>IF( ISERROR(IND_ander_ele_kWh/1000),0,IND_ander_ele_kWh/1000)</f>
        <v>1548.0944018999999</v>
      </c>
      <c r="C31" s="39">
        <f>IF(ISERROR(B31*3.6/1000000/'E Balans VL '!Z19*100),0,B31*3.6/1000000/'E Balans VL '!Z19*100)</f>
        <v>6.5162808579956946E-2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15.801</v>
      </c>
      <c r="C35" s="39">
        <f>IF(ISERROR(B35*3.6/1000000/'E Balans VL '!Z22*100),0,B35*3.6/1000000/'E Balans VL '!Z22*100)</f>
        <v>2.0028619645413217E-3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39650.180338999999</v>
      </c>
      <c r="C37" s="39">
        <f>IF(ISERROR(B37*3.6/1000000/'E Balans VL '!Z15*100),0,B37*3.6/1000000/'E Balans VL '!Z15*100)</f>
        <v>0.32011125913027139</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584.63821041000006</v>
      </c>
      <c r="C5" s="17">
        <f>'Eigen informatie GS &amp; warmtenet'!B60</f>
        <v>0</v>
      </c>
      <c r="D5" s="30">
        <f>IF(ISERROR(SUM(LB_lb_gas_kWh,LB_rest_gas_kWh)/1000),0,SUM(LB_lb_gas_kWh,LB_rest_gas_kWh)/1000)*0.902</f>
        <v>79.671495114310005</v>
      </c>
      <c r="E5" s="17">
        <f>B17*'E Balans VL '!I25/3.6*1000000/100</f>
        <v>15.075574695272289</v>
      </c>
      <c r="F5" s="17">
        <f>B17*('E Balans VL '!L25/3.6*1000000+'E Balans VL '!N25/3.6*1000000)/100</f>
        <v>2136.9639979871954</v>
      </c>
      <c r="G5" s="18"/>
      <c r="H5" s="17"/>
      <c r="I5" s="17"/>
      <c r="J5" s="17">
        <f>('E Balans VL '!D25+'E Balans VL '!E25)/3.6*1000000*landbouw!B17/100</f>
        <v>84.166395413681244</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584.63821041000006</v>
      </c>
      <c r="C8" s="21">
        <f>C5+C6</f>
        <v>0</v>
      </c>
      <c r="D8" s="21">
        <f>MAX((D5+D6),0)</f>
        <v>79.671495114310005</v>
      </c>
      <c r="E8" s="21">
        <f>MAX((E5+E6),0)</f>
        <v>15.075574695272289</v>
      </c>
      <c r="F8" s="21">
        <f>MAX((F5+F6),0)</f>
        <v>2136.9639979871954</v>
      </c>
      <c r="G8" s="21"/>
      <c r="H8" s="21"/>
      <c r="I8" s="21"/>
      <c r="J8" s="21">
        <f>MAX((J5+J6),0)</f>
        <v>84.166395413681244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0.20931506475223891</v>
      </c>
      <c r="C10" s="31">
        <f ca="1">'EF ele_warmte'!B22</f>
        <v>0.18304543699317805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122.37358486860224</v>
      </c>
      <c r="C12" s="23">
        <f ca="1">C8*C10</f>
        <v>0</v>
      </c>
      <c r="D12" s="23">
        <f>D8*D10</f>
        <v>16.093642013090623</v>
      </c>
      <c r="E12" s="23">
        <f>E8*E10</f>
        <v>3.4221554558268097</v>
      </c>
      <c r="F12" s="23">
        <f>F8*F10</f>
        <v>570.56938746258118</v>
      </c>
      <c r="G12" s="23"/>
      <c r="H12" s="23"/>
      <c r="I12" s="23"/>
      <c r="J12" s="23">
        <f>J8*J10</f>
        <v>29.794903976443159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8.2437860224481921E-2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18.408367327911236</v>
      </c>
      <c r="C26" s="247">
        <f>B26*'GWP N2O_CH4'!B5</f>
        <v>386.57571388613599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1.0758134159381534</v>
      </c>
      <c r="C27" s="247">
        <f>B27*'GWP N2O_CH4'!B5</f>
        <v>22.592081734701221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0.25336787362825813</v>
      </c>
      <c r="C28" s="247">
        <f>B28*'GWP N2O_CH4'!B4</f>
        <v>78.544040824760017</v>
      </c>
      <c r="D28" s="50"/>
    </row>
    <row r="29" spans="1:4">
      <c r="A29" s="41" t="s">
        <v>277</v>
      </c>
      <c r="B29" s="247">
        <f>B34*'ha_N2O bodem landbouw'!B4</f>
        <v>6.1480833091527165</v>
      </c>
      <c r="C29" s="247">
        <f>B29*'GWP N2O_CH4'!B4</f>
        <v>1905.905825837342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1.3836528411250476E-3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1.6760393645862565E-4</v>
      </c>
      <c r="C5" s="463" t="s">
        <v>211</v>
      </c>
      <c r="D5" s="448">
        <f>SUM(D6:D11)</f>
        <v>3.7063299680181565E-4</v>
      </c>
      <c r="E5" s="448">
        <f>SUM(E6:E11)</f>
        <v>1.5924765740973016E-3</v>
      </c>
      <c r="F5" s="461" t="s">
        <v>211</v>
      </c>
      <c r="G5" s="448">
        <f>SUM(G6:G11)</f>
        <v>0.50093615732154939</v>
      </c>
      <c r="H5" s="448">
        <f>SUM(H6:H11)</f>
        <v>0.10162557530491047</v>
      </c>
      <c r="I5" s="463" t="s">
        <v>211</v>
      </c>
      <c r="J5" s="463" t="s">
        <v>211</v>
      </c>
      <c r="K5" s="463" t="s">
        <v>211</v>
      </c>
      <c r="L5" s="463" t="s">
        <v>211</v>
      </c>
      <c r="M5" s="448">
        <f>SUM(M6:M11)</f>
        <v>1.8826957049534347E-2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7.0959845397532709E-5</v>
      </c>
      <c r="C6" s="449"/>
      <c r="D6" s="892">
        <f>vkm_2011_GW_PW*SUMIFS(TableVerdeelsleutelVkm[CNG],TableVerdeelsleutelVkm[Voertuigtype],"Lichte voertuigen")*SUMIFS(TableECFTransport[EnergieConsumptieFactor (PJ per km)],TableECFTransport[Index],CONCATENATE($A6,"_CNG_CNG"))</f>
        <v>1.409984557754748E-4</v>
      </c>
      <c r="E6" s="892">
        <f>vkm_2011_GW_PW*SUMIFS(TableVerdeelsleutelVkm[LPG],TableVerdeelsleutelVkm[Voertuigtype],"Lichte voertuigen")*SUMIFS(TableECFTransport[EnergieConsumptieFactor (PJ per km)],TableECFTransport[Index],CONCATENATE($A6,"_LPG_LPG"))</f>
        <v>5.5487946763387302E-4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0.13193129837860265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3.8172523823184777E-2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5.3005921759737458E-3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5.1752138087661131E-2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1.6718151117667514E-5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1.6306306864343576E-3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1.9890083700474402E-5</v>
      </c>
      <c r="C8" s="449"/>
      <c r="D8" s="451">
        <f>vkm_2011_NGW_PW*SUMIFS(TableVerdeelsleutelVkm[CNG],TableVerdeelsleutelVkm[Voertuigtype],"Lichte voertuigen")*SUMIFS(TableECFTransport[EnergieConsumptieFactor (PJ per km)],TableECFTransport[Index],CONCATENATE($A8,"_CNG_CNG"))</f>
        <v>6.9978946873616718E-5</v>
      </c>
      <c r="E8" s="451">
        <f>vkm_2011_NGW_PW*SUMIFS(TableVerdeelsleutelVkm[LPG],TableVerdeelsleutelVkm[Voertuigtype],"Lichte voertuigen")*SUMIFS(TableECFTransport[EnergieConsumptieFactor (PJ per km)],TableECFTransport[Index],CONCATENATE($A8,"_LPG_LPG"))</f>
        <v>2.5468917129647923E-4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5.6548155601087474E-2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1.8370498279212652E-2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2.3321884612818931E-3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2.9805723365557914E-3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9.1059012140464539E-7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9.3911706314895612E-5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7.6754007360618534E-5</v>
      </c>
      <c r="C10" s="449"/>
      <c r="D10" s="451">
        <f>vkm_2011_SW_PW*SUMIFS(TableVerdeelsleutelVkm[CNG],TableVerdeelsleutelVkm[Voertuigtype],"Lichte voertuigen")*SUMIFS(TableECFTransport[EnergieConsumptieFactor (PJ per km)],TableECFTransport[Index],CONCATENATE($A10,"_CNG_CNG"))</f>
        <v>1.5965559415272409E-4</v>
      </c>
      <c r="E10" s="451">
        <f>vkm_2011_SW_PW*SUMIFS(TableVerdeelsleutelVkm[LPG],TableVerdeelsleutelVkm[Voertuigtype],"Lichte voertuigen")*SUMIFS(TableECFTransport[EnergieConsumptieFactor (PJ per km)],TableECFTransport[Index],CONCATENATE($A10,"_LPG_LPG"))</f>
        <v>7.8290793516694942E-4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0.16675040113622497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4.50332603302913E-2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6.6031270811780429E-3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9.0973591781417382E-2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3.1664130982673106E-5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2.8665069383514135E-3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46.556649016284908</v>
      </c>
      <c r="C14" s="21"/>
      <c r="D14" s="21">
        <f t="shared" ref="D14:M14" si="0">((D5)*10^9/3600)+D12</f>
        <v>102.95361022272657</v>
      </c>
      <c r="E14" s="21">
        <f t="shared" si="0"/>
        <v>442.3546039159171</v>
      </c>
      <c r="F14" s="21"/>
      <c r="G14" s="21">
        <f t="shared" si="0"/>
        <v>139148.93258931927</v>
      </c>
      <c r="H14" s="21">
        <f t="shared" si="0"/>
        <v>28229.326473586239</v>
      </c>
      <c r="I14" s="21"/>
      <c r="J14" s="21"/>
      <c r="K14" s="21"/>
      <c r="L14" s="21"/>
      <c r="M14" s="21">
        <f t="shared" si="0"/>
        <v>5229.7102915373189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0.20931506475223891</v>
      </c>
      <c r="C16" s="56">
        <f ca="1">'EF ele_warmte'!B22</f>
        <v>0.18304543699317805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9.7450080034909359</v>
      </c>
      <c r="C18" s="23"/>
      <c r="D18" s="23">
        <f t="shared" ref="D18:M18" si="1">D14*D16</f>
        <v>20.796629264990766</v>
      </c>
      <c r="E18" s="23">
        <f t="shared" si="1"/>
        <v>100.41449508891318</v>
      </c>
      <c r="F18" s="23"/>
      <c r="G18" s="23">
        <f t="shared" si="1"/>
        <v>37152.765001348249</v>
      </c>
      <c r="H18" s="23">
        <f t="shared" si="1"/>
        <v>7029.1022919229736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6.0059138301365514E-3</v>
      </c>
      <c r="H50" s="321">
        <f t="shared" si="2"/>
        <v>0</v>
      </c>
      <c r="I50" s="321">
        <f t="shared" si="2"/>
        <v>0</v>
      </c>
      <c r="J50" s="321">
        <f t="shared" si="2"/>
        <v>0</v>
      </c>
      <c r="K50" s="321">
        <f t="shared" si="2"/>
        <v>0</v>
      </c>
      <c r="L50" s="321">
        <f t="shared" si="2"/>
        <v>0</v>
      </c>
      <c r="M50" s="321">
        <f t="shared" si="2"/>
        <v>1.8629001068799219E-4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6.0059138301365514E-3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1.8629001068799219E-4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1668.3093972601532</v>
      </c>
      <c r="H54" s="21">
        <f t="shared" si="3"/>
        <v>0</v>
      </c>
      <c r="I54" s="21">
        <f t="shared" si="3"/>
        <v>0</v>
      </c>
      <c r="J54" s="21">
        <f t="shared" si="3"/>
        <v>0</v>
      </c>
      <c r="K54" s="21">
        <f t="shared" si="3"/>
        <v>0</v>
      </c>
      <c r="L54" s="21">
        <f t="shared" si="3"/>
        <v>0</v>
      </c>
      <c r="M54" s="21">
        <f t="shared" si="3"/>
        <v>51.747225191108939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0.20931506475223891</v>
      </c>
      <c r="C56" s="56">
        <f ca="1">'EF ele_warmte'!B22</f>
        <v>0.18304543699317805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445.43860906846095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16131.239852531002</v>
      </c>
      <c r="D10" s="1012">
        <f ca="1">tertiair!C16</f>
        <v>239.19642857142858</v>
      </c>
      <c r="E10" s="1012">
        <f ca="1">tertiair!D16</f>
        <v>13464.798101685325</v>
      </c>
      <c r="F10" s="1012">
        <f>tertiair!E16</f>
        <v>267.24428714344367</v>
      </c>
      <c r="G10" s="1012">
        <f ca="1">tertiair!F16</f>
        <v>4028.5662436673124</v>
      </c>
      <c r="H10" s="1012">
        <f>tertiair!G16</f>
        <v>0</v>
      </c>
      <c r="I10" s="1012">
        <f>tertiair!H16</f>
        <v>0</v>
      </c>
      <c r="J10" s="1012">
        <f>tertiair!I16</f>
        <v>0</v>
      </c>
      <c r="K10" s="1012">
        <f>tertiair!J16</f>
        <v>0</v>
      </c>
      <c r="L10" s="1012">
        <f>tertiair!K16</f>
        <v>0</v>
      </c>
      <c r="M10" s="1012">
        <f ca="1">tertiair!L16</f>
        <v>0</v>
      </c>
      <c r="N10" s="1012">
        <f>tertiair!M16</f>
        <v>0</v>
      </c>
      <c r="O10" s="1012">
        <f ca="1">tertiair!N16</f>
        <v>2147.5053103170258</v>
      </c>
      <c r="P10" s="1012">
        <f>tertiair!O16</f>
        <v>1.5633333333333335</v>
      </c>
      <c r="Q10" s="1013">
        <f>tertiair!P16</f>
        <v>0</v>
      </c>
      <c r="R10" s="700">
        <f ca="1">SUM(C10:Q10)</f>
        <v>36280.113557248871</v>
      </c>
      <c r="S10" s="67"/>
    </row>
    <row r="11" spans="1:19" s="473" customFormat="1">
      <c r="A11" s="809" t="s">
        <v>225</v>
      </c>
      <c r="B11" s="814"/>
      <c r="C11" s="1012">
        <f>huishoudens!B8</f>
        <v>29428.403315419058</v>
      </c>
      <c r="D11" s="1012">
        <f>huishoudens!C8</f>
        <v>0</v>
      </c>
      <c r="E11" s="1012">
        <f>huishoudens!D8</f>
        <v>41010.656317707995</v>
      </c>
      <c r="F11" s="1012">
        <f>huishoudens!E8</f>
        <v>11782.940556526151</v>
      </c>
      <c r="G11" s="1012">
        <f>huishoudens!F8</f>
        <v>46807.528192423451</v>
      </c>
      <c r="H11" s="1012">
        <f>huishoudens!G8</f>
        <v>0</v>
      </c>
      <c r="I11" s="1012">
        <f>huishoudens!H8</f>
        <v>0</v>
      </c>
      <c r="J11" s="1012">
        <f>huishoudens!I8</f>
        <v>0</v>
      </c>
      <c r="K11" s="1012">
        <f>huishoudens!J8</f>
        <v>0</v>
      </c>
      <c r="L11" s="1012">
        <f>huishoudens!K8</f>
        <v>0</v>
      </c>
      <c r="M11" s="1012">
        <f>huishoudens!L8</f>
        <v>0</v>
      </c>
      <c r="N11" s="1012">
        <f>huishoudens!M8</f>
        <v>0</v>
      </c>
      <c r="O11" s="1012">
        <f>huishoudens!N8</f>
        <v>9694.0316360536744</v>
      </c>
      <c r="P11" s="1012">
        <f>huishoudens!O8</f>
        <v>350.18666666666672</v>
      </c>
      <c r="Q11" s="1013">
        <f>huishoudens!P8</f>
        <v>1296.5333333333333</v>
      </c>
      <c r="R11" s="700">
        <f>SUM(C11:Q11)</f>
        <v>140370.28001813032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41266.718081752995</v>
      </c>
      <c r="D13" s="1012">
        <f>industrie!C18</f>
        <v>0</v>
      </c>
      <c r="E13" s="1012">
        <f>industrie!D18</f>
        <v>33471.075404285861</v>
      </c>
      <c r="F13" s="1012">
        <f>industrie!E18</f>
        <v>2548.9305359025243</v>
      </c>
      <c r="G13" s="1012">
        <f>industrie!F18</f>
        <v>9998.0832135733581</v>
      </c>
      <c r="H13" s="1012">
        <f>industrie!G18</f>
        <v>0</v>
      </c>
      <c r="I13" s="1012">
        <f>industrie!H18</f>
        <v>0</v>
      </c>
      <c r="J13" s="1012">
        <f>industrie!I18</f>
        <v>0</v>
      </c>
      <c r="K13" s="1012">
        <f>industrie!J18</f>
        <v>322.50638391348696</v>
      </c>
      <c r="L13" s="1012">
        <f>industrie!K18</f>
        <v>0</v>
      </c>
      <c r="M13" s="1012">
        <f>industrie!L18</f>
        <v>0</v>
      </c>
      <c r="N13" s="1012">
        <f>industrie!M18</f>
        <v>0</v>
      </c>
      <c r="O13" s="1012">
        <f>industrie!N18</f>
        <v>8499.8074364956829</v>
      </c>
      <c r="P13" s="1012">
        <f>industrie!O18</f>
        <v>0</v>
      </c>
      <c r="Q13" s="1013">
        <f>industrie!P18</f>
        <v>0</v>
      </c>
      <c r="R13" s="700">
        <f>SUM(C13:Q13)</f>
        <v>96107.121055923912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86826.361249703055</v>
      </c>
      <c r="D16" s="732">
        <f t="shared" ref="D16:R16" ca="1" si="0">SUM(D9:D15)</f>
        <v>239.19642857142858</v>
      </c>
      <c r="E16" s="732">
        <f t="shared" ca="1" si="0"/>
        <v>87946.529823679186</v>
      </c>
      <c r="F16" s="732">
        <f t="shared" si="0"/>
        <v>14599.115379572118</v>
      </c>
      <c r="G16" s="732">
        <f t="shared" ca="1" si="0"/>
        <v>60834.177649664125</v>
      </c>
      <c r="H16" s="732">
        <f t="shared" si="0"/>
        <v>0</v>
      </c>
      <c r="I16" s="732">
        <f t="shared" si="0"/>
        <v>0</v>
      </c>
      <c r="J16" s="732">
        <f t="shared" si="0"/>
        <v>0</v>
      </c>
      <c r="K16" s="732">
        <f t="shared" si="0"/>
        <v>322.50638391348696</v>
      </c>
      <c r="L16" s="732">
        <f t="shared" si="0"/>
        <v>0</v>
      </c>
      <c r="M16" s="732">
        <f t="shared" ca="1" si="0"/>
        <v>0</v>
      </c>
      <c r="N16" s="732">
        <f t="shared" si="0"/>
        <v>0</v>
      </c>
      <c r="O16" s="732">
        <f t="shared" ca="1" si="0"/>
        <v>20341.34438286638</v>
      </c>
      <c r="P16" s="732">
        <f t="shared" si="0"/>
        <v>351.75000000000006</v>
      </c>
      <c r="Q16" s="732">
        <f t="shared" si="0"/>
        <v>1296.5333333333333</v>
      </c>
      <c r="R16" s="732">
        <f t="shared" ca="1" si="0"/>
        <v>272757.51463130309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1668.3093972601532</v>
      </c>
      <c r="I19" s="1012">
        <f>transport!H54</f>
        <v>0</v>
      </c>
      <c r="J19" s="1012">
        <f>transport!I54</f>
        <v>0</v>
      </c>
      <c r="K19" s="1012">
        <f>transport!J54</f>
        <v>0</v>
      </c>
      <c r="L19" s="1012">
        <f>transport!K54</f>
        <v>0</v>
      </c>
      <c r="M19" s="1012">
        <f>transport!L54</f>
        <v>0</v>
      </c>
      <c r="N19" s="1012">
        <f>transport!M54</f>
        <v>51.747225191108939</v>
      </c>
      <c r="O19" s="1012">
        <f>transport!N54</f>
        <v>0</v>
      </c>
      <c r="P19" s="1012">
        <f>transport!O54</f>
        <v>0</v>
      </c>
      <c r="Q19" s="1013">
        <f>transport!P54</f>
        <v>0</v>
      </c>
      <c r="R19" s="700">
        <f>SUM(C19:Q19)</f>
        <v>1720.0566224512622</v>
      </c>
      <c r="S19" s="67"/>
    </row>
    <row r="20" spans="1:19" s="473" customFormat="1">
      <c r="A20" s="809" t="s">
        <v>307</v>
      </c>
      <c r="B20" s="814"/>
      <c r="C20" s="1012">
        <f>transport!B14</f>
        <v>46.556649016284908</v>
      </c>
      <c r="D20" s="1012">
        <f>transport!C14</f>
        <v>0</v>
      </c>
      <c r="E20" s="1012">
        <f>transport!D14</f>
        <v>102.95361022272657</v>
      </c>
      <c r="F20" s="1012">
        <f>transport!E14</f>
        <v>442.3546039159171</v>
      </c>
      <c r="G20" s="1012">
        <f>transport!F14</f>
        <v>0</v>
      </c>
      <c r="H20" s="1012">
        <f>transport!G14</f>
        <v>139148.93258931927</v>
      </c>
      <c r="I20" s="1012">
        <f>transport!H14</f>
        <v>28229.326473586239</v>
      </c>
      <c r="J20" s="1012">
        <f>transport!I14</f>
        <v>0</v>
      </c>
      <c r="K20" s="1012">
        <f>transport!J14</f>
        <v>0</v>
      </c>
      <c r="L20" s="1012">
        <f>transport!K14</f>
        <v>0</v>
      </c>
      <c r="M20" s="1012">
        <f>transport!L14</f>
        <v>0</v>
      </c>
      <c r="N20" s="1012">
        <f>transport!M14</f>
        <v>5229.7102915373189</v>
      </c>
      <c r="O20" s="1012">
        <f>transport!N14</f>
        <v>0</v>
      </c>
      <c r="P20" s="1012">
        <f>transport!O14</f>
        <v>0</v>
      </c>
      <c r="Q20" s="1013">
        <f>transport!P14</f>
        <v>0</v>
      </c>
      <c r="R20" s="700">
        <f>SUM(C20:Q20)</f>
        <v>173199.83421759773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46.556649016284908</v>
      </c>
      <c r="D22" s="812">
        <f t="shared" ref="D22:R22" si="1">SUM(D18:D21)</f>
        <v>0</v>
      </c>
      <c r="E22" s="812">
        <f t="shared" si="1"/>
        <v>102.95361022272657</v>
      </c>
      <c r="F22" s="812">
        <f t="shared" si="1"/>
        <v>442.3546039159171</v>
      </c>
      <c r="G22" s="812">
        <f t="shared" si="1"/>
        <v>0</v>
      </c>
      <c r="H22" s="812">
        <f t="shared" si="1"/>
        <v>140817.24198657944</v>
      </c>
      <c r="I22" s="812">
        <f t="shared" si="1"/>
        <v>28229.326473586239</v>
      </c>
      <c r="J22" s="812">
        <f t="shared" si="1"/>
        <v>0</v>
      </c>
      <c r="K22" s="812">
        <f t="shared" si="1"/>
        <v>0</v>
      </c>
      <c r="L22" s="812">
        <f t="shared" si="1"/>
        <v>0</v>
      </c>
      <c r="M22" s="812">
        <f t="shared" si="1"/>
        <v>0</v>
      </c>
      <c r="N22" s="812">
        <f t="shared" si="1"/>
        <v>5281.4575167284274</v>
      </c>
      <c r="O22" s="812">
        <f t="shared" si="1"/>
        <v>0</v>
      </c>
      <c r="P22" s="812">
        <f t="shared" si="1"/>
        <v>0</v>
      </c>
      <c r="Q22" s="812">
        <f t="shared" si="1"/>
        <v>0</v>
      </c>
      <c r="R22" s="812">
        <f t="shared" si="1"/>
        <v>174919.89084004899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584.63821041000006</v>
      </c>
      <c r="D24" s="1012">
        <f>+landbouw!C8</f>
        <v>0</v>
      </c>
      <c r="E24" s="1012">
        <f>+landbouw!D8</f>
        <v>79.671495114310005</v>
      </c>
      <c r="F24" s="1012">
        <f>+landbouw!E8</f>
        <v>15.075574695272289</v>
      </c>
      <c r="G24" s="1012">
        <f>+landbouw!F8</f>
        <v>2136.9639979871954</v>
      </c>
      <c r="H24" s="1012">
        <f>+landbouw!G8</f>
        <v>0</v>
      </c>
      <c r="I24" s="1012">
        <f>+landbouw!H8</f>
        <v>0</v>
      </c>
      <c r="J24" s="1012">
        <f>+landbouw!I8</f>
        <v>0</v>
      </c>
      <c r="K24" s="1012">
        <f>+landbouw!J8</f>
        <v>84.166395413681244</v>
      </c>
      <c r="L24" s="1012">
        <f>+landbouw!K8</f>
        <v>0</v>
      </c>
      <c r="M24" s="1012">
        <f>+landbouw!L8</f>
        <v>0</v>
      </c>
      <c r="N24" s="1012">
        <f>+landbouw!M8</f>
        <v>0</v>
      </c>
      <c r="O24" s="1012">
        <f>+landbouw!N8</f>
        <v>0</v>
      </c>
      <c r="P24" s="1012">
        <f>+landbouw!O8</f>
        <v>0</v>
      </c>
      <c r="Q24" s="1013">
        <f>+landbouw!P8</f>
        <v>0</v>
      </c>
      <c r="R24" s="700">
        <f>SUM(C24:Q24)</f>
        <v>2900.515673620459</v>
      </c>
      <c r="S24" s="67"/>
    </row>
    <row r="25" spans="1:19" s="473" customFormat="1" ht="15" thickBot="1">
      <c r="A25" s="831" t="s">
        <v>848</v>
      </c>
      <c r="B25" s="1015"/>
      <c r="C25" s="1016">
        <f>IF(Onbekend_ele_kWh="---",0,Onbekend_ele_kWh)/1000+IF(REST_rest_ele_kWh="---",0,REST_rest_ele_kWh)/1000</f>
        <v>748.73507648999998</v>
      </c>
      <c r="D25" s="1016"/>
      <c r="E25" s="1016">
        <f>IF(onbekend_gas_kWh="---",0,onbekend_gas_kWh)/1000+IF(REST_rest_gas_kWh="---",0,REST_rest_gas_kWh)/1000</f>
        <v>1329.9680653999999</v>
      </c>
      <c r="F25" s="1016"/>
      <c r="G25" s="1016"/>
      <c r="H25" s="1016"/>
      <c r="I25" s="1016"/>
      <c r="J25" s="1016"/>
      <c r="K25" s="1016"/>
      <c r="L25" s="1016"/>
      <c r="M25" s="1016"/>
      <c r="N25" s="1016"/>
      <c r="O25" s="1016"/>
      <c r="P25" s="1016"/>
      <c r="Q25" s="1017"/>
      <c r="R25" s="700">
        <f>SUM(C25:Q25)</f>
        <v>2078.7031418899996</v>
      </c>
      <c r="S25" s="67"/>
    </row>
    <row r="26" spans="1:19" s="473" customFormat="1" ht="15.75" thickBot="1">
      <c r="A26" s="705" t="s">
        <v>849</v>
      </c>
      <c r="B26" s="817"/>
      <c r="C26" s="812">
        <f>SUM(C24:C25)</f>
        <v>1333.3732869</v>
      </c>
      <c r="D26" s="812">
        <f t="shared" ref="D26:R26" si="2">SUM(D24:D25)</f>
        <v>0</v>
      </c>
      <c r="E26" s="812">
        <f t="shared" si="2"/>
        <v>1409.6395605143098</v>
      </c>
      <c r="F26" s="812">
        <f t="shared" si="2"/>
        <v>15.075574695272289</v>
      </c>
      <c r="G26" s="812">
        <f t="shared" si="2"/>
        <v>2136.9639979871954</v>
      </c>
      <c r="H26" s="812">
        <f t="shared" si="2"/>
        <v>0</v>
      </c>
      <c r="I26" s="812">
        <f t="shared" si="2"/>
        <v>0</v>
      </c>
      <c r="J26" s="812">
        <f t="shared" si="2"/>
        <v>0</v>
      </c>
      <c r="K26" s="812">
        <f t="shared" si="2"/>
        <v>84.166395413681244</v>
      </c>
      <c r="L26" s="812">
        <f t="shared" si="2"/>
        <v>0</v>
      </c>
      <c r="M26" s="812">
        <f t="shared" si="2"/>
        <v>0</v>
      </c>
      <c r="N26" s="812">
        <f t="shared" si="2"/>
        <v>0</v>
      </c>
      <c r="O26" s="812">
        <f t="shared" si="2"/>
        <v>0</v>
      </c>
      <c r="P26" s="812">
        <f t="shared" si="2"/>
        <v>0</v>
      </c>
      <c r="Q26" s="812">
        <f t="shared" si="2"/>
        <v>0</v>
      </c>
      <c r="R26" s="812">
        <f t="shared" si="2"/>
        <v>4979.2188155104586</v>
      </c>
      <c r="S26" s="67"/>
    </row>
    <row r="27" spans="1:19" s="473" customFormat="1" ht="17.25" thickTop="1" thickBot="1">
      <c r="A27" s="706" t="s">
        <v>116</v>
      </c>
      <c r="B27" s="805"/>
      <c r="C27" s="707">
        <f ca="1">C22+C16+C26</f>
        <v>88206.291185619339</v>
      </c>
      <c r="D27" s="707">
        <f t="shared" ref="D27:R27" ca="1" si="3">D22+D16+D26</f>
        <v>239.19642857142858</v>
      </c>
      <c r="E27" s="707">
        <f t="shared" ca="1" si="3"/>
        <v>89459.122994416219</v>
      </c>
      <c r="F27" s="707">
        <f t="shared" si="3"/>
        <v>15056.545558183308</v>
      </c>
      <c r="G27" s="707">
        <f t="shared" ca="1" si="3"/>
        <v>62971.141647651319</v>
      </c>
      <c r="H27" s="707">
        <f t="shared" si="3"/>
        <v>140817.24198657944</v>
      </c>
      <c r="I27" s="707">
        <f t="shared" si="3"/>
        <v>28229.326473586239</v>
      </c>
      <c r="J27" s="707">
        <f t="shared" si="3"/>
        <v>0</v>
      </c>
      <c r="K27" s="707">
        <f t="shared" si="3"/>
        <v>406.6727793271682</v>
      </c>
      <c r="L27" s="707">
        <f t="shared" si="3"/>
        <v>0</v>
      </c>
      <c r="M27" s="707">
        <f t="shared" ca="1" si="3"/>
        <v>0</v>
      </c>
      <c r="N27" s="707">
        <f t="shared" si="3"/>
        <v>5281.4575167284274</v>
      </c>
      <c r="O27" s="707">
        <f t="shared" ca="1" si="3"/>
        <v>20341.34438286638</v>
      </c>
      <c r="P27" s="707">
        <f t="shared" si="3"/>
        <v>351.75000000000006</v>
      </c>
      <c r="Q27" s="707">
        <f t="shared" si="3"/>
        <v>1296.5333333333333</v>
      </c>
      <c r="R27" s="707">
        <f t="shared" ca="1" si="3"/>
        <v>452656.6242868625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3376.5115142664231</v>
      </c>
      <c r="D40" s="1012">
        <f ca="1">tertiair!C20</f>
        <v>43.783814795064643</v>
      </c>
      <c r="E40" s="1012">
        <f ca="1">tertiair!D20</f>
        <v>2719.8892165404359</v>
      </c>
      <c r="F40" s="1012">
        <f>tertiair!E20</f>
        <v>60.664453181561719</v>
      </c>
      <c r="G40" s="1012">
        <f ca="1">tertiair!F20</f>
        <v>1075.6271870591725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7276.4761858426582</v>
      </c>
    </row>
    <row r="41" spans="1:18">
      <c r="A41" s="822" t="s">
        <v>225</v>
      </c>
      <c r="B41" s="829"/>
      <c r="C41" s="1012">
        <f ca="1">huishoudens!B12</f>
        <v>6159.8081455219426</v>
      </c>
      <c r="D41" s="1012">
        <f ca="1">huishoudens!C12</f>
        <v>0</v>
      </c>
      <c r="E41" s="1012">
        <f>huishoudens!D12</f>
        <v>8284.1525761770154</v>
      </c>
      <c r="F41" s="1012">
        <f>huishoudens!E12</f>
        <v>2674.7275063314364</v>
      </c>
      <c r="G41" s="1012">
        <f>huishoudens!F12</f>
        <v>12497.610027377063</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29616.298255407455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8637.7457673945155</v>
      </c>
      <c r="D43" s="1012">
        <f ca="1">industrie!C22</f>
        <v>0</v>
      </c>
      <c r="E43" s="1012">
        <f>industrie!D22</f>
        <v>6761.1572316657439</v>
      </c>
      <c r="F43" s="1012">
        <f>industrie!E22</f>
        <v>578.60723164987303</v>
      </c>
      <c r="G43" s="1012">
        <f>industrie!F22</f>
        <v>2669.4882180240866</v>
      </c>
      <c r="H43" s="1012">
        <f>industrie!G22</f>
        <v>0</v>
      </c>
      <c r="I43" s="1012">
        <f>industrie!H22</f>
        <v>0</v>
      </c>
      <c r="J43" s="1012">
        <f>industrie!I22</f>
        <v>0</v>
      </c>
      <c r="K43" s="1012">
        <f>industrie!J22</f>
        <v>114.16725990537438</v>
      </c>
      <c r="L43" s="1012">
        <f>industrie!K22</f>
        <v>0</v>
      </c>
      <c r="M43" s="1012">
        <f>industrie!L22</f>
        <v>0</v>
      </c>
      <c r="N43" s="1012">
        <f>industrie!M22</f>
        <v>0</v>
      </c>
      <c r="O43" s="1012">
        <f>industrie!N22</f>
        <v>0</v>
      </c>
      <c r="P43" s="1012">
        <f>industrie!O22</f>
        <v>0</v>
      </c>
      <c r="Q43" s="774">
        <f>industrie!P22</f>
        <v>0</v>
      </c>
      <c r="R43" s="849">
        <f t="shared" ca="1" si="4"/>
        <v>18761.165708639594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18174.065427182883</v>
      </c>
      <c r="D46" s="732">
        <f t="shared" ref="D46:Q46" ca="1" si="5">SUM(D39:D45)</f>
        <v>43.783814795064643</v>
      </c>
      <c r="E46" s="732">
        <f t="shared" ca="1" si="5"/>
        <v>17765.199024383197</v>
      </c>
      <c r="F46" s="732">
        <f t="shared" si="5"/>
        <v>3313.9991911628713</v>
      </c>
      <c r="G46" s="732">
        <f t="shared" ca="1" si="5"/>
        <v>16242.72543246032</v>
      </c>
      <c r="H46" s="732">
        <f t="shared" si="5"/>
        <v>0</v>
      </c>
      <c r="I46" s="732">
        <f t="shared" si="5"/>
        <v>0</v>
      </c>
      <c r="J46" s="732">
        <f t="shared" si="5"/>
        <v>0</v>
      </c>
      <c r="K46" s="732">
        <f t="shared" si="5"/>
        <v>114.16725990537438</v>
      </c>
      <c r="L46" s="732">
        <f t="shared" si="5"/>
        <v>0</v>
      </c>
      <c r="M46" s="732">
        <f t="shared" ca="1" si="5"/>
        <v>0</v>
      </c>
      <c r="N46" s="732">
        <f t="shared" si="5"/>
        <v>0</v>
      </c>
      <c r="O46" s="732">
        <f t="shared" ca="1" si="5"/>
        <v>0</v>
      </c>
      <c r="P46" s="732">
        <f t="shared" si="5"/>
        <v>0</v>
      </c>
      <c r="Q46" s="732">
        <f t="shared" si="5"/>
        <v>0</v>
      </c>
      <c r="R46" s="732">
        <f ca="1">SUM(R39:R45)</f>
        <v>55653.940149889706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445.43860906846095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445.43860906846095</v>
      </c>
    </row>
    <row r="50" spans="1:18">
      <c r="A50" s="825" t="s">
        <v>307</v>
      </c>
      <c r="B50" s="835"/>
      <c r="C50" s="703">
        <f ca="1">transport!B18</f>
        <v>9.7450080034909359</v>
      </c>
      <c r="D50" s="703">
        <f>transport!C18</f>
        <v>0</v>
      </c>
      <c r="E50" s="703">
        <f>transport!D18</f>
        <v>20.796629264990766</v>
      </c>
      <c r="F50" s="703">
        <f>transport!E18</f>
        <v>100.41449508891318</v>
      </c>
      <c r="G50" s="703">
        <f>transport!F18</f>
        <v>0</v>
      </c>
      <c r="H50" s="703">
        <f>transport!G18</f>
        <v>37152.765001348249</v>
      </c>
      <c r="I50" s="703">
        <f>transport!H18</f>
        <v>7029.1022919229736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44312.823425628616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9.7450080034909359</v>
      </c>
      <c r="D52" s="732">
        <f t="shared" ref="D52:Q52" ca="1" si="6">SUM(D48:D51)</f>
        <v>0</v>
      </c>
      <c r="E52" s="732">
        <f t="shared" si="6"/>
        <v>20.796629264990766</v>
      </c>
      <c r="F52" s="732">
        <f t="shared" si="6"/>
        <v>100.41449508891318</v>
      </c>
      <c r="G52" s="732">
        <f t="shared" si="6"/>
        <v>0</v>
      </c>
      <c r="H52" s="732">
        <f t="shared" si="6"/>
        <v>37598.203610416713</v>
      </c>
      <c r="I52" s="732">
        <f t="shared" si="6"/>
        <v>7029.1022919229736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44758.26203469708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122.37358486860224</v>
      </c>
      <c r="D54" s="703">
        <f ca="1">+landbouw!C12</f>
        <v>0</v>
      </c>
      <c r="E54" s="703">
        <f>+landbouw!D12</f>
        <v>16.093642013090623</v>
      </c>
      <c r="F54" s="703">
        <f>+landbouw!E12</f>
        <v>3.4221554558268097</v>
      </c>
      <c r="G54" s="703">
        <f>+landbouw!F12</f>
        <v>570.56938746258118</v>
      </c>
      <c r="H54" s="703">
        <f>+landbouw!G12</f>
        <v>0</v>
      </c>
      <c r="I54" s="703">
        <f>+landbouw!H12</f>
        <v>0</v>
      </c>
      <c r="J54" s="703">
        <f>+landbouw!I12</f>
        <v>0</v>
      </c>
      <c r="K54" s="703">
        <f>+landbouw!J12</f>
        <v>29.794903976443159</v>
      </c>
      <c r="L54" s="703">
        <f>+landbouw!K12</f>
        <v>0</v>
      </c>
      <c r="M54" s="703">
        <f>+landbouw!L12</f>
        <v>0</v>
      </c>
      <c r="N54" s="703">
        <f>+landbouw!M12</f>
        <v>0</v>
      </c>
      <c r="O54" s="703">
        <f>+landbouw!N12</f>
        <v>0</v>
      </c>
      <c r="P54" s="703">
        <f>+landbouw!O12</f>
        <v>0</v>
      </c>
      <c r="Q54" s="704">
        <f>+landbouw!P12</f>
        <v>0</v>
      </c>
      <c r="R54" s="731">
        <f ca="1">SUM(C54:Q54)</f>
        <v>742.25367377654402</v>
      </c>
    </row>
    <row r="55" spans="1:18" ht="15" thickBot="1">
      <c r="A55" s="825" t="s">
        <v>848</v>
      </c>
      <c r="B55" s="835"/>
      <c r="C55" s="703">
        <f ca="1">C25*'EF ele_warmte'!B12</f>
        <v>156.7215310177769</v>
      </c>
      <c r="D55" s="703"/>
      <c r="E55" s="703">
        <f>E25*EF_CO2_aardgas</f>
        <v>268.65354921080001</v>
      </c>
      <c r="F55" s="703"/>
      <c r="G55" s="703"/>
      <c r="H55" s="703"/>
      <c r="I55" s="703"/>
      <c r="J55" s="703"/>
      <c r="K55" s="703"/>
      <c r="L55" s="703"/>
      <c r="M55" s="703"/>
      <c r="N55" s="703"/>
      <c r="O55" s="703"/>
      <c r="P55" s="703"/>
      <c r="Q55" s="704"/>
      <c r="R55" s="731">
        <f ca="1">SUM(C55:Q55)</f>
        <v>425.37508022857691</v>
      </c>
    </row>
    <row r="56" spans="1:18" ht="15.75" thickBot="1">
      <c r="A56" s="823" t="s">
        <v>849</v>
      </c>
      <c r="B56" s="836"/>
      <c r="C56" s="732">
        <f ca="1">SUM(C54:C55)</f>
        <v>279.09511588637912</v>
      </c>
      <c r="D56" s="732">
        <f t="shared" ref="D56:Q56" ca="1" si="7">SUM(D54:D55)</f>
        <v>0</v>
      </c>
      <c r="E56" s="732">
        <f t="shared" si="7"/>
        <v>284.74719122389064</v>
      </c>
      <c r="F56" s="732">
        <f t="shared" si="7"/>
        <v>3.4221554558268097</v>
      </c>
      <c r="G56" s="732">
        <f t="shared" si="7"/>
        <v>570.56938746258118</v>
      </c>
      <c r="H56" s="732">
        <f t="shared" si="7"/>
        <v>0</v>
      </c>
      <c r="I56" s="732">
        <f t="shared" si="7"/>
        <v>0</v>
      </c>
      <c r="J56" s="732">
        <f t="shared" si="7"/>
        <v>0</v>
      </c>
      <c r="K56" s="732">
        <f t="shared" si="7"/>
        <v>29.794903976443159</v>
      </c>
      <c r="L56" s="732">
        <f t="shared" si="7"/>
        <v>0</v>
      </c>
      <c r="M56" s="732">
        <f t="shared" si="7"/>
        <v>0</v>
      </c>
      <c r="N56" s="732">
        <f t="shared" si="7"/>
        <v>0</v>
      </c>
      <c r="O56" s="732">
        <f t="shared" si="7"/>
        <v>0</v>
      </c>
      <c r="P56" s="732">
        <f t="shared" si="7"/>
        <v>0</v>
      </c>
      <c r="Q56" s="733">
        <f t="shared" si="7"/>
        <v>0</v>
      </c>
      <c r="R56" s="734">
        <f ca="1">SUM(R54:R55)</f>
        <v>1167.628754005121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18462.905551072752</v>
      </c>
      <c r="D61" s="740">
        <f t="shared" ref="D61:Q61" ca="1" si="8">D46+D52+D56</f>
        <v>43.783814795064643</v>
      </c>
      <c r="E61" s="740">
        <f t="shared" ca="1" si="8"/>
        <v>18070.742844872078</v>
      </c>
      <c r="F61" s="740">
        <f t="shared" si="8"/>
        <v>3417.8358417076111</v>
      </c>
      <c r="G61" s="740">
        <f t="shared" ca="1" si="8"/>
        <v>16813.294819922899</v>
      </c>
      <c r="H61" s="740">
        <f t="shared" si="8"/>
        <v>37598.203610416713</v>
      </c>
      <c r="I61" s="740">
        <f t="shared" si="8"/>
        <v>7029.1022919229736</v>
      </c>
      <c r="J61" s="740">
        <f t="shared" si="8"/>
        <v>0</v>
      </c>
      <c r="K61" s="740">
        <f t="shared" si="8"/>
        <v>143.96216388181753</v>
      </c>
      <c r="L61" s="740">
        <f t="shared" si="8"/>
        <v>0</v>
      </c>
      <c r="M61" s="740">
        <f t="shared" ca="1" si="8"/>
        <v>0</v>
      </c>
      <c r="N61" s="740">
        <f t="shared" si="8"/>
        <v>0</v>
      </c>
      <c r="O61" s="740">
        <f t="shared" ca="1" si="8"/>
        <v>0</v>
      </c>
      <c r="P61" s="740">
        <f t="shared" si="8"/>
        <v>0</v>
      </c>
      <c r="Q61" s="740">
        <f t="shared" si="8"/>
        <v>0</v>
      </c>
      <c r="R61" s="740">
        <f ca="1">R46+R52+R56</f>
        <v>101579.83093859191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0.20931506475223891</v>
      </c>
      <c r="D63" s="781">
        <f t="shared" ca="1" si="9"/>
        <v>0.18304543699317805</v>
      </c>
      <c r="E63" s="1023">
        <f t="shared" ca="1" si="9"/>
        <v>0.20200000000000001</v>
      </c>
      <c r="F63" s="781">
        <f t="shared" si="9"/>
        <v>0.22700000000000001</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213.49112426035504</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4419.8430083048652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40.667396061269145</v>
      </c>
      <c r="C76" s="750">
        <f>'lokale energieproductie'!B8*IFERROR(SUM(D76:H76)/SUM(D76:O76),0)</f>
        <v>136.33260393873087</v>
      </c>
      <c r="D76" s="1033">
        <f>'lokale energieproductie'!C8</f>
        <v>160.39129875144809</v>
      </c>
      <c r="E76" s="1034">
        <f>'lokale energieproductie'!D8</f>
        <v>0</v>
      </c>
      <c r="F76" s="1034">
        <f>'lokale energieproductie'!E8</f>
        <v>0</v>
      </c>
      <c r="G76" s="1034">
        <f>'lokale energieproductie'!F8</f>
        <v>0</v>
      </c>
      <c r="H76" s="1034">
        <f>'lokale energieproductie'!G8</f>
        <v>0</v>
      </c>
      <c r="I76" s="1034">
        <f>'lokale energieproductie'!I8</f>
        <v>47.843995366199003</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32.399042347792516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4674.0015286264888</v>
      </c>
      <c r="C78" s="755">
        <f>SUM(C72:C77)</f>
        <v>136.33260393873087</v>
      </c>
      <c r="D78" s="756">
        <f t="shared" ref="D78:H78" si="10">SUM(D76:D77)</f>
        <v>160.39129875144809</v>
      </c>
      <c r="E78" s="756">
        <f t="shared" si="10"/>
        <v>0</v>
      </c>
      <c r="F78" s="756">
        <f t="shared" si="10"/>
        <v>0</v>
      </c>
      <c r="G78" s="756">
        <f t="shared" si="10"/>
        <v>0</v>
      </c>
      <c r="H78" s="756">
        <f t="shared" si="10"/>
        <v>0</v>
      </c>
      <c r="I78" s="756">
        <f>SUM(I76:I77)</f>
        <v>47.843995366199003</v>
      </c>
      <c r="J78" s="756">
        <f>SUM(J76:J77)</f>
        <v>0</v>
      </c>
      <c r="K78" s="756">
        <f t="shared" ref="K78:L78" si="11">SUM(K76:K77)</f>
        <v>0</v>
      </c>
      <c r="L78" s="756">
        <f t="shared" si="11"/>
        <v>0</v>
      </c>
      <c r="M78" s="756">
        <f>SUM(M76:M77)</f>
        <v>0</v>
      </c>
      <c r="N78" s="756">
        <f>SUM(N76:N77)</f>
        <v>0</v>
      </c>
      <c r="O78" s="860">
        <f>SUM(O76:O77)</f>
        <v>0</v>
      </c>
      <c r="P78" s="757">
        <v>0</v>
      </c>
      <c r="Q78" s="757">
        <f>SUM(Q76:Q77)</f>
        <v>32.399042347792516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54.957603938730855</v>
      </c>
      <c r="C87" s="766">
        <f>'lokale energieproductie'!B17*IFERROR(SUM(D87:H87)/SUM(D87:O87),0)</f>
        <v>184.23882463269774</v>
      </c>
      <c r="D87" s="777">
        <f>'lokale energieproductie'!C17</f>
        <v>216.75155839140911</v>
      </c>
      <c r="E87" s="777">
        <f>'lokale energieproductie'!D17</f>
        <v>0</v>
      </c>
      <c r="F87" s="777">
        <f>'lokale energieproductie'!E17</f>
        <v>0</v>
      </c>
      <c r="G87" s="777">
        <f>'lokale energieproductie'!F17</f>
        <v>0</v>
      </c>
      <c r="H87" s="777">
        <f>'lokale energieproductie'!G17</f>
        <v>0</v>
      </c>
      <c r="I87" s="777">
        <f>'lokale energieproductie'!I17</f>
        <v>64.656004633801004</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43.783814795064643</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54.957603938730855</v>
      </c>
      <c r="C90" s="755">
        <f>SUM(C87:C89)</f>
        <v>184.23882463269774</v>
      </c>
      <c r="D90" s="755">
        <f t="shared" ref="D90:H90" si="12">SUM(D87:D89)</f>
        <v>216.75155839140911</v>
      </c>
      <c r="E90" s="755">
        <f t="shared" si="12"/>
        <v>0</v>
      </c>
      <c r="F90" s="755">
        <f t="shared" si="12"/>
        <v>0</v>
      </c>
      <c r="G90" s="755">
        <f t="shared" si="12"/>
        <v>0</v>
      </c>
      <c r="H90" s="755">
        <f t="shared" si="12"/>
        <v>0</v>
      </c>
      <c r="I90" s="755">
        <f>SUM(I87:I89)</f>
        <v>64.656004633801004</v>
      </c>
      <c r="J90" s="755">
        <f>SUM(J87:J89)</f>
        <v>0</v>
      </c>
      <c r="K90" s="755">
        <f t="shared" ref="K90:L90" si="13">SUM(K87:K89)</f>
        <v>0</v>
      </c>
      <c r="L90" s="755">
        <f t="shared" si="13"/>
        <v>0</v>
      </c>
      <c r="M90" s="755">
        <f>SUM(M87:M89)</f>
        <v>0</v>
      </c>
      <c r="N90" s="755">
        <f>SUM(N87:N89)</f>
        <v>0</v>
      </c>
      <c r="O90" s="755">
        <f>SUM(O87:O89)</f>
        <v>0</v>
      </c>
      <c r="P90" s="755">
        <v>0</v>
      </c>
      <c r="Q90" s="755">
        <f>SUM(Q87:Q89)</f>
        <v>43.783814795064643</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213.49112426035504</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4419.8430083048652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177</v>
      </c>
      <c r="C8" s="570">
        <f>B101</f>
        <v>160.39129875144809</v>
      </c>
      <c r="D8" s="1043"/>
      <c r="E8" s="1043">
        <f>E101</f>
        <v>0</v>
      </c>
      <c r="F8" s="1044"/>
      <c r="G8" s="571"/>
      <c r="H8" s="1043">
        <f>I101</f>
        <v>0</v>
      </c>
      <c r="I8" s="1043">
        <f>G101+F101</f>
        <v>47.843995366199003</v>
      </c>
      <c r="J8" s="1043">
        <f>H101+D101+C101</f>
        <v>0</v>
      </c>
      <c r="K8" s="1043"/>
      <c r="L8" s="1043"/>
      <c r="M8" s="1043"/>
      <c r="N8" s="572"/>
      <c r="O8" s="573">
        <f>C8*$C$12+D8*$D$12+E8*$E$12+F8*$F$12+G8*$G$12+H8*$H$12+I8*$I$12+J8*$J$12</f>
        <v>32.399042347792516</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4810.33413256522</v>
      </c>
      <c r="C10" s="583">
        <f t="shared" ref="C10:L10" si="0">SUM(C8:C9)</f>
        <v>160.39129875144809</v>
      </c>
      <c r="D10" s="583">
        <f t="shared" si="0"/>
        <v>0</v>
      </c>
      <c r="E10" s="583">
        <f t="shared" si="0"/>
        <v>0</v>
      </c>
      <c r="F10" s="583">
        <f t="shared" si="0"/>
        <v>0</v>
      </c>
      <c r="G10" s="583">
        <f t="shared" si="0"/>
        <v>0</v>
      </c>
      <c r="H10" s="583">
        <f t="shared" si="0"/>
        <v>0</v>
      </c>
      <c r="I10" s="583">
        <f t="shared" si="0"/>
        <v>47.843995366199003</v>
      </c>
      <c r="J10" s="583">
        <f t="shared" si="0"/>
        <v>0</v>
      </c>
      <c r="K10" s="583">
        <f t="shared" si="0"/>
        <v>0</v>
      </c>
      <c r="L10" s="583">
        <f t="shared" si="0"/>
        <v>0</v>
      </c>
      <c r="M10" s="1046"/>
      <c r="N10" s="1046"/>
      <c r="O10" s="584">
        <f>SUM(O4:O9)</f>
        <v>32.399042347792516</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239.19642857142858</v>
      </c>
      <c r="C17" s="595">
        <f>B102</f>
        <v>216.75155839140911</v>
      </c>
      <c r="D17" s="596"/>
      <c r="E17" s="596">
        <f>E102</f>
        <v>0</v>
      </c>
      <c r="F17" s="1049"/>
      <c r="G17" s="597"/>
      <c r="H17" s="595">
        <f>I102</f>
        <v>0</v>
      </c>
      <c r="I17" s="596">
        <f>G102+F102</f>
        <v>64.656004633801004</v>
      </c>
      <c r="J17" s="596">
        <f>H102+D102+C102</f>
        <v>0</v>
      </c>
      <c r="K17" s="596"/>
      <c r="L17" s="596"/>
      <c r="M17" s="596"/>
      <c r="N17" s="1050"/>
      <c r="O17" s="598">
        <f>C17*$C$22+E17*$E$22+H17*$H$22+I17*$I$22+J17*$J$22+D17*$D$22+F17*$F$22+G17*$G$22+K17*$K$22+L17*$L$22</f>
        <v>43.783814795064643</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239.19642857142858</v>
      </c>
      <c r="C20" s="582">
        <f>SUM(C17:C19)</f>
        <v>216.75155839140911</v>
      </c>
      <c r="D20" s="582">
        <f t="shared" ref="D20:L20" si="1">SUM(D17:D19)</f>
        <v>0</v>
      </c>
      <c r="E20" s="582">
        <f t="shared" si="1"/>
        <v>0</v>
      </c>
      <c r="F20" s="582">
        <f t="shared" si="1"/>
        <v>0</v>
      </c>
      <c r="G20" s="582">
        <f t="shared" si="1"/>
        <v>0</v>
      </c>
      <c r="H20" s="582">
        <f t="shared" si="1"/>
        <v>0</v>
      </c>
      <c r="I20" s="582">
        <f t="shared" si="1"/>
        <v>64.656004633801004</v>
      </c>
      <c r="J20" s="582">
        <f t="shared" si="1"/>
        <v>0</v>
      </c>
      <c r="K20" s="582">
        <f t="shared" si="1"/>
        <v>0</v>
      </c>
      <c r="L20" s="582">
        <f t="shared" si="1"/>
        <v>0</v>
      </c>
      <c r="M20" s="582"/>
      <c r="N20" s="582"/>
      <c r="O20" s="601">
        <f>SUM(O17:O19)</f>
        <v>43.783814795064643</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24094</v>
      </c>
      <c r="C28" s="796">
        <v>3118</v>
      </c>
      <c r="D28" s="653" t="s">
        <v>890</v>
      </c>
      <c r="E28" s="652" t="s">
        <v>891</v>
      </c>
      <c r="F28" s="652" t="s">
        <v>892</v>
      </c>
      <c r="G28" s="652" t="s">
        <v>893</v>
      </c>
      <c r="H28" s="652" t="s">
        <v>894</v>
      </c>
      <c r="I28" s="652" t="s">
        <v>891</v>
      </c>
      <c r="J28" s="795">
        <v>38718</v>
      </c>
      <c r="K28" s="795">
        <v>38991</v>
      </c>
      <c r="L28" s="652" t="s">
        <v>895</v>
      </c>
      <c r="M28" s="652">
        <v>10</v>
      </c>
      <c r="N28" s="652">
        <v>45</v>
      </c>
      <c r="O28" s="652">
        <v>50.625</v>
      </c>
      <c r="P28" s="652">
        <v>0</v>
      </c>
      <c r="Q28" s="652">
        <v>0</v>
      </c>
      <c r="R28" s="652">
        <v>0</v>
      </c>
      <c r="S28" s="652">
        <v>0</v>
      </c>
      <c r="T28" s="652">
        <v>112.5</v>
      </c>
      <c r="U28" s="652">
        <v>0</v>
      </c>
      <c r="V28" s="652">
        <v>0</v>
      </c>
      <c r="W28" s="652">
        <v>0</v>
      </c>
      <c r="X28" s="652">
        <v>1600</v>
      </c>
      <c r="Y28" s="652" t="s">
        <v>50</v>
      </c>
      <c r="Z28" s="654" t="s">
        <v>156</v>
      </c>
    </row>
    <row r="29" spans="1:26" s="606" customFormat="1" ht="51">
      <c r="A29" s="605"/>
      <c r="B29" s="796">
        <v>24094</v>
      </c>
      <c r="C29" s="796">
        <v>3110</v>
      </c>
      <c r="D29" s="653"/>
      <c r="E29" s="652"/>
      <c r="F29" s="652" t="s">
        <v>896</v>
      </c>
      <c r="G29" s="652" t="s">
        <v>893</v>
      </c>
      <c r="H29" s="652" t="s">
        <v>897</v>
      </c>
      <c r="I29" s="652" t="s">
        <v>898</v>
      </c>
      <c r="J29" s="795">
        <v>42028</v>
      </c>
      <c r="K29" s="795">
        <v>42019</v>
      </c>
      <c r="L29" s="652" t="s">
        <v>895</v>
      </c>
      <c r="M29" s="652">
        <v>32</v>
      </c>
      <c r="N29" s="652">
        <v>132</v>
      </c>
      <c r="O29" s="652">
        <v>188.57142857142858</v>
      </c>
      <c r="P29" s="652">
        <v>377.14285714285717</v>
      </c>
      <c r="Q29" s="652">
        <v>0</v>
      </c>
      <c r="R29" s="652">
        <v>0</v>
      </c>
      <c r="S29" s="652">
        <v>0</v>
      </c>
      <c r="T29" s="652">
        <v>0</v>
      </c>
      <c r="U29" s="652">
        <v>0</v>
      </c>
      <c r="V29" s="652">
        <v>0</v>
      </c>
      <c r="W29" s="652">
        <v>0</v>
      </c>
      <c r="X29" s="652">
        <v>1500</v>
      </c>
      <c r="Y29" s="652" t="s">
        <v>51</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42</v>
      </c>
      <c r="N58" s="610">
        <f>SUM(N28:N57)</f>
        <v>177</v>
      </c>
      <c r="O58" s="610">
        <f t="shared" ref="O58:W58" si="2">SUM(O28:O57)</f>
        <v>239.19642857142858</v>
      </c>
      <c r="P58" s="610">
        <f t="shared" si="2"/>
        <v>377.14285714285717</v>
      </c>
      <c r="Q58" s="610">
        <f t="shared" si="2"/>
        <v>0</v>
      </c>
      <c r="R58" s="610">
        <f t="shared" si="2"/>
        <v>0</v>
      </c>
      <c r="S58" s="610">
        <f t="shared" si="2"/>
        <v>0</v>
      </c>
      <c r="T58" s="610">
        <f t="shared" si="2"/>
        <v>112.5</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42</v>
      </c>
      <c r="N60" s="610">
        <f ca="1">SUMIF($Z$28:AD57,"tertiair",N28:N57)</f>
        <v>177</v>
      </c>
      <c r="O60" s="610">
        <f ca="1">SUMIF($Z$28:AE57,"tertiair",O28:O57)</f>
        <v>239.19642857142858</v>
      </c>
      <c r="P60" s="610">
        <f ca="1">SUMIF($Z$28:AF57,"tertiair",P28:P57)</f>
        <v>377.14285714285717</v>
      </c>
      <c r="Q60" s="610">
        <f ca="1">SUMIF($Z$28:AG57,"tertiair",Q28:Q57)</f>
        <v>0</v>
      </c>
      <c r="R60" s="610">
        <f ca="1">SUMIF($Z$28:AH57,"tertiair",R28:R57)</f>
        <v>0</v>
      </c>
      <c r="S60" s="610">
        <f ca="1">SUMIF($Z$28:AI57,"tertiair",S28:S57)</f>
        <v>0</v>
      </c>
      <c r="T60" s="610">
        <f ca="1">SUMIF($Z$28:AJ57,"tertiair",T28:T57)</f>
        <v>112.5</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0.57472004118934228</v>
      </c>
      <c r="C98" s="635">
        <f>IF(ISERROR(N58/(O58+N58)),0,N58/(N58+O58))</f>
        <v>0.42527995881065778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160.39129875144809</v>
      </c>
      <c r="C101" s="644">
        <f t="shared" si="9"/>
        <v>0</v>
      </c>
      <c r="D101" s="644">
        <f t="shared" si="9"/>
        <v>0</v>
      </c>
      <c r="E101" s="644">
        <f t="shared" si="9"/>
        <v>0</v>
      </c>
      <c r="F101" s="644">
        <f t="shared" si="9"/>
        <v>47.843995366199003</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216.75155839140911</v>
      </c>
      <c r="C102" s="647">
        <f t="shared" si="10"/>
        <v>0</v>
      </c>
      <c r="D102" s="647">
        <f t="shared" si="10"/>
        <v>0</v>
      </c>
      <c r="E102" s="647">
        <f t="shared" si="10"/>
        <v>0</v>
      </c>
      <c r="F102" s="647">
        <f t="shared" si="10"/>
        <v>64.656004633801004</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29428.403315419058</v>
      </c>
      <c r="C4" s="477">
        <f>huishoudens!C8</f>
        <v>0</v>
      </c>
      <c r="D4" s="477">
        <f>huishoudens!D8</f>
        <v>41010.656317707995</v>
      </c>
      <c r="E4" s="477">
        <f>huishoudens!E8</f>
        <v>11782.940556526151</v>
      </c>
      <c r="F4" s="477">
        <f>huishoudens!F8</f>
        <v>46807.528192423451</v>
      </c>
      <c r="G4" s="477">
        <f>huishoudens!G8</f>
        <v>0</v>
      </c>
      <c r="H4" s="477">
        <f>huishoudens!H8</f>
        <v>0</v>
      </c>
      <c r="I4" s="477">
        <f>huishoudens!I8</f>
        <v>0</v>
      </c>
      <c r="J4" s="477">
        <f>huishoudens!J8</f>
        <v>0</v>
      </c>
      <c r="K4" s="477">
        <f>huishoudens!K8</f>
        <v>0</v>
      </c>
      <c r="L4" s="477">
        <f>huishoudens!L8</f>
        <v>0</v>
      </c>
      <c r="M4" s="477">
        <f>huishoudens!M8</f>
        <v>0</v>
      </c>
      <c r="N4" s="477">
        <f>huishoudens!N8</f>
        <v>9694.0316360536744</v>
      </c>
      <c r="O4" s="477">
        <f>huishoudens!O8</f>
        <v>350.18666666666672</v>
      </c>
      <c r="P4" s="478">
        <f>huishoudens!P8</f>
        <v>1296.5333333333333</v>
      </c>
      <c r="Q4" s="479">
        <f>SUM(B4:P4)</f>
        <v>140370.28001813032</v>
      </c>
    </row>
    <row r="5" spans="1:17">
      <c r="A5" s="476" t="s">
        <v>156</v>
      </c>
      <c r="B5" s="477">
        <f ca="1">tertiair!B16</f>
        <v>15235.656852531001</v>
      </c>
      <c r="C5" s="477">
        <f ca="1">tertiair!C16</f>
        <v>239.19642857142858</v>
      </c>
      <c r="D5" s="477">
        <f ca="1">tertiair!D16</f>
        <v>13464.798101685325</v>
      </c>
      <c r="E5" s="477">
        <f>tertiair!E16</f>
        <v>267.24428714344367</v>
      </c>
      <c r="F5" s="477">
        <f ca="1">tertiair!F16</f>
        <v>4028.5662436673124</v>
      </c>
      <c r="G5" s="477">
        <f>tertiair!G16</f>
        <v>0</v>
      </c>
      <c r="H5" s="477">
        <f>tertiair!H16</f>
        <v>0</v>
      </c>
      <c r="I5" s="477">
        <f>tertiair!I16</f>
        <v>0</v>
      </c>
      <c r="J5" s="477">
        <f>tertiair!J16</f>
        <v>0</v>
      </c>
      <c r="K5" s="477">
        <f>tertiair!K16</f>
        <v>0</v>
      </c>
      <c r="L5" s="477">
        <f ca="1">tertiair!L16</f>
        <v>0</v>
      </c>
      <c r="M5" s="477">
        <f>tertiair!M16</f>
        <v>0</v>
      </c>
      <c r="N5" s="477">
        <f ca="1">tertiair!N16</f>
        <v>2147.5053103170258</v>
      </c>
      <c r="O5" s="477">
        <f>tertiair!O16</f>
        <v>1.5633333333333335</v>
      </c>
      <c r="P5" s="478">
        <f>tertiair!P16</f>
        <v>0</v>
      </c>
      <c r="Q5" s="476">
        <f t="shared" ref="Q5:Q14" ca="1" si="0">SUM(B5:P5)</f>
        <v>35384.530557248872</v>
      </c>
    </row>
    <row r="6" spans="1:17">
      <c r="A6" s="476" t="s">
        <v>194</v>
      </c>
      <c r="B6" s="477">
        <f>'openbare verlichting'!B8</f>
        <v>895.58299999999997</v>
      </c>
      <c r="C6" s="477"/>
      <c r="D6" s="477"/>
      <c r="E6" s="477"/>
      <c r="F6" s="477"/>
      <c r="G6" s="477"/>
      <c r="H6" s="477"/>
      <c r="I6" s="477"/>
      <c r="J6" s="477"/>
      <c r="K6" s="477"/>
      <c r="L6" s="477"/>
      <c r="M6" s="477"/>
      <c r="N6" s="477"/>
      <c r="O6" s="477"/>
      <c r="P6" s="478"/>
      <c r="Q6" s="476">
        <f t="shared" si="0"/>
        <v>895.58299999999997</v>
      </c>
    </row>
    <row r="7" spans="1:17">
      <c r="A7" s="476" t="s">
        <v>112</v>
      </c>
      <c r="B7" s="477">
        <f>landbouw!B8</f>
        <v>584.63821041000006</v>
      </c>
      <c r="C7" s="477">
        <f>landbouw!C8</f>
        <v>0</v>
      </c>
      <c r="D7" s="477">
        <f>landbouw!D8</f>
        <v>79.671495114310005</v>
      </c>
      <c r="E7" s="477">
        <f>landbouw!E8</f>
        <v>15.075574695272289</v>
      </c>
      <c r="F7" s="477">
        <f>landbouw!F8</f>
        <v>2136.9639979871954</v>
      </c>
      <c r="G7" s="477">
        <f>landbouw!G8</f>
        <v>0</v>
      </c>
      <c r="H7" s="477">
        <f>landbouw!H8</f>
        <v>0</v>
      </c>
      <c r="I7" s="477">
        <f>landbouw!I8</f>
        <v>0</v>
      </c>
      <c r="J7" s="477">
        <f>landbouw!J8</f>
        <v>84.166395413681244</v>
      </c>
      <c r="K7" s="477">
        <f>landbouw!K8</f>
        <v>0</v>
      </c>
      <c r="L7" s="477">
        <f>landbouw!L8</f>
        <v>0</v>
      </c>
      <c r="M7" s="477">
        <f>landbouw!M8</f>
        <v>0</v>
      </c>
      <c r="N7" s="477">
        <f>landbouw!N8</f>
        <v>0</v>
      </c>
      <c r="O7" s="477">
        <f>landbouw!O8</f>
        <v>0</v>
      </c>
      <c r="P7" s="478">
        <f>landbouw!P8</f>
        <v>0</v>
      </c>
      <c r="Q7" s="476">
        <f t="shared" si="0"/>
        <v>2900.515673620459</v>
      </c>
    </row>
    <row r="8" spans="1:17">
      <c r="A8" s="476" t="s">
        <v>638</v>
      </c>
      <c r="B8" s="477">
        <f>industrie!B18</f>
        <v>41266.718081752995</v>
      </c>
      <c r="C8" s="477">
        <f>industrie!C18</f>
        <v>0</v>
      </c>
      <c r="D8" s="477">
        <f>industrie!D18</f>
        <v>33471.075404285861</v>
      </c>
      <c r="E8" s="477">
        <f>industrie!E18</f>
        <v>2548.9305359025243</v>
      </c>
      <c r="F8" s="477">
        <f>industrie!F18</f>
        <v>9998.0832135733581</v>
      </c>
      <c r="G8" s="477">
        <f>industrie!G18</f>
        <v>0</v>
      </c>
      <c r="H8" s="477">
        <f>industrie!H18</f>
        <v>0</v>
      </c>
      <c r="I8" s="477">
        <f>industrie!I18</f>
        <v>0</v>
      </c>
      <c r="J8" s="477">
        <f>industrie!J18</f>
        <v>322.50638391348696</v>
      </c>
      <c r="K8" s="477">
        <f>industrie!K18</f>
        <v>0</v>
      </c>
      <c r="L8" s="477">
        <f>industrie!L18</f>
        <v>0</v>
      </c>
      <c r="M8" s="477">
        <f>industrie!M18</f>
        <v>0</v>
      </c>
      <c r="N8" s="477">
        <f>industrie!N18</f>
        <v>8499.8074364956829</v>
      </c>
      <c r="O8" s="477">
        <f>industrie!O18</f>
        <v>0</v>
      </c>
      <c r="P8" s="478">
        <f>industrie!P18</f>
        <v>0</v>
      </c>
      <c r="Q8" s="476">
        <f t="shared" si="0"/>
        <v>96107.121055923912</v>
      </c>
    </row>
    <row r="9" spans="1:17" s="482" customFormat="1">
      <c r="A9" s="480" t="s">
        <v>564</v>
      </c>
      <c r="B9" s="481">
        <f>transport!B14</f>
        <v>46.556649016284908</v>
      </c>
      <c r="C9" s="481">
        <f>transport!C14</f>
        <v>0</v>
      </c>
      <c r="D9" s="481">
        <f>transport!D14</f>
        <v>102.95361022272657</v>
      </c>
      <c r="E9" s="481">
        <f>transport!E14</f>
        <v>442.3546039159171</v>
      </c>
      <c r="F9" s="481">
        <f>transport!F14</f>
        <v>0</v>
      </c>
      <c r="G9" s="481">
        <f>transport!G14</f>
        <v>139148.93258931927</v>
      </c>
      <c r="H9" s="481">
        <f>transport!H14</f>
        <v>28229.326473586239</v>
      </c>
      <c r="I9" s="481">
        <f>transport!I14</f>
        <v>0</v>
      </c>
      <c r="J9" s="481">
        <f>transport!J14</f>
        <v>0</v>
      </c>
      <c r="K9" s="481">
        <f>transport!K14</f>
        <v>0</v>
      </c>
      <c r="L9" s="481">
        <f>transport!L14</f>
        <v>0</v>
      </c>
      <c r="M9" s="481">
        <f>transport!M14</f>
        <v>5229.7102915373189</v>
      </c>
      <c r="N9" s="481">
        <f>transport!N14</f>
        <v>0</v>
      </c>
      <c r="O9" s="481">
        <f>transport!O14</f>
        <v>0</v>
      </c>
      <c r="P9" s="481">
        <f>transport!P14</f>
        <v>0</v>
      </c>
      <c r="Q9" s="480">
        <f>SUM(B9:P9)</f>
        <v>173199.83421759773</v>
      </c>
    </row>
    <row r="10" spans="1:17">
      <c r="A10" s="476" t="s">
        <v>554</v>
      </c>
      <c r="B10" s="477">
        <f>transport!B54</f>
        <v>0</v>
      </c>
      <c r="C10" s="477">
        <f>transport!C54</f>
        <v>0</v>
      </c>
      <c r="D10" s="477">
        <f>transport!D54</f>
        <v>0</v>
      </c>
      <c r="E10" s="477">
        <f>transport!E54</f>
        <v>0</v>
      </c>
      <c r="F10" s="477">
        <f>transport!F54</f>
        <v>0</v>
      </c>
      <c r="G10" s="477">
        <f>transport!G54</f>
        <v>1668.3093972601532</v>
      </c>
      <c r="H10" s="477">
        <f>transport!H54</f>
        <v>0</v>
      </c>
      <c r="I10" s="477">
        <f>transport!I54</f>
        <v>0</v>
      </c>
      <c r="J10" s="477">
        <f>transport!J54</f>
        <v>0</v>
      </c>
      <c r="K10" s="477">
        <f>transport!K54</f>
        <v>0</v>
      </c>
      <c r="L10" s="477">
        <f>transport!L54</f>
        <v>0</v>
      </c>
      <c r="M10" s="477">
        <f>transport!M54</f>
        <v>51.747225191108939</v>
      </c>
      <c r="N10" s="477">
        <f>transport!N54</f>
        <v>0</v>
      </c>
      <c r="O10" s="477">
        <f>transport!O54</f>
        <v>0</v>
      </c>
      <c r="P10" s="478">
        <f>transport!P54</f>
        <v>0</v>
      </c>
      <c r="Q10" s="476">
        <f t="shared" si="0"/>
        <v>1720.0566224512622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748.73507648999998</v>
      </c>
      <c r="C14" s="484"/>
      <c r="D14" s="484">
        <f>'SEAP template'!E25</f>
        <v>1329.9680653999999</v>
      </c>
      <c r="E14" s="484"/>
      <c r="F14" s="484"/>
      <c r="G14" s="484"/>
      <c r="H14" s="484"/>
      <c r="I14" s="484"/>
      <c r="J14" s="484"/>
      <c r="K14" s="484"/>
      <c r="L14" s="484"/>
      <c r="M14" s="484"/>
      <c r="N14" s="484"/>
      <c r="O14" s="484"/>
      <c r="P14" s="485"/>
      <c r="Q14" s="476">
        <f t="shared" si="0"/>
        <v>2078.7031418899996</v>
      </c>
    </row>
    <row r="15" spans="1:17" s="486" customFormat="1">
      <c r="A15" s="1038" t="s">
        <v>558</v>
      </c>
      <c r="B15" s="978">
        <f ca="1">SUM(B4:B14)</f>
        <v>88206.291185619353</v>
      </c>
      <c r="C15" s="978">
        <f t="shared" ref="C15:Q15" ca="1" si="1">SUM(C4:C14)</f>
        <v>239.19642857142858</v>
      </c>
      <c r="D15" s="978">
        <f t="shared" ca="1" si="1"/>
        <v>89459.122994416219</v>
      </c>
      <c r="E15" s="978">
        <f t="shared" si="1"/>
        <v>15056.545558183308</v>
      </c>
      <c r="F15" s="978">
        <f t="shared" ca="1" si="1"/>
        <v>62971.141647651319</v>
      </c>
      <c r="G15" s="978">
        <f t="shared" si="1"/>
        <v>140817.24198657944</v>
      </c>
      <c r="H15" s="978">
        <f t="shared" si="1"/>
        <v>28229.326473586239</v>
      </c>
      <c r="I15" s="978">
        <f t="shared" si="1"/>
        <v>0</v>
      </c>
      <c r="J15" s="978">
        <f t="shared" si="1"/>
        <v>406.6727793271682</v>
      </c>
      <c r="K15" s="978">
        <f t="shared" si="1"/>
        <v>0</v>
      </c>
      <c r="L15" s="978">
        <f t="shared" ca="1" si="1"/>
        <v>0</v>
      </c>
      <c r="M15" s="978">
        <f t="shared" si="1"/>
        <v>5281.4575167284274</v>
      </c>
      <c r="N15" s="978">
        <f t="shared" ca="1" si="1"/>
        <v>20341.34438286638</v>
      </c>
      <c r="O15" s="978">
        <f t="shared" si="1"/>
        <v>351.75000000000006</v>
      </c>
      <c r="P15" s="978">
        <f t="shared" si="1"/>
        <v>1296.5333333333333</v>
      </c>
      <c r="Q15" s="978">
        <f t="shared" ca="1" si="1"/>
        <v>452656.62428686256</v>
      </c>
    </row>
    <row r="17" spans="1:17">
      <c r="A17" s="487" t="s">
        <v>559</v>
      </c>
      <c r="B17" s="786">
        <f ca="1">huishoudens!B10</f>
        <v>0.20931506475223891</v>
      </c>
      <c r="C17" s="786">
        <f ca="1">huishoudens!C10</f>
        <v>0.18304543699317805</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6159.8081455219426</v>
      </c>
      <c r="C22" s="477">
        <f t="shared" ref="C22:C32" ca="1" si="3">C4*$C$17</f>
        <v>0</v>
      </c>
      <c r="D22" s="477">
        <f t="shared" ref="D22:D32" si="4">D4*$D$17</f>
        <v>8284.1525761770154</v>
      </c>
      <c r="E22" s="477">
        <f t="shared" ref="E22:E32" si="5">E4*$E$17</f>
        <v>2674.7275063314364</v>
      </c>
      <c r="F22" s="477">
        <f t="shared" ref="F22:F32" si="6">F4*$F$17</f>
        <v>12497.610027377063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29616.298255407455</v>
      </c>
    </row>
    <row r="23" spans="1:17">
      <c r="A23" s="476" t="s">
        <v>156</v>
      </c>
      <c r="B23" s="477">
        <f t="shared" ca="1" si="2"/>
        <v>3189.0525006304188</v>
      </c>
      <c r="C23" s="477">
        <f t="shared" ca="1" si="3"/>
        <v>43.783814795064643</v>
      </c>
      <c r="D23" s="477">
        <f t="shared" ca="1" si="4"/>
        <v>2719.8892165404359</v>
      </c>
      <c r="E23" s="477">
        <f t="shared" si="5"/>
        <v>60.664453181561719</v>
      </c>
      <c r="F23" s="477">
        <f t="shared" ca="1" si="6"/>
        <v>1075.6271870591725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7089.0171722066543</v>
      </c>
    </row>
    <row r="24" spans="1:17">
      <c r="A24" s="476" t="s">
        <v>194</v>
      </c>
      <c r="B24" s="477">
        <f t="shared" ca="1" si="2"/>
        <v>187.45901363600436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187.45901363600436</v>
      </c>
    </row>
    <row r="25" spans="1:17">
      <c r="A25" s="476" t="s">
        <v>112</v>
      </c>
      <c r="B25" s="477">
        <f t="shared" ca="1" si="2"/>
        <v>122.37358486860224</v>
      </c>
      <c r="C25" s="477">
        <f t="shared" ca="1" si="3"/>
        <v>0</v>
      </c>
      <c r="D25" s="477">
        <f t="shared" si="4"/>
        <v>16.093642013090623</v>
      </c>
      <c r="E25" s="477">
        <f t="shared" si="5"/>
        <v>3.4221554558268097</v>
      </c>
      <c r="F25" s="477">
        <f t="shared" si="6"/>
        <v>570.56938746258118</v>
      </c>
      <c r="G25" s="477">
        <f t="shared" si="7"/>
        <v>0</v>
      </c>
      <c r="H25" s="477">
        <f t="shared" si="8"/>
        <v>0</v>
      </c>
      <c r="I25" s="477">
        <f t="shared" si="9"/>
        <v>0</v>
      </c>
      <c r="J25" s="477">
        <f t="shared" si="10"/>
        <v>29.794903976443159</v>
      </c>
      <c r="K25" s="477">
        <f t="shared" si="11"/>
        <v>0</v>
      </c>
      <c r="L25" s="477">
        <f t="shared" si="12"/>
        <v>0</v>
      </c>
      <c r="M25" s="477">
        <f t="shared" si="13"/>
        <v>0</v>
      </c>
      <c r="N25" s="477">
        <f t="shared" si="14"/>
        <v>0</v>
      </c>
      <c r="O25" s="477">
        <f t="shared" si="15"/>
        <v>0</v>
      </c>
      <c r="P25" s="478">
        <f t="shared" si="16"/>
        <v>0</v>
      </c>
      <c r="Q25" s="476">
        <f t="shared" ca="1" si="17"/>
        <v>742.25367377654402</v>
      </c>
    </row>
    <row r="26" spans="1:17">
      <c r="A26" s="476" t="s">
        <v>638</v>
      </c>
      <c r="B26" s="477">
        <f t="shared" ca="1" si="2"/>
        <v>8637.7457673945155</v>
      </c>
      <c r="C26" s="477">
        <f t="shared" ca="1" si="3"/>
        <v>0</v>
      </c>
      <c r="D26" s="477">
        <f t="shared" si="4"/>
        <v>6761.1572316657439</v>
      </c>
      <c r="E26" s="477">
        <f t="shared" si="5"/>
        <v>578.60723164987303</v>
      </c>
      <c r="F26" s="477">
        <f t="shared" si="6"/>
        <v>2669.4882180240866</v>
      </c>
      <c r="G26" s="477">
        <f t="shared" si="7"/>
        <v>0</v>
      </c>
      <c r="H26" s="477">
        <f t="shared" si="8"/>
        <v>0</v>
      </c>
      <c r="I26" s="477">
        <f t="shared" si="9"/>
        <v>0</v>
      </c>
      <c r="J26" s="477">
        <f t="shared" si="10"/>
        <v>114.16725990537438</v>
      </c>
      <c r="K26" s="477">
        <f t="shared" si="11"/>
        <v>0</v>
      </c>
      <c r="L26" s="477">
        <f t="shared" si="12"/>
        <v>0</v>
      </c>
      <c r="M26" s="477">
        <f t="shared" si="13"/>
        <v>0</v>
      </c>
      <c r="N26" s="477">
        <f t="shared" si="14"/>
        <v>0</v>
      </c>
      <c r="O26" s="477">
        <f t="shared" si="15"/>
        <v>0</v>
      </c>
      <c r="P26" s="478">
        <f t="shared" si="16"/>
        <v>0</v>
      </c>
      <c r="Q26" s="476">
        <f t="shared" ca="1" si="17"/>
        <v>18761.165708639594</v>
      </c>
    </row>
    <row r="27" spans="1:17" s="482" customFormat="1">
      <c r="A27" s="480" t="s">
        <v>564</v>
      </c>
      <c r="B27" s="780">
        <f t="shared" ca="1" si="2"/>
        <v>9.7450080034909359</v>
      </c>
      <c r="C27" s="481">
        <f t="shared" ca="1" si="3"/>
        <v>0</v>
      </c>
      <c r="D27" s="481">
        <f t="shared" si="4"/>
        <v>20.796629264990766</v>
      </c>
      <c r="E27" s="481">
        <f t="shared" si="5"/>
        <v>100.41449508891318</v>
      </c>
      <c r="F27" s="481">
        <f t="shared" si="6"/>
        <v>0</v>
      </c>
      <c r="G27" s="481">
        <f t="shared" si="7"/>
        <v>37152.765001348249</v>
      </c>
      <c r="H27" s="481">
        <f t="shared" si="8"/>
        <v>7029.1022919229736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44312.823425628616</v>
      </c>
    </row>
    <row r="28" spans="1:17">
      <c r="A28" s="476" t="s">
        <v>554</v>
      </c>
      <c r="B28" s="477">
        <f t="shared" ca="1" si="2"/>
        <v>0</v>
      </c>
      <c r="C28" s="477">
        <f t="shared" ca="1" si="3"/>
        <v>0</v>
      </c>
      <c r="D28" s="477">
        <f t="shared" si="4"/>
        <v>0</v>
      </c>
      <c r="E28" s="477">
        <f t="shared" si="5"/>
        <v>0</v>
      </c>
      <c r="F28" s="477">
        <f t="shared" si="6"/>
        <v>0</v>
      </c>
      <c r="G28" s="477">
        <f t="shared" si="7"/>
        <v>445.43860906846095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445.43860906846095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156.7215310177769</v>
      </c>
      <c r="C32" s="477">
        <f t="shared" ca="1" si="3"/>
        <v>0</v>
      </c>
      <c r="D32" s="477">
        <f t="shared" si="4"/>
        <v>268.65354921080001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425.37508022857691</v>
      </c>
    </row>
    <row r="33" spans="1:17" s="486" customFormat="1">
      <c r="A33" s="1038" t="s">
        <v>558</v>
      </c>
      <c r="B33" s="978">
        <f ca="1">SUM(B22:B32)</f>
        <v>18462.905551072752</v>
      </c>
      <c r="C33" s="978">
        <f t="shared" ref="C33:Q33" ca="1" si="18">SUM(C22:C32)</f>
        <v>43.783814795064643</v>
      </c>
      <c r="D33" s="978">
        <f t="shared" ca="1" si="18"/>
        <v>18070.742844872078</v>
      </c>
      <c r="E33" s="978">
        <f t="shared" si="18"/>
        <v>3417.8358417076111</v>
      </c>
      <c r="F33" s="978">
        <f t="shared" ca="1" si="18"/>
        <v>16813.294819922903</v>
      </c>
      <c r="G33" s="978">
        <f t="shared" si="18"/>
        <v>37598.203610416713</v>
      </c>
      <c r="H33" s="978">
        <f t="shared" si="18"/>
        <v>7029.1022919229736</v>
      </c>
      <c r="I33" s="978">
        <f t="shared" si="18"/>
        <v>0</v>
      </c>
      <c r="J33" s="978">
        <f t="shared" si="18"/>
        <v>143.96216388181753</v>
      </c>
      <c r="K33" s="978">
        <f t="shared" si="18"/>
        <v>0</v>
      </c>
      <c r="L33" s="978">
        <f t="shared" ca="1" si="18"/>
        <v>0</v>
      </c>
      <c r="M33" s="978">
        <f t="shared" si="18"/>
        <v>0</v>
      </c>
      <c r="N33" s="978">
        <f t="shared" ca="1" si="18"/>
        <v>0</v>
      </c>
      <c r="O33" s="978">
        <f t="shared" si="18"/>
        <v>0</v>
      </c>
      <c r="P33" s="978">
        <f t="shared" si="18"/>
        <v>0</v>
      </c>
      <c r="Q33" s="978">
        <f t="shared" ca="1" si="18"/>
        <v>101579.8309385919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213.49112426035504</v>
      </c>
      <c r="C5" s="1055"/>
      <c r="D5" s="1055"/>
      <c r="E5" s="1055"/>
      <c r="F5" s="1055"/>
      <c r="G5" s="1055"/>
      <c r="H5" s="1055"/>
      <c r="I5" s="1055"/>
      <c r="J5" s="1055"/>
      <c r="K5" s="1055"/>
      <c r="L5" s="1055"/>
      <c r="M5" s="1055"/>
      <c r="N5" s="1055"/>
      <c r="O5" s="1055"/>
      <c r="P5" s="1056">
        <f>'SEAP template'!Q73</f>
        <v>0</v>
      </c>
    </row>
    <row r="6" spans="1:16">
      <c r="A6" s="1057" t="s">
        <v>251</v>
      </c>
      <c r="B6" s="1055">
        <f>'SEAP template'!B74</f>
        <v>4419.8430083048652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40.667396061269145</v>
      </c>
      <c r="C8" s="1055">
        <f>'SEAP template'!C76</f>
        <v>136.33260393873087</v>
      </c>
      <c r="D8" s="1055">
        <f>'SEAP template'!D76</f>
        <v>160.39129875144809</v>
      </c>
      <c r="E8" s="1055">
        <f>'SEAP template'!E76</f>
        <v>0</v>
      </c>
      <c r="F8" s="1055">
        <f>'SEAP template'!F76</f>
        <v>0</v>
      </c>
      <c r="G8" s="1055">
        <f>'SEAP template'!G76</f>
        <v>0</v>
      </c>
      <c r="H8" s="1055">
        <f>'SEAP template'!H76</f>
        <v>0</v>
      </c>
      <c r="I8" s="1055">
        <f>'SEAP template'!I76</f>
        <v>47.843995366199003</v>
      </c>
      <c r="J8" s="1055">
        <f>'SEAP template'!J76</f>
        <v>0</v>
      </c>
      <c r="K8" s="1055">
        <f>'SEAP template'!K76</f>
        <v>0</v>
      </c>
      <c r="L8" s="1055">
        <f>'SEAP template'!L76</f>
        <v>0</v>
      </c>
      <c r="M8" s="1055">
        <f>'SEAP template'!M76</f>
        <v>0</v>
      </c>
      <c r="N8" s="1055">
        <f>'SEAP template'!N76</f>
        <v>0</v>
      </c>
      <c r="O8" s="1055">
        <f>'SEAP template'!O76</f>
        <v>0</v>
      </c>
      <c r="P8" s="1056">
        <f>'SEAP template'!Q76</f>
        <v>32.399042347792516</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4674.0015286264888</v>
      </c>
      <c r="C10" s="1059">
        <f>SUM(C4:C9)</f>
        <v>136.33260393873087</v>
      </c>
      <c r="D10" s="1059">
        <f t="shared" ref="D10:H10" si="0">SUM(D8:D9)</f>
        <v>160.39129875144809</v>
      </c>
      <c r="E10" s="1059">
        <f t="shared" si="0"/>
        <v>0</v>
      </c>
      <c r="F10" s="1059">
        <f t="shared" si="0"/>
        <v>0</v>
      </c>
      <c r="G10" s="1059">
        <f t="shared" si="0"/>
        <v>0</v>
      </c>
      <c r="H10" s="1059">
        <f t="shared" si="0"/>
        <v>0</v>
      </c>
      <c r="I10" s="1059">
        <f>SUM(I8:I9)</f>
        <v>47.843995366199003</v>
      </c>
      <c r="J10" s="1059">
        <f>SUM(J8:J9)</f>
        <v>0</v>
      </c>
      <c r="K10" s="1059">
        <f t="shared" ref="K10:L10" si="1">SUM(K8:K9)</f>
        <v>0</v>
      </c>
      <c r="L10" s="1059">
        <f t="shared" si="1"/>
        <v>0</v>
      </c>
      <c r="M10" s="1059">
        <f>SUM(M8:M9)</f>
        <v>0</v>
      </c>
      <c r="N10" s="1059">
        <f>SUM(N8:N9)</f>
        <v>0</v>
      </c>
      <c r="O10" s="1059">
        <f>SUM(O8:O9)</f>
        <v>0</v>
      </c>
      <c r="P10" s="1059">
        <f>SUM(P8:P9)</f>
        <v>32.399042347792516</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0.20931506475223891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54.957603938730855</v>
      </c>
      <c r="C17" s="1061">
        <f>'SEAP template'!C87</f>
        <v>184.23882463269774</v>
      </c>
      <c r="D17" s="1056">
        <f>'SEAP template'!D87</f>
        <v>216.75155839140911</v>
      </c>
      <c r="E17" s="1056">
        <f>'SEAP template'!E87</f>
        <v>0</v>
      </c>
      <c r="F17" s="1056">
        <f>'SEAP template'!F87</f>
        <v>0</v>
      </c>
      <c r="G17" s="1056">
        <f>'SEAP template'!G87</f>
        <v>0</v>
      </c>
      <c r="H17" s="1056">
        <f>'SEAP template'!H87</f>
        <v>0</v>
      </c>
      <c r="I17" s="1056">
        <f>'SEAP template'!I87</f>
        <v>64.656004633801004</v>
      </c>
      <c r="J17" s="1056">
        <f>'SEAP template'!J87</f>
        <v>0</v>
      </c>
      <c r="K17" s="1056">
        <f>'SEAP template'!K87</f>
        <v>0</v>
      </c>
      <c r="L17" s="1056">
        <f>'SEAP template'!L87</f>
        <v>0</v>
      </c>
      <c r="M17" s="1056">
        <f>'SEAP template'!M87</f>
        <v>0</v>
      </c>
      <c r="N17" s="1056">
        <f>'SEAP template'!N87</f>
        <v>0</v>
      </c>
      <c r="O17" s="1056">
        <f>'SEAP template'!O87</f>
        <v>0</v>
      </c>
      <c r="P17" s="1056">
        <f>'SEAP template'!Q87</f>
        <v>43.783814795064643</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54.957603938730855</v>
      </c>
      <c r="C20" s="1059">
        <f>SUM(C17:C19)</f>
        <v>184.23882463269774</v>
      </c>
      <c r="D20" s="1059">
        <f t="shared" ref="D20:H20" si="2">SUM(D17:D19)</f>
        <v>216.75155839140911</v>
      </c>
      <c r="E20" s="1059">
        <f t="shared" si="2"/>
        <v>0</v>
      </c>
      <c r="F20" s="1059">
        <f t="shared" si="2"/>
        <v>0</v>
      </c>
      <c r="G20" s="1059">
        <f t="shared" si="2"/>
        <v>0</v>
      </c>
      <c r="H20" s="1059">
        <f t="shared" si="2"/>
        <v>0</v>
      </c>
      <c r="I20" s="1059">
        <f>SUM(I17:I19)</f>
        <v>64.656004633801004</v>
      </c>
      <c r="J20" s="1059">
        <f>SUM(J17:J19)</f>
        <v>0</v>
      </c>
      <c r="K20" s="1059">
        <f t="shared" ref="K20:L20" si="3">SUM(K17:K19)</f>
        <v>0</v>
      </c>
      <c r="L20" s="1059">
        <f t="shared" si="3"/>
        <v>0</v>
      </c>
      <c r="M20" s="1059">
        <f>SUM(M17:M19)</f>
        <v>0</v>
      </c>
      <c r="N20" s="1059">
        <f>SUM(N17:N19)</f>
        <v>0</v>
      </c>
      <c r="O20" s="1059">
        <f>SUM(O17:O19)</f>
        <v>0</v>
      </c>
      <c r="P20" s="1059">
        <f>SUM(P17:P19)</f>
        <v>43.783814795064643</v>
      </c>
    </row>
    <row r="22" spans="1:16">
      <c r="A22" s="487" t="s">
        <v>871</v>
      </c>
      <c r="B22" s="786" t="s">
        <v>865</v>
      </c>
      <c r="C22" s="786">
        <f ca="1">'EF ele_warmte'!B22</f>
        <v>0.18304543699317805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0.20931506475223891</v>
      </c>
      <c r="C17" s="524">
        <f ca="1">'EF ele_warmte'!B22</f>
        <v>0.18304543699317805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2019-08-12T08:23:57Z</dcterms:modified>
</cp:coreProperties>
</file>