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<sst xmlns="http://schemas.openxmlformats.org/spreadsheetml/2006/main" count="2392" uniqueCount="890">
  <si>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</si>
  <si>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</si>
  <si>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</si>
  <si>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</si>
  <si>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</si>
  <si>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</si>
  <si>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</si>
  <si>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</si>
  <si>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</si>
  <si>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</si>
  <si>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</si>
  <si>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</si>
  <si>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</si>
  <si>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</si>
  <si>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</si>
  <si>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</si>
  <si>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</si>
  <si>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</si>
  <si>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</si>
  <si>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</si>
  <si>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</si>
  <si>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</si>
  <si>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</si>
  <si>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</si>
  <si>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</si>
  <si>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</si>
  <si>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</si>
  <si>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</si>
  <si>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</si>
  <si>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</si>
  <si>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</si>
  <si>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</si>
  <si>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</si>
  <si>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</si>
  <si>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</si>
  <si>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</si>
  <si>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</si>
  <si>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</si>
  <si>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</si>
  <si>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</si>
  <si>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</si>
  <si>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</si>
  <si>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</si>
  <si>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</si>
  <si>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</si>
  <si>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</si>
  <si>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</si>
  <si>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</si>
  <si>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</si>
  <si>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</si>
  <si>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</si>
  <si>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</si>
  <si>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</si>
  <si>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</si>
  <si>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</si>
  <si>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</si>
  <si>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</si>
  <si>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</si>
  <si>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</si>
  <si>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</si>
  <si>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</si>
  <si>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</si>
  <si>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</si>
  <si>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</si>
  <si>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</si>
  <si>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</si>
  <si>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</si>
  <si>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</si>
  <si>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</si>
  <si>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</si>
  <si>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</si>
  <si>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</si>
  <si>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</si>
  <si>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</si>
  <si>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</si>
  <si>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</si>
  <si>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</si>
  <si>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</si>
  <si>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</si>
  <si>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</si>
  <si>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</si>
  <si>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</si>
  <si>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</si>
  <si>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</si>
  <si>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</si>
  <si>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</si>
  <si>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</si>
  <si>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</si>
  <si>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</si>
  <si>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</si>
  <si>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</si>
  <si>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</si>
  <si>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</si>
  <si>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</si>
  <si>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</si>
  <si>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</si>
  <si>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</si>
  <si>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</si>
  <si>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</si>
  <si>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</si>
  <si>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</si>
  <si>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</si>
  <si>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</si>
  <si>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</si>
  <si>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</si>
  <si>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</si>
  <si>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</si>
  <si>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</si>
  <si>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</si>
  <si>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</si>
  <si>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</si>
  <si>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</si>
  <si>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</si>
  <si>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</si>
  <si>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</si>
  <si>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</si>
  <si>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</si>
  <si>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</si>
  <si>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</si>
  <si>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</si>
  <si>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</si>
  <si>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</si>
  <si>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</si>
  <si>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</si>
  <si>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</si>
  <si>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</si>
  <si>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</si>
  <si>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</si>
  <si>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</si>
  <si>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</si>
  <si>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</si>
  <si>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</si>
  <si>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</si>
  <si>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</si>
  <si>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</si>
  <si>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</si>
  <si>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</si>
  <si>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</si>
  <si>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</si>
  <si>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</si>
  <si>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</si>
  <si>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</si>
  <si>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</si>
  <si>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</si>
  <si>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</si>
  <si>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</si>
  <si>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</si>
  <si>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</si>
  <si>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</si>
  <si>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</si>
  <si>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</si>
  <si>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</si>
  <si>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</si>
  <si>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</si>
  <si>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</si>
  <si>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</si>
  <si>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</si>
  <si>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</si>
  <si>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</si>
  <si>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</si>
  <si>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</si>
  <si>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</si>
  <si>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</si>
  <si>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</si>
  <si>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</si>
  <si>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</si>
  <si>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</si>
  <si>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</si>
  <si>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</si>
  <si>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</si>
  <si>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</si>
  <si>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</si>
  <si>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</si>
  <si>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</si>
  <si>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</si>
  <si>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</si>
  <si>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</si>
  <si>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</si>
  <si>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</si>
  <si>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</si>
  <si>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</si>
  <si>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</si>
  <si>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</si>
  <si>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</si>
  <si>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</si>
  <si>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</si>
  <si>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</si>
  <si>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</si>
  <si>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</si>
  <si>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</si>
  <si>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</si>
  <si>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</si>
  <si>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</si>
  <si>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</si>
  <si>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</si>
  <si>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</si>
  <si>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</si>
  <si>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</si>
  <si>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</si>
  <si>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</si>
  <si>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</si>
  <si>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</si>
  <si>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</si>
  <si>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</si>
  <si>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</si>
  <si>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</si>
  <si>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</si>
  <si>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</si>
  <si>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</si>
  <si>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</si>
  <si>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</si>
  <si>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</si>
  <si>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</si>
  <si>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</si>
  <si>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</si>
  <si>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</si>
  <si>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</si>
  <si>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</si>
  <si>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</si>
  <si>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</si>
  <si>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</si>
  <si>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</si>
  <si>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</si>
  <si>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</si>
  <si>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</si>
  <si>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</si>
  <si>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</si>
  <si>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</si>
  <si>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</si>
  <si>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</si>
  <si>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</si>
  <si>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</si>
  <si>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</si>
  <si>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</si>
  <si>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</si>
  <si>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</si>
  <si>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</si>
  <si>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</si>
  <si>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</si>
  <si>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</si>
  <si>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</si>
  <si>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</si>
  <si>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</si>
  <si>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</si>
  <si>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</si>
  <si>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</si>
  <si>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</si>
  <si>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</si>
  <si>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</si>
  <si>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</si>
  <si>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</si>
  <si>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</si>
  <si>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</si>
  <si>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</si>
  <si>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</si>
  <si>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</si>
  <si>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</si>
  <si>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</si>
  <si>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</si>
  <si>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</si>
  <si>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</si>
  <si>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</si>
  <si>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</si>
  <si>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</si>
  <si>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</si>
  <si>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</si>
  <si>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</si>
  <si>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</si>
  <si>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</si>
  <si>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</si>
  <si>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</si>
  <si>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</si>
  <si>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</si>
  <si>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</si>
  <si>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</si>
  <si>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</si>
  <si>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</si>
  <si>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</si>
  <si>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</si>
  <si>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</si>
  <si>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</si>
  <si>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</si>
  <si>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</si>
  <si>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</si>
  <si>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</si>
  <si>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</si>
  <si>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</si>
  <si>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</si>
  <si>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</si>
  <si>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</si>
  <si>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</si>
  <si>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</si>
  <si>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</si>
  <si>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</si>
  <si>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</si>
  <si>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</si>
  <si>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</si>
  <si>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</si>
  <si>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</si>
  <si>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</si>
  <si>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</si>
  <si>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</si>
  <si>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</si>
  <si>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</si>
  <si>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</si>
  <si>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</si>
  <si>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</si>
  <si>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</si>
  <si>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</si>
  <si>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</si>
  <si>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</si>
  <si>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</si>
  <si>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</si>
  <si>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</si>
  <si>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</si>
  <si>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</si>
  <si>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</si>
  <si>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</si>
  <si>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</si>
  <si>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</si>
  <si>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</si>
  <si>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</si>
  <si>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</si>
  <si>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</si>
  <si>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</si>
  <si>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</si>
  <si>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</si>
  <si>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</si>
  <si>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</si>
  <si>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</si>
  <si>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</si>
  <si>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</si>
  <si>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</si>
  <si>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</si>
  <si>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</si>
  <si>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</si>
  <si>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</si>
  <si>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</si>
  <si>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</si>
  <si>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</si>
  <si>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</si>
  <si>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</si>
  <si>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</si>
  <si>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</si>
  <si>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</si>
  <si>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</si>
  <si>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</si>
  <si>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</si>
  <si>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</si>
  <si>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</si>
  <si>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</si>
  <si>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</si>
  <si>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</si>
  <si>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</si>
  <si>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</si>
  <si>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</si>
  <si>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</si>
  <si>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</si>
  <si>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</si>
  <si>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</si>
  <si>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</si>
  <si>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</si>
  <si>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</si>
  <si>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</si>
  <si>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</si>
  <si>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</si>
  <si>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</si>
  <si>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</si>
  <si>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</si>
  <si>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</si>
  <si>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</si>
  <si>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</si>
  <si>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</si>
  <si>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</si>
  <si>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</si>
  <si>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</si>
  <si>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</si>
  <si>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</si>
  <si>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</si>
  <si>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</si>
  <si>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</si>
  <si>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</si>
  <si>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</si>
  <si>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</si>
  <si>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</si>
  <si>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</si>
  <si>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</si>
  <si>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</si>
  <si>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</si>
  <si>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</si>
  <si>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</si>
  <si>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</si>
  <si>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</si>
  <si>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</si>
  <si>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</si>
  <si>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</si>
  <si>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</si>
  <si>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</si>
  <si>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</si>
  <si>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</si>
  <si>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</si>
  <si>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</si>
  <si>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</si>
  <si>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</si>
  <si>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</si>
  <si>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</si>
  <si>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</si>
  <si>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</si>
  <si>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</si>
  <si>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</si>
  <si>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</si>
  <si>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</si>
  <si>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</si>
  <si>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</si>
  <si>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</si>
  <si>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</si>
  <si>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</si>
  <si>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</si>
  <si>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</si>
  <si>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</si>
  <si>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</si>
  <si>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</si>
  <si>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</si>
  <si>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</si>
  <si>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</si>
  <si>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</si>
  <si>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</si>
  <si>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</si>
  <si>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</si>
  <si>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</si>
  <si>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</si>
  <si>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</si>
  <si>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</si>
  <si>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</si>
  <si>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</si>
  <si>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</si>
  <si>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</si>
  <si>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</si>
  <si>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</si>
  <si>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</si>
  <si>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</si>
  <si>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</si>
  <si>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</si>
  <si>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</si>
  <si>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</si>
  <si>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</si>
  <si>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</si>
  <si>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</si>
  <si>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</si>
  <si>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</si>
  <si>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</si>
  <si>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</si>
  <si>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</si>
  <si>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</si>
  <si>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</si>
  <si>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</si>
  <si>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</si>
  <si>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</si>
  <si>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</si>
  <si>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</si>
  <si>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</si>
  <si>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</si>
  <si>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</si>
  <si>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</si>
  <si>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</si>
  <si>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</si>
  <si>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</si>
  <si>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</si>
  <si>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</si>
  <si>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</si>
  <si>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</si>
  <si>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</si>
  <si>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</si>
  <si>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</si>
  <si>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</si>
  <si>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</si>
  <si>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</si>
  <si>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</si>
  <si>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</si>
  <si>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</si>
  <si>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</si>
  <si>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</si>
  <si>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</si>
  <si>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</si>
  <si>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</si>
  <si>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</si>
  <si>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</si>
  <si>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</si>
  <si>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</si>
  <si>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</si>
  <si>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</si>
  <si>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</si>
  <si>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</si>
  <si>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</si>
  <si>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</si>
  <si>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</si>
  <si>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</si>
  <si>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</si>
  <si>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</si>
  <si>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</si>
  <si>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</si>
  <si>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</si>
  <si>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</si>
  <si>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</si>
  <si>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</si>
  <si>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</si>
  <si>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</si>
  <si>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</si>
  <si>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</si>
  <si>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</si>
  <si>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</si>
  <si>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</si>
  <si>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</si>
  <si>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</si>
  <si>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</si>
  <si>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</si>
  <si>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</si>
  <si>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</si>
  <si>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</si>
  <si>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</si>
  <si>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</si>
  <si>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</si>
  <si>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</si>
  <si>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</si>
  <si>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</si>
  <si>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</si>
  <si>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</si>
  <si>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</si>
  <si>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</si>
  <si>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</si>
  <si>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</si>
  <si>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</si>
  <si>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</si>
  <si>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</si>
  <si>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</si>
  <si>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</si>
  <si>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</si>
  <si>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</si>
  <si>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</si>
  <si>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</si>
  <si>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</si>
  <si>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</si>
  <si>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</si>
  <si>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</si>
  <si>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</si>
  <si>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</si>
  <si>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</si>
  <si>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</si>
  <si>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</si>
  <si>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</si>
  <si>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</si>
  <si>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</si>
  <si>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</si>
  <si>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</si>
  <si>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</si>
  <si>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</si>
  <si>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</si>
  <si>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</si>
  <si>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</si>
  <si>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</si>
  <si>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</si>
  <si>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</si>
  <si>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</si>
  <si>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</si>
  <si>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</si>
  <si>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</si>
  <si>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</si>
  <si>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</si>
  <si>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</si>
  <si>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</si>
  <si>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</si>
  <si>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</si>
  <si>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</si>
  <si>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</si>
  <si>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</si>
  <si>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</si>
  <si>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</si>
  <si>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</si>
  <si>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</si>
  <si>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</si>
  <si>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</si>
  <si>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</si>
  <si>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</si>
  <si>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</si>
  <si>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</si>
  <si>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</si>
  <si>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</si>
  <si>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</si>
  <si>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</si>
  <si>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</si>
  <si>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</si>
  <si>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</si>
  <si>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</si>
  <si>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</si>
  <si>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</si>
  <si>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</si>
  <si>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</si>
  <si>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</si>
  <si>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</si>
  <si>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</si>
  <si>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</si>
  <si>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</si>
  <si>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</si>
  <si>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</si>
  <si>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</si>
  <si>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</si>
  <si>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</si>
  <si>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</si>
  <si>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</si>
  <si>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</si>
  <si>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</si>
  <si>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</si>
  <si>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</si>
  <si>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</si>
  <si>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</si>
  <si>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</si>
  <si>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</si>
  <si>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</si>
  <si>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</si>
  <si>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</si>
  <si>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</si>
  <si>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</si>
  <si>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</si>
  <si>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</si>
  <si>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</si>
  <si>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</si>
  <si>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</si>
  <si>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</si>
  <si>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</si>
  <si>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</si>
  <si>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</si>
  <si>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</si>
  <si>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</si>
  <si>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</si>
  <si>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</si>
  <si>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</si>
  <si>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</si>
  <si>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</si>
  <si>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</si>
  <si>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</si>
  <si>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</si>
  <si>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</si>
  <si>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</si>
  <si>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</si>
  <si>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</si>
  <si>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</si>
  <si>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</si>
  <si>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</si>
  <si>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</si>
  <si>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</si>
  <si>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</si>
  <si>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</si>
  <si>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</si>
  <si>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</si>
  <si>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</si>
  <si>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</si>
  <si>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</si>
  <si>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</si>
  <si>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</si>
  <si>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</si>
  <si>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</si>
  <si>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</si>
  <si>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</si>
  <si>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</si>
  <si>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</si>
  <si>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</si>
  <si>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</si>
  <si>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</si>
  <si>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</si>
  <si>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</si>
  <si>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</si>
  <si>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</si>
  <si>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</si>
  <si>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</si>
  <si>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</si>
  <si>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</si>
  <si>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</si>
  <si>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</si>
  <si>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</si>
  <si>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</si>
  <si>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</si>
  <si>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</si>
  <si>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</si>
  <si>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</si>
  <si>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</si>
  <si>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</si>
  <si>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</si>
  <si>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</si>
  <si>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</si>
  <si>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</si>
  <si>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</si>
  <si>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</si>
  <si>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</si>
  <si>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</si>
  <si>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</si>
  <si>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</si>
  <si>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</si>
  <si>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</si>
  <si>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</si>
  <si>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</si>
  <si>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</si>
  <si>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</si>
  <si>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</si>
  <si>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</si>
  <si>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</si>
  <si>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</si>
  <si>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</si>
  <si>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</si>
  <si>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</si>
  <si>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</si>
  <si>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</si>
  <si>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</si>
  <si>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</si>
  <si>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</si>
  <si>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</si>
  <si>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</si>
  <si>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</si>
  <si>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</si>
  <si>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</si>
  <si>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</si>
  <si>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</si>
  <si>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</si>
  <si>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</si>
  <si>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</si>
  <si>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</si>
  <si>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</si>
  <si>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</si>
  <si>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</si>
  <si>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</si>
  <si>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</si>
  <si>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</si>
  <si>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</si>
  <si>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</si>
  <si>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</si>
  <si>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</si>
  <si>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</si>
  <si>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</si>
  <si>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</si>
  <si>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</si>
  <si>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</si>
  <si>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</si>
  <si>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</si>
  <si>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</si>
  <si>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</si>
  <si>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</si>
  <si>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</si>
  <si>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</si>
  <si>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</si>
  <si>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</si>
  <si>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</si>
  <si>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</si>
  <si>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</si>
  <si>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</si>
  <si>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</si>
  <si>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</si>
  <si>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</si>
  <si>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</si>
  <si>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</si>
  <si>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</si>
  <si>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</si>
  <si>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</si>
  <si>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</si>
  <si>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</si>
  <si>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</si>
  <si>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</si>
  <si>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</si>
  <si>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</si>
  <si>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</si>
  <si>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</si>
  <si>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</si>
  <si>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</si>
  <si>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</si>
  <si>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</si>
  <si>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</si>
  <si>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</si>
  <si>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</si>
  <si>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</si>
  <si>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</si>
  <si>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</si>
  <si>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</si>
  <si>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</si>
  <si>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</si>
  <si>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</si>
  <si>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</si>
  <si>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</si>
  <si>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</si>
  <si>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</si>
  <si>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</si>
  <si>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</si>
  <si>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</si>
  <si>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</si>
  <si>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</si>
  <si>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</si>
  <si>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</si>
  <si>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</si>
  <si>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</si>
  <si>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</si>
  <si>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</si>
  <si>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</si>
  <si>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</si>
  <si>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</si>
  <si>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</si>
  <si>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</si>
  <si>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</si>
  <si>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</si>
  <si>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</si>
  <si>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</si>
  <si>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</si>
  <si>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</si>
  <si>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</si>
  <si>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</si>
  <si>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</si>
  <si>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</si>
  <si>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</si>
  <si>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</si>
  <si>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</si>
  <si>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</si>
  <si>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</si>
  <si>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</si>
  <si>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</si>
  <si>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</si>
  <si>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</si>
  <si>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</si>
  <si>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</si>
  <si>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</si>
  <si>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</si>
  <si>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</si>
  <si>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</si>
  <si>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</si>
  <si>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</si>
  <si>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</si>
  <si>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</si>
  <si>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</si>
  <si>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</si>
  <si>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</si>
  <si>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</si>
  <si>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</si>
  <si>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</si>
  <si>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</si>
  <si>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</si>
  <si>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</si>
  <si>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</si>
  <si>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</si>
  <si>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</si>
  <si>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</si>
  <si>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</si>
  <si>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</si>
  <si>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</si>
  <si>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</si>
  <si>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</si>
  <si>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</si>
  <si>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</si>
  <si>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</si>
  <si>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</si>
  <si>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</si>
  <si>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</si>
  <si>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</si>
  <si>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</si>
  <si>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</si>
  <si>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</si>
  <si>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</si>
  <si>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</si>
  <si>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</si>
  <si>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</si>
  <si>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</si>
  <si>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</si>
  <si>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</si>
  <si>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</si>
  <si>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</si>
  <si>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</si>
  <si>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</si>
  <si>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</si>
  <si>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</si>
  <si>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</si>
  <si>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</si>
  <si>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</si>
  <si>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</si>
  <si>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</si>
  <si>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</si>
  <si>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</si>
  <si>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</si>
  <si>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</si>
  <si>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24086</t>
  </si>
  <si>
    <t>OUD-HEVERLEE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</si>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</sst>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94839.522164702939</c:v>
                </c:pt>
                <c:pt idx="1">
                  <c:v>17061.117119148323</c:v>
                </c:pt>
                <c:pt idx="2">
                  <c:v>673.33</c:v>
                </c:pt>
                <c:pt idx="3">
                  <c:v>538.69506536349684</c:v>
                </c:pt>
                <c:pt idx="4">
                  <c:v>1482.9250827393721</c:v>
                </c:pt>
                <c:pt idx="5">
                  <c:v>93016.69092219614</c:v>
                </c:pt>
                <c:pt idx="6">
                  <c:v>1084.8453128571973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94839.522164702939</c:v>
                </c:pt>
                <c:pt idx="1">
                  <c:v>17061.117119148323</c:v>
                </c:pt>
                <c:pt idx="2">
                  <c:v>673.33</c:v>
                </c:pt>
                <c:pt idx="3">
                  <c:v>538.69506536349684</c:v>
                </c:pt>
                <c:pt idx="4">
                  <c:v>1482.9250827393721</c:v>
                </c:pt>
                <c:pt idx="5">
                  <c:v>93016.69092219614</c:v>
                </c:pt>
                <c:pt idx="6">
                  <c:v>1084.8453128571973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19675.074993366481</c:v>
                </c:pt>
                <c:pt idx="2">
                  <c:v>3446.3233223135562</c:v>
                </c:pt>
                <c:pt idx="3">
                  <c:v>137.8128528222708</c:v>
                </c:pt>
                <c:pt idx="4">
                  <c:v>132.72906078119831</c:v>
                </c:pt>
                <c:pt idx="5">
                  <c:v>296.84266716999241</c:v>
                </c:pt>
                <c:pt idx="6">
                  <c:v>23783.212961766458</c:v>
                </c:pt>
                <c:pt idx="7">
                  <c:v>280.93958123593205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15872"/>
        <c:axId val="184066816"/>
      </c:barChart>
      <c:catAx>
        <c:axId val="184015872"/>
        <c:scaling>
          <c:orientation val="minMax"/>
        </c:scaling>
        <c:axPos val="b"/>
        <c:numFmt formatCode="General" sourceLinked="0"/>
        <c:tickLblPos val="nextTo"/>
        <c:crossAx val="184066816"/>
        <c:crosses val="autoZero"/>
        <c:auto val="1"/>
        <c:lblAlgn val="ctr"/>
        <c:lblOffset val="100"/>
      </c:catAx>
      <c:valAx>
        <c:axId val="184066816"/>
        <c:scaling>
          <c:orientation val="minMax"/>
        </c:scaling>
        <c:axPos val="l"/>
        <c:majorGridlines/>
        <c:numFmt formatCode="#,##0" sourceLinked="1"/>
        <c:tickLblPos val="nextTo"/>
        <c:crossAx val="184015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19675.074993366481</c:v>
                </c:pt>
                <c:pt idx="2">
                  <c:v>3446.3233223135562</c:v>
                </c:pt>
                <c:pt idx="3">
                  <c:v>137.8128528222708</c:v>
                </c:pt>
                <c:pt idx="4">
                  <c:v>132.72906078119831</c:v>
                </c:pt>
                <c:pt idx="5">
                  <c:v>296.84266716999241</c:v>
                </c:pt>
                <c:pt idx="6">
                  <c:v>23783.212961766458</c:v>
                </c:pt>
                <c:pt idx="7">
                  <c:v>280.93958123593205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24086</v>
      </c>
      <c r="B6" s="415"/>
      <c r="C6" s="416"/>
    </row>
    <row r="7" spans="1:7" s="413" customFormat="1" ht="15.75" customHeight="1">
      <c r="A7" s="417" t="str">
        <f>txtMunicipality</f>
        <v>OUD-HEVERLEE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0.20467356693192162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0.20467356693192162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24086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4237</v>
      </c>
      <c r="C9" s="342">
        <v>4389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680.27</v>
      </c>
    </row>
    <row r="15" spans="1:6">
      <c r="A15" s="348" t="s">
        <v>184</v>
      </c>
      <c r="B15" s="334">
        <v>1</v>
      </c>
    </row>
    <row r="16" spans="1:6">
      <c r="A16" s="348" t="s">
        <v>6</v>
      </c>
      <c r="B16" s="334">
        <v>0</v>
      </c>
    </row>
    <row r="17" spans="1:6">
      <c r="A17" s="348" t="s">
        <v>7</v>
      </c>
      <c r="B17" s="334">
        <v>113</v>
      </c>
    </row>
    <row r="18" spans="1:6">
      <c r="A18" s="348" t="s">
        <v>8</v>
      </c>
      <c r="B18" s="334">
        <v>138</v>
      </c>
    </row>
    <row r="19" spans="1:6">
      <c r="A19" s="348" t="s">
        <v>9</v>
      </c>
      <c r="B19" s="334">
        <v>186</v>
      </c>
    </row>
    <row r="20" spans="1:6">
      <c r="A20" s="348" t="s">
        <v>10</v>
      </c>
      <c r="B20" s="334">
        <v>68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78</v>
      </c>
    </row>
    <row r="27" spans="1:6">
      <c r="A27" s="348" t="s">
        <v>17</v>
      </c>
      <c r="B27" s="334">
        <v>0</v>
      </c>
    </row>
    <row r="28" spans="1:6" s="356" customFormat="1">
      <c r="A28" s="355" t="s">
        <v>18</v>
      </c>
      <c r="B28" s="355">
        <v>0</v>
      </c>
    </row>
    <row r="29" spans="1:6">
      <c r="A29" s="355" t="s">
        <v>884</v>
      </c>
      <c r="B29" s="355">
        <v>259</v>
      </c>
      <c r="C29" s="356"/>
      <c r="D29" s="356"/>
      <c r="E29" s="356"/>
      <c r="F29" s="356"/>
    </row>
    <row r="30" spans="1:6">
      <c r="A30" s="355" t="s">
        <v>885</v>
      </c>
      <c r="B30" s="341">
        <v>36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1892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1743</v>
      </c>
      <c r="D39" s="334">
        <v>31621664</v>
      </c>
      <c r="E39" s="334">
        <v>4221</v>
      </c>
      <c r="F39" s="334">
        <v>19297985</v>
      </c>
    </row>
    <row r="40" spans="1:6">
      <c r="A40" s="348" t="s">
        <v>30</v>
      </c>
      <c r="B40" s="348" t="s">
        <v>29</v>
      </c>
      <c r="C40" s="334">
        <v>0</v>
      </c>
      <c r="D40" s="334">
        <v>0</v>
      </c>
      <c r="E40" s="334">
        <v>0</v>
      </c>
      <c r="F40" s="334">
        <v>0</v>
      </c>
    </row>
    <row r="41" spans="1:6">
      <c r="A41" s="348" t="s">
        <v>32</v>
      </c>
      <c r="B41" s="348" t="s">
        <v>33</v>
      </c>
      <c r="C41" s="334">
        <v>11</v>
      </c>
      <c r="D41" s="334">
        <v>245656</v>
      </c>
      <c r="E41" s="334">
        <v>43</v>
      </c>
      <c r="F41" s="334">
        <v>427832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16439</v>
      </c>
    </row>
    <row r="45" spans="1:6">
      <c r="A45" s="348" t="s">
        <v>32</v>
      </c>
      <c r="B45" s="348" t="s">
        <v>37</v>
      </c>
      <c r="C45" s="334">
        <v>0</v>
      </c>
      <c r="D45" s="334">
        <v>0</v>
      </c>
      <c r="E45" s="334">
        <v>5</v>
      </c>
      <c r="F45" s="334">
        <v>19340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60000</v>
      </c>
      <c r="E48" s="334">
        <v>0</v>
      </c>
      <c r="F48" s="334">
        <v>4420</v>
      </c>
    </row>
    <row r="49" spans="1:6">
      <c r="A49" s="348" t="s">
        <v>32</v>
      </c>
      <c r="B49" s="348" t="s">
        <v>40</v>
      </c>
      <c r="C49" s="334">
        <v>0</v>
      </c>
      <c r="D49" s="334">
        <v>0</v>
      </c>
      <c r="E49" s="334">
        <v>0</v>
      </c>
      <c r="F49" s="334">
        <v>0</v>
      </c>
    </row>
    <row r="50" spans="1:6">
      <c r="A50" s="348" t="s">
        <v>32</v>
      </c>
      <c r="B50" s="348" t="s">
        <v>41</v>
      </c>
      <c r="C50" s="334">
        <v>0</v>
      </c>
      <c r="D50" s="334">
        <v>0</v>
      </c>
      <c r="E50" s="334">
        <v>6</v>
      </c>
      <c r="F50" s="334">
        <v>69820</v>
      </c>
    </row>
    <row r="51" spans="1:6">
      <c r="A51" s="348" t="s">
        <v>42</v>
      </c>
      <c r="B51" s="348" t="s">
        <v>43</v>
      </c>
      <c r="C51" s="334">
        <v>5</v>
      </c>
      <c r="D51" s="334">
        <v>110471</v>
      </c>
      <c r="E51" s="334">
        <v>21</v>
      </c>
      <c r="F51" s="334">
        <v>90996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673330</v>
      </c>
    </row>
    <row r="56" spans="1:6">
      <c r="A56" s="348" t="s">
        <v>48</v>
      </c>
      <c r="B56" s="348" t="s">
        <v>29</v>
      </c>
      <c r="C56" s="334">
        <v>25</v>
      </c>
      <c r="D56" s="334">
        <v>511525</v>
      </c>
      <c r="E56" s="334">
        <v>86</v>
      </c>
      <c r="F56" s="334">
        <v>365379</v>
      </c>
    </row>
    <row r="57" spans="1:6">
      <c r="A57" s="348" t="s">
        <v>49</v>
      </c>
      <c r="B57" s="348" t="s">
        <v>50</v>
      </c>
      <c r="C57" s="334">
        <v>13</v>
      </c>
      <c r="D57" s="334">
        <v>633141</v>
      </c>
      <c r="E57" s="334">
        <v>54</v>
      </c>
      <c r="F57" s="334">
        <v>886860</v>
      </c>
    </row>
    <row r="58" spans="1:6">
      <c r="A58" s="348" t="s">
        <v>49</v>
      </c>
      <c r="B58" s="348" t="s">
        <v>51</v>
      </c>
      <c r="C58" s="334">
        <v>7</v>
      </c>
      <c r="D58" s="334">
        <v>217535</v>
      </c>
      <c r="E58" s="334">
        <v>18</v>
      </c>
      <c r="F58" s="334">
        <v>292046</v>
      </c>
    </row>
    <row r="59" spans="1:6">
      <c r="A59" s="348" t="s">
        <v>49</v>
      </c>
      <c r="B59" s="348" t="s">
        <v>52</v>
      </c>
      <c r="C59" s="334">
        <v>27</v>
      </c>
      <c r="D59" s="334">
        <v>963660</v>
      </c>
      <c r="E59" s="334">
        <v>70</v>
      </c>
      <c r="F59" s="334">
        <v>904104</v>
      </c>
    </row>
    <row r="60" spans="1:6">
      <c r="A60" s="348" t="s">
        <v>49</v>
      </c>
      <c r="B60" s="348" t="s">
        <v>53</v>
      </c>
      <c r="C60" s="334">
        <v>20</v>
      </c>
      <c r="D60" s="334">
        <v>1436760</v>
      </c>
      <c r="E60" s="334">
        <v>32</v>
      </c>
      <c r="F60" s="334">
        <v>1347914</v>
      </c>
    </row>
    <row r="61" spans="1:6">
      <c r="A61" s="348" t="s">
        <v>49</v>
      </c>
      <c r="B61" s="348" t="s">
        <v>54</v>
      </c>
      <c r="C61" s="334">
        <v>92</v>
      </c>
      <c r="D61" s="334">
        <v>4338339</v>
      </c>
      <c r="E61" s="334">
        <v>244</v>
      </c>
      <c r="F61" s="334">
        <v>3157245</v>
      </c>
    </row>
    <row r="62" spans="1:6">
      <c r="A62" s="348" t="s">
        <v>49</v>
      </c>
      <c r="B62" s="348" t="s">
        <v>55</v>
      </c>
      <c r="C62" s="334">
        <v>4</v>
      </c>
      <c r="D62" s="334">
        <v>479708</v>
      </c>
      <c r="E62" s="334">
        <v>7</v>
      </c>
      <c r="F62" s="334">
        <v>267210</v>
      </c>
    </row>
    <row r="63" spans="1:6">
      <c r="A63" s="348" t="s">
        <v>49</v>
      </c>
      <c r="B63" s="348" t="s">
        <v>29</v>
      </c>
      <c r="C63" s="334">
        <v>0</v>
      </c>
      <c r="D63" s="334">
        <v>0</v>
      </c>
      <c r="E63" s="334">
        <v>1</v>
      </c>
      <c r="F63" s="334">
        <v>101149</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13475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32405226</v>
      </c>
      <c r="E73" s="475">
        <v>33303154.066235978</v>
      </c>
    </row>
    <row r="74" spans="1:6">
      <c r="A74" s="348" t="s">
        <v>64</v>
      </c>
      <c r="B74" s="348" t="s">
        <v>667</v>
      </c>
      <c r="C74" s="1294" t="s">
        <v>669</v>
      </c>
      <c r="D74" s="475">
        <v>2197418.6693790453</v>
      </c>
      <c r="E74" s="475">
        <v>2260352.2478493839</v>
      </c>
    </row>
    <row r="75" spans="1:6">
      <c r="A75" s="348" t="s">
        <v>65</v>
      </c>
      <c r="B75" s="348" t="s">
        <v>666</v>
      </c>
      <c r="C75" s="1294" t="s">
        <v>670</v>
      </c>
      <c r="D75" s="475">
        <v>30141416</v>
      </c>
      <c r="E75" s="475">
        <v>30884270.304384068</v>
      </c>
    </row>
    <row r="76" spans="1:6">
      <c r="A76" s="348" t="s">
        <v>65</v>
      </c>
      <c r="B76" s="348" t="s">
        <v>667</v>
      </c>
      <c r="C76" s="1294" t="s">
        <v>671</v>
      </c>
      <c r="D76" s="475">
        <v>1585101.6693790455</v>
      </c>
      <c r="E76" s="475">
        <v>1624579.5014443861</v>
      </c>
    </row>
    <row r="77" spans="1:6">
      <c r="A77" s="348" t="s">
        <v>66</v>
      </c>
      <c r="B77" s="348" t="s">
        <v>666</v>
      </c>
      <c r="C77" s="1294" t="s">
        <v>672</v>
      </c>
      <c r="D77" s="475">
        <v>39040340</v>
      </c>
      <c r="E77" s="475">
        <v>40648609.146945447</v>
      </c>
    </row>
    <row r="78" spans="1:6">
      <c r="A78" s="341" t="s">
        <v>66</v>
      </c>
      <c r="B78" s="341" t="s">
        <v>667</v>
      </c>
      <c r="C78" s="341" t="s">
        <v>673</v>
      </c>
      <c r="D78" s="1295">
        <v>3379290</v>
      </c>
      <c r="E78" s="1295">
        <v>3406363.2261817218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291374.66124190914</v>
      </c>
      <c r="C83" s="475">
        <v>291374.66124190914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2229.1908765966919</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446</v>
      </c>
    </row>
    <row r="98" spans="1:6">
      <c r="A98" s="348" t="s">
        <v>72</v>
      </c>
      <c r="B98" s="334">
        <v>1</v>
      </c>
    </row>
    <row r="99" spans="1:6">
      <c r="A99" s="348" t="s">
        <v>73</v>
      </c>
      <c r="B99" s="334">
        <v>73</v>
      </c>
    </row>
    <row r="100" spans="1:6">
      <c r="A100" s="348" t="s">
        <v>74</v>
      </c>
      <c r="B100" s="334">
        <v>431</v>
      </c>
    </row>
    <row r="101" spans="1:6">
      <c r="A101" s="348" t="s">
        <v>75</v>
      </c>
      <c r="B101" s="334">
        <v>63</v>
      </c>
    </row>
    <row r="102" spans="1:6">
      <c r="A102" s="348" t="s">
        <v>76</v>
      </c>
      <c r="B102" s="334">
        <v>40</v>
      </c>
    </row>
    <row r="103" spans="1:6">
      <c r="A103" s="348" t="s">
        <v>77</v>
      </c>
      <c r="B103" s="334">
        <v>76</v>
      </c>
    </row>
    <row r="104" spans="1:6">
      <c r="A104" s="348" t="s">
        <v>78</v>
      </c>
      <c r="B104" s="334">
        <v>2517</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76</v>
      </c>
    </row>
    <row r="130" spans="1:6">
      <c r="A130" s="348" t="s">
        <v>295</v>
      </c>
      <c r="B130" s="334">
        <v>3</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30175.06528667955</v>
      </c>
      <c r="C3" s="43" t="s">
        <v>170</v>
      </c>
      <c r="D3" s="43"/>
      <c r="E3" s="154"/>
      <c r="F3" s="43"/>
      <c r="G3" s="43"/>
      <c r="H3" s="43"/>
      <c r="I3" s="43"/>
      <c r="J3" s="43"/>
      <c r="K3" s="96"/>
    </row>
    <row r="4" spans="1:11">
      <c r="A4" s="383" t="s">
        <v>171</v>
      </c>
      <c r="B4" s="49">
        <f>IF(ISERROR('SEAP template'!B78+'SEAP template'!C78),0,'SEAP template'!B78+'SEAP template'!C78)</f>
        <v>2229.1908765966919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0.20467356693192162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673.33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673.33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0.20467356693192162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137.8128528222708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19297.985000000001</v>
      </c>
      <c r="C5" s="17">
        <f>IF(ISERROR('Eigen informatie GS &amp; warmtenet'!B57),0,'Eigen informatie GS &amp; warmtenet'!B57)</f>
        <v>0</v>
      </c>
      <c r="D5" s="30">
        <f>(SUM(HH_hh_gas_kWh,HH_rest_gas_kWh)/1000)*0.902</f>
        <v>28522.740928000003</v>
      </c>
      <c r="E5" s="17">
        <f>B46*B57</f>
        <v>3239.0211484323972</v>
      </c>
      <c r="F5" s="17">
        <f>B51*B62</f>
        <v>32854.605440383762</v>
      </c>
      <c r="G5" s="18"/>
      <c r="H5" s="17"/>
      <c r="I5" s="17"/>
      <c r="J5" s="17">
        <f>B50*B61+C50*C61</f>
        <v>0</v>
      </c>
      <c r="K5" s="17"/>
      <c r="L5" s="17"/>
      <c r="M5" s="17"/>
      <c r="N5" s="17">
        <f>B48*B59+C48*C59</f>
        <v>7938.89210462341</v>
      </c>
      <c r="O5" s="17">
        <f>B69*B70*B71</f>
        <v>146.95333333333335</v>
      </c>
      <c r="P5" s="17">
        <f>B77*B78*B79/1000-B77*B78*B79/1000/B80</f>
        <v>610.13333333333333</v>
      </c>
    </row>
    <row r="6" spans="1:16">
      <c r="A6" s="16" t="s">
        <v>624</v>
      </c>
      <c r="B6" s="788">
        <f>kWh_PV_kleiner_dan_10kW</f>
        <v>2229.1908765966919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21527.175876596692</v>
      </c>
      <c r="C8" s="21">
        <f>C5</f>
        <v>0</v>
      </c>
      <c r="D8" s="21">
        <f>D5</f>
        <v>28522.740928000003</v>
      </c>
      <c r="E8" s="21">
        <f>E5</f>
        <v>3239.0211484323972</v>
      </c>
      <c r="F8" s="21">
        <f>F5</f>
        <v>32854.605440383762</v>
      </c>
      <c r="G8" s="21"/>
      <c r="H8" s="21"/>
      <c r="I8" s="21"/>
      <c r="J8" s="21">
        <f>J5</f>
        <v>0</v>
      </c>
      <c r="K8" s="21"/>
      <c r="L8" s="21">
        <f>L5</f>
        <v>0</v>
      </c>
      <c r="M8" s="21">
        <f>M5</f>
        <v>0</v>
      </c>
      <c r="N8" s="21">
        <f>N5</f>
        <v>7938.89210462341</v>
      </c>
      <c r="O8" s="21">
        <f>O5</f>
        <v>146.95333333333335</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0.20467356693192162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4406.0438726338616</v>
      </c>
      <c r="C12" s="23">
        <f ca="1">C10*C8</f>
        <v>0</v>
      </c>
      <c r="D12" s="23">
        <f>D8*D10</f>
        <v>5761.5936674560007</v>
      </c>
      <c r="E12" s="23">
        <f>E10*E8</f>
        <v>735.25780069415418</v>
      </c>
      <c r="F12" s="23">
        <f>F10*F8</f>
        <v>8772.1796525824648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446</v>
      </c>
      <c r="C18" s="166" t="s">
        <v>111</v>
      </c>
      <c r="D18" s="228"/>
      <c r="E18" s="15"/>
    </row>
    <row r="19" spans="1:7">
      <c r="A19" s="171" t="s">
        <v>72</v>
      </c>
      <c r="B19" s="37">
        <f>aantalw2001_ander</f>
        <v>1</v>
      </c>
      <c r="C19" s="166" t="s">
        <v>111</v>
      </c>
      <c r="D19" s="229"/>
      <c r="E19" s="15"/>
    </row>
    <row r="20" spans="1:7">
      <c r="A20" s="171" t="s">
        <v>73</v>
      </c>
      <c r="B20" s="37">
        <f>aantalw2001_propaan</f>
        <v>73</v>
      </c>
      <c r="C20" s="167">
        <f>IF(ISERROR(B20/SUM($B$20,$B$21,$B$22)*100),0,B20/SUM($B$20,$B$21,$B$22)*100)</f>
        <v>12.874779541446207</v>
      </c>
      <c r="D20" s="229"/>
      <c r="E20" s="15"/>
    </row>
    <row r="21" spans="1:7">
      <c r="A21" s="171" t="s">
        <v>74</v>
      </c>
      <c r="B21" s="37">
        <f>aantalw2001_elektriciteit</f>
        <v>431</v>
      </c>
      <c r="C21" s="167">
        <f>IF(ISERROR(B21/SUM($B$20,$B$21,$B$22)*100),0,B21/SUM($B$20,$B$21,$B$22)*100)</f>
        <v>76.014109347442684</v>
      </c>
      <c r="D21" s="229"/>
      <c r="E21" s="15"/>
    </row>
    <row r="22" spans="1:7">
      <c r="A22" s="171" t="s">
        <v>75</v>
      </c>
      <c r="B22" s="37">
        <f>aantalw2001_hout</f>
        <v>63</v>
      </c>
      <c r="C22" s="167">
        <f>IF(ISERROR(B22/SUM($B$20,$B$21,$B$22)*100),0,B22/SUM($B$20,$B$21,$B$22)*100)</f>
        <v>11.111111111111111</v>
      </c>
      <c r="D22" s="229"/>
      <c r="E22" s="15"/>
    </row>
    <row r="23" spans="1:7">
      <c r="A23" s="171" t="s">
        <v>76</v>
      </c>
      <c r="B23" s="37">
        <f>aantalw2001_niet_gespec</f>
        <v>40</v>
      </c>
      <c r="C23" s="166" t="s">
        <v>111</v>
      </c>
      <c r="D23" s="228"/>
      <c r="E23" s="15"/>
    </row>
    <row r="24" spans="1:7">
      <c r="A24" s="171" t="s">
        <v>77</v>
      </c>
      <c r="B24" s="37">
        <f>aantalw2001_steenkool</f>
        <v>76</v>
      </c>
      <c r="C24" s="166" t="s">
        <v>111</v>
      </c>
      <c r="D24" s="229"/>
      <c r="E24" s="15"/>
    </row>
    <row r="25" spans="1:7">
      <c r="A25" s="171" t="s">
        <v>78</v>
      </c>
      <c r="B25" s="37">
        <f>aantalw2001_stookolie</f>
        <v>2517</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4237</v>
      </c>
      <c r="C28" s="36"/>
      <c r="D28" s="228"/>
    </row>
    <row r="29" spans="1:7" s="15" customFormat="1">
      <c r="A29" s="230" t="s">
        <v>699</v>
      </c>
      <c r="B29" s="37">
        <f>SUM(HH_hh_gas_aantal,HH_rest_gas_aantal)</f>
        <v>1743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1743</v>
      </c>
      <c r="C32" s="167">
        <f>IF(ISERROR(B32/SUM($B$32,$B$34,$B$35,$B$36,$B$38,$B$39)*100),0,B32/SUM($B$32,$B$34,$B$35,$B$36,$B$38,$B$39)*100)</f>
        <v>41.450653983353156</v>
      </c>
      <c r="D32" s="233"/>
      <c r="G32" s="15"/>
    </row>
    <row r="33" spans="1:7">
      <c r="A33" s="171" t="s">
        <v>72</v>
      </c>
      <c r="B33" s="34" t="s">
        <v>111</v>
      </c>
      <c r="C33" s="167"/>
      <c r="D33" s="233"/>
      <c r="G33" s="15"/>
    </row>
    <row r="34" spans="1:7">
      <c r="A34" s="171" t="s">
        <v>73</v>
      </c>
      <c r="B34" s="33">
        <f>IF((($B$28-$B$32-$B$39-$B$77-$B$38)*C20/100)&lt;0,0,($B$28-$B$32-$B$39-$B$77-$B$38)*C20/100)</f>
        <v>143.20617283950617</v>
      </c>
      <c r="C34" s="167">
        <f>IF(ISERROR(B34/SUM($B$32,$B$34,$B$35,$B$36,$B$38,$B$39)*100),0,B34/SUM($B$32,$B$34,$B$35,$B$36,$B$38,$B$39)*100)</f>
        <v>3.4056164765637615</v>
      </c>
      <c r="D34" s="233"/>
      <c r="G34" s="15"/>
    </row>
    <row r="35" spans="1:7">
      <c r="A35" s="171" t="s">
        <v>74</v>
      </c>
      <c r="B35" s="33">
        <f>IF((($B$28-$B$32-$B$39-$B$77-$B$38)*C21/100)&lt;0,0,($B$28-$B$32-$B$39-$B$77-$B$38)*C21/100)</f>
        <v>845.50493827160494</v>
      </c>
      <c r="C35" s="167">
        <f>IF(ISERROR(B35/SUM($B$32,$B$34,$B$35,$B$36,$B$38,$B$39)*100),0,B35/SUM($B$32,$B$34,$B$35,$B$36,$B$38,$B$39)*100)</f>
        <v>20.107132895876457</v>
      </c>
      <c r="D35" s="233"/>
      <c r="G35" s="15"/>
    </row>
    <row r="36" spans="1:7">
      <c r="A36" s="171" t="s">
        <v>75</v>
      </c>
      <c r="B36" s="33">
        <f>IF((($B$28-$B$32-$B$39-$B$77-$B$38)*C22/100)&lt;0,0,($B$28-$B$32-$B$39-$B$77-$B$38)*C22/100)</f>
        <v>123.58888888888889</v>
      </c>
      <c r="C36" s="167">
        <f>IF(ISERROR(B36/SUM($B$32,$B$34,$B$35,$B$36,$B$38,$B$39)*100),0,B36/SUM($B$32,$B$34,$B$35,$B$36,$B$38,$B$39)*100)</f>
        <v>2.9390936715550273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1349.7</v>
      </c>
      <c r="C39" s="167">
        <f>IF(ISERROR(B39/SUM($B$32,$B$34,$B$35,$B$36,$B$38,$B$39)*100),0,B39/SUM($B$32,$B$34,$B$35,$B$36,$B$38,$B$39)*100)</f>
        <v>32.097502972651604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1743</v>
      </c>
      <c r="C44" s="34" t="s">
        <v>111</v>
      </c>
      <c r="D44" s="174"/>
    </row>
    <row r="45" spans="1:7">
      <c r="A45" s="171" t="s">
        <v>72</v>
      </c>
      <c r="B45" s="33" t="str">
        <f t="shared" si="0"/>
        <v>-</v>
      </c>
      <c r="C45" s="34" t="s">
        <v>111</v>
      </c>
      <c r="D45" s="174"/>
    </row>
    <row r="46" spans="1:7">
      <c r="A46" s="171" t="s">
        <v>73</v>
      </c>
      <c r="B46" s="33">
        <f t="shared" si="0"/>
        <v>143.20617283950617</v>
      </c>
      <c r="C46" s="34" t="s">
        <v>111</v>
      </c>
      <c r="D46" s="174"/>
    </row>
    <row r="47" spans="1:7">
      <c r="A47" s="171" t="s">
        <v>74</v>
      </c>
      <c r="B47" s="33">
        <f t="shared" si="0"/>
        <v>845.50493827160494</v>
      </c>
      <c r="C47" s="34" t="s">
        <v>111</v>
      </c>
      <c r="D47" s="174"/>
    </row>
    <row r="48" spans="1:7">
      <c r="A48" s="171" t="s">
        <v>75</v>
      </c>
      <c r="B48" s="33">
        <f t="shared" si="0"/>
        <v>123.58888888888889</v>
      </c>
      <c r="C48" s="33">
        <f>B48*10</f>
        <v>1235.8888888888889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1349.7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6956.5280000000002</v>
      </c>
      <c r="C5" s="17">
        <f>IF(ISERROR('Eigen informatie GS &amp; warmtenet'!B58),0,'Eigen informatie GS &amp; warmtenet'!B58)</f>
        <v>0</v>
      </c>
      <c r="D5" s="30">
        <f>SUM(D6:D12)</f>
        <v>7278.3669859999991</v>
      </c>
      <c r="E5" s="17">
        <f>SUM(E6:E12)</f>
        <v>118.09736375328492</v>
      </c>
      <c r="F5" s="17">
        <f>SUM(F6:F12)</f>
        <v>1968.0437840740592</v>
      </c>
      <c r="G5" s="18"/>
      <c r="H5" s="17"/>
      <c r="I5" s="17"/>
      <c r="J5" s="17">
        <f>SUM(J6:J12)</f>
        <v>0</v>
      </c>
      <c r="K5" s="17"/>
      <c r="L5" s="17"/>
      <c r="M5" s="17"/>
      <c r="N5" s="17">
        <f>SUM(N6:N12)</f>
        <v>716.32431865431568</v>
      </c>
      <c r="O5" s="17">
        <f>B38*B39*B40</f>
        <v>4.6900000000000004</v>
      </c>
      <c r="P5" s="17">
        <f>B46*B47*B48/1000-B46*B47*B48/1000/B49</f>
        <v>19.066666666666666</v>
      </c>
      <c r="R5" s="32"/>
    </row>
    <row r="6" spans="1:18">
      <c r="A6" s="32" t="s">
        <v>54</v>
      </c>
      <c r="B6" s="37">
        <f>B26</f>
        <v>3157.2449999999999</v>
      </c>
      <c r="C6" s="33"/>
      <c r="D6" s="37">
        <f>IF(ISERROR(TER_kantoor_gas_kWh/1000),0,TER_kantoor_gas_kWh/1000)*0.902</f>
        <v>3913.1817780000001</v>
      </c>
      <c r="E6" s="33">
        <f>$C$26*'E Balans VL '!I12/100/3.6*1000000</f>
        <v>41.332226211895872</v>
      </c>
      <c r="F6" s="33">
        <f>$C$26*('E Balans VL '!L12+'E Balans VL '!N12)/100/3.6*1000000</f>
        <v>805.06484924890162</v>
      </c>
      <c r="G6" s="34"/>
      <c r="H6" s="33"/>
      <c r="I6" s="33"/>
      <c r="J6" s="33">
        <f>$C$26*('E Balans VL '!D12+'E Balans VL '!E12)/100/3.6*1000000</f>
        <v>0</v>
      </c>
      <c r="K6" s="33"/>
      <c r="L6" s="33"/>
      <c r="M6" s="33"/>
      <c r="N6" s="33">
        <f>$C$26*'E Balans VL '!Y12/100/3.6*1000000</f>
        <v>3.1678768534265882</v>
      </c>
      <c r="O6" s="33"/>
      <c r="P6" s="33"/>
      <c r="R6" s="32"/>
    </row>
    <row r="7" spans="1:18">
      <c r="A7" s="32" t="s">
        <v>53</v>
      </c>
      <c r="B7" s="37">
        <f t="shared" ref="B7:B12" si="0">B27</f>
        <v>1347.914</v>
      </c>
      <c r="C7" s="33"/>
      <c r="D7" s="37">
        <f>IF(ISERROR(TER_horeca_gas_kWh/1000),0,TER_horeca_gas_kWh/1000)*0.902</f>
        <v>1295.9575199999999</v>
      </c>
      <c r="E7" s="33">
        <f>$C$27*'E Balans VL '!I9/100/3.6*1000000</f>
        <v>44.607754314184042</v>
      </c>
      <c r="F7" s="33">
        <f>$C$27*('E Balans VL '!L9+'E Balans VL '!N9)/100/3.6*1000000</f>
        <v>579.59785416782381</v>
      </c>
      <c r="G7" s="34"/>
      <c r="H7" s="33"/>
      <c r="I7" s="33"/>
      <c r="J7" s="33">
        <f>$C$27*('E Balans VL '!D9+'E Balans VL '!E9)/100/3.6*1000000</f>
        <v>0</v>
      </c>
      <c r="K7" s="33"/>
      <c r="L7" s="33"/>
      <c r="M7" s="33"/>
      <c r="N7" s="33">
        <f>$C$27*'E Balans VL '!Y9/100/3.6*1000000</f>
        <v>0.32446247365933251</v>
      </c>
      <c r="O7" s="33"/>
      <c r="P7" s="33"/>
      <c r="R7" s="32"/>
    </row>
    <row r="8" spans="1:18">
      <c r="A8" s="6" t="s">
        <v>52</v>
      </c>
      <c r="B8" s="37">
        <f t="shared" si="0"/>
        <v>904.10400000000004</v>
      </c>
      <c r="C8" s="33"/>
      <c r="D8" s="37">
        <f>IF(ISERROR(TER_handel_gas_kWh/1000),0,TER_handel_gas_kWh/1000)*0.902</f>
        <v>869.22131999999999</v>
      </c>
      <c r="E8" s="33">
        <f>$C$28*'E Balans VL '!I13/100/3.6*1000000</f>
        <v>28.534903669791557</v>
      </c>
      <c r="F8" s="33">
        <f>$C$28*('E Balans VL '!L13+'E Balans VL '!N13)/100/3.6*1000000</f>
        <v>177.31071468302119</v>
      </c>
      <c r="G8" s="34"/>
      <c r="H8" s="33"/>
      <c r="I8" s="33"/>
      <c r="J8" s="33">
        <f>$C$28*('E Balans VL '!D13+'E Balans VL '!E13)/100/3.6*1000000</f>
        <v>0</v>
      </c>
      <c r="K8" s="33"/>
      <c r="L8" s="33"/>
      <c r="M8" s="33"/>
      <c r="N8" s="33">
        <f>$C$28*'E Balans VL '!Y13/100/3.6*1000000</f>
        <v>1.0729959183632838</v>
      </c>
      <c r="O8" s="33"/>
      <c r="P8" s="33"/>
      <c r="R8" s="32"/>
    </row>
    <row r="9" spans="1:18">
      <c r="A9" s="32" t="s">
        <v>51</v>
      </c>
      <c r="B9" s="37">
        <f t="shared" si="0"/>
        <v>292.04599999999999</v>
      </c>
      <c r="C9" s="33"/>
      <c r="D9" s="37">
        <f>IF(ISERROR(TER_gezond_gas_kWh/1000),0,TER_gezond_gas_kWh/1000)*0.902</f>
        <v>196.21656999999999</v>
      </c>
      <c r="E9" s="33">
        <f>$C$29*'E Balans VL '!I10/100/3.6*1000000</f>
        <v>3.7390431616163171E-2</v>
      </c>
      <c r="F9" s="33">
        <f>$C$29*('E Balans VL '!L10+'E Balans VL '!N10)/100/3.6*1000000</f>
        <v>60.84542256964555</v>
      </c>
      <c r="G9" s="34"/>
      <c r="H9" s="33"/>
      <c r="I9" s="33"/>
      <c r="J9" s="33">
        <f>$C$29*('E Balans VL '!D10+'E Balans VL '!E10)/100/3.6*1000000</f>
        <v>0</v>
      </c>
      <c r="K9" s="33"/>
      <c r="L9" s="33"/>
      <c r="M9" s="33"/>
      <c r="N9" s="33">
        <f>$C$29*'E Balans VL '!Y10/100/3.6*1000000</f>
        <v>3.4302183090870226</v>
      </c>
      <c r="O9" s="33"/>
      <c r="P9" s="33"/>
      <c r="R9" s="32"/>
    </row>
    <row r="10" spans="1:18">
      <c r="A10" s="32" t="s">
        <v>50</v>
      </c>
      <c r="B10" s="37">
        <f t="shared" si="0"/>
        <v>886.86</v>
      </c>
      <c r="C10" s="33"/>
      <c r="D10" s="37">
        <f>IF(ISERROR(TER_ander_gas_kWh/1000),0,TER_ander_gas_kWh/1000)*0.902</f>
        <v>571.09318199999996</v>
      </c>
      <c r="E10" s="33">
        <f>$C$30*'E Balans VL '!I14/100/3.6*1000000</f>
        <v>1.3336288810466967</v>
      </c>
      <c r="F10" s="33">
        <f>$C$30*('E Balans VL '!L14+'E Balans VL '!N14)/100/3.6*1000000</f>
        <v>195.79010042531564</v>
      </c>
      <c r="G10" s="34"/>
      <c r="H10" s="33"/>
      <c r="I10" s="33"/>
      <c r="J10" s="33">
        <f>$C$30*('E Balans VL '!D14+'E Balans VL '!E14)/100/3.6*1000000</f>
        <v>0</v>
      </c>
      <c r="K10" s="33"/>
      <c r="L10" s="33"/>
      <c r="M10" s="33"/>
      <c r="N10" s="33">
        <f>$C$30*'E Balans VL '!Y14/100/3.6*1000000</f>
        <v>698.90536342771088</v>
      </c>
      <c r="O10" s="33"/>
      <c r="P10" s="33"/>
      <c r="R10" s="32"/>
    </row>
    <row r="11" spans="1:18">
      <c r="A11" s="32" t="s">
        <v>55</v>
      </c>
      <c r="B11" s="37">
        <f t="shared" si="0"/>
        <v>267.20999999999998</v>
      </c>
      <c r="C11" s="33"/>
      <c r="D11" s="37">
        <f>IF(ISERROR(TER_onderwijs_gas_kWh/1000),0,TER_onderwijs_gas_kWh/1000)*0.902</f>
        <v>432.69661600000006</v>
      </c>
      <c r="E11" s="33">
        <f>$C$31*'E Balans VL '!I11/100/3.6*1000000</f>
        <v>0.47057920212059839</v>
      </c>
      <c r="F11" s="33">
        <f>$C$31*('E Balans VL '!L11+'E Balans VL '!N11)/100/3.6*1000000</f>
        <v>123.37569215695298</v>
      </c>
      <c r="G11" s="34"/>
      <c r="H11" s="33"/>
      <c r="I11" s="33"/>
      <c r="J11" s="33">
        <f>$C$31*('E Balans VL '!D11+'E Balans VL '!E11)/100/3.6*1000000</f>
        <v>0</v>
      </c>
      <c r="K11" s="33"/>
      <c r="L11" s="33"/>
      <c r="M11" s="33"/>
      <c r="N11" s="33">
        <f>$C$31*'E Balans VL '!Y11/100/3.6*1000000</f>
        <v>0.49781592518795914</v>
      </c>
      <c r="O11" s="33"/>
      <c r="P11" s="33"/>
      <c r="R11" s="32"/>
    </row>
    <row r="12" spans="1:18">
      <c r="A12" s="32" t="s">
        <v>260</v>
      </c>
      <c r="B12" s="37">
        <f t="shared" si="0"/>
        <v>101.149</v>
      </c>
      <c r="C12" s="33"/>
      <c r="D12" s="37">
        <f>IF(ISERROR(TER_rest_gas_kWh/1000),0,TER_rest_gas_kWh/1000)*0.902</f>
        <v>0</v>
      </c>
      <c r="E12" s="33">
        <f>$C$32*'E Balans VL '!I8/100/3.6*1000000</f>
        <v>1.7808810426299799</v>
      </c>
      <c r="F12" s="33">
        <f>$C$32*('E Balans VL '!L8+'E Balans VL '!N8)/100/3.6*1000000</f>
        <v>26.059150822398493</v>
      </c>
      <c r="G12" s="34"/>
      <c r="H12" s="33"/>
      <c r="I12" s="33"/>
      <c r="J12" s="33">
        <f>$C$32*('E Balans VL '!D8+'E Balans VL '!E8)/100/3.6*1000000</f>
        <v>0</v>
      </c>
      <c r="K12" s="33"/>
      <c r="L12" s="33"/>
      <c r="M12" s="33"/>
      <c r="N12" s="33">
        <f>$C$32*'E Balans VL '!Y8/100/3.6*1000000</f>
        <v>8.9255857468806035</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6956.5280000000002</v>
      </c>
      <c r="C16" s="21">
        <f t="shared" ca="1" si="1"/>
        <v>0</v>
      </c>
      <c r="D16" s="21">
        <f t="shared" ca="1" si="1"/>
        <v>7278.3669859999991</v>
      </c>
      <c r="E16" s="21">
        <f t="shared" si="1"/>
        <v>118.09736375328492</v>
      </c>
      <c r="F16" s="21">
        <f t="shared" ca="1" si="1"/>
        <v>1968.0437840740592</v>
      </c>
      <c r="G16" s="21">
        <f t="shared" si="1"/>
        <v>0</v>
      </c>
      <c r="H16" s="21">
        <f t="shared" si="1"/>
        <v>0</v>
      </c>
      <c r="I16" s="21">
        <f t="shared" si="1"/>
        <v>0</v>
      </c>
      <c r="J16" s="21">
        <f t="shared" si="1"/>
        <v>0</v>
      </c>
      <c r="K16" s="21">
        <f t="shared" si="1"/>
        <v>0</v>
      </c>
      <c r="L16" s="21">
        <f t="shared" ca="1" si="1"/>
        <v>0</v>
      </c>
      <c r="M16" s="21">
        <f t="shared" si="1"/>
        <v>0</v>
      </c>
      <c r="N16" s="21">
        <f t="shared" ca="1" si="1"/>
        <v>716.32431865431568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0.20467356693192162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1423.8173992217869</v>
      </c>
      <c r="C20" s="23">
        <f t="shared" ref="C20:P20" ca="1" si="2">C16*C18</f>
        <v>0</v>
      </c>
      <c r="D20" s="23">
        <f t="shared" ca="1" si="2"/>
        <v>1470.2301311719998</v>
      </c>
      <c r="E20" s="23">
        <f t="shared" si="2"/>
        <v>26.808101571995678</v>
      </c>
      <c r="F20" s="23">
        <f t="shared" ca="1" si="2"/>
        <v>525.46769034777378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3157.2449999999999</v>
      </c>
      <c r="C26" s="39">
        <f>IF(ISERROR(B26*3.6/1000000/'E Balans VL '!Z12*100),0,B26*3.6/1000000/'E Balans VL '!Z12*100)</f>
        <v>6.7630640668130862E-2</v>
      </c>
      <c r="D26" s="237" t="s">
        <v>660</v>
      </c>
      <c r="F26" s="6"/>
    </row>
    <row r="27" spans="1:18">
      <c r="A27" s="231" t="s">
        <v>53</v>
      </c>
      <c r="B27" s="33">
        <f>IF(ISERROR(TER_horeca_ele_kWh/1000),0,TER_horeca_ele_kWh/1000)</f>
        <v>1347.914</v>
      </c>
      <c r="C27" s="39">
        <f>IF(ISERROR(B27*3.6/1000000/'E Balans VL '!Z9*100),0,B27*3.6/1000000/'E Balans VL '!Z9*100)</f>
        <v>0.10816541319875962</v>
      </c>
      <c r="D27" s="237" t="s">
        <v>660</v>
      </c>
      <c r="F27" s="6"/>
    </row>
    <row r="28" spans="1:18">
      <c r="A28" s="171" t="s">
        <v>52</v>
      </c>
      <c r="B28" s="33">
        <f>IF(ISERROR(TER_handel_ele_kWh/1000),0,TER_handel_ele_kWh/1000)</f>
        <v>904.10400000000004</v>
      </c>
      <c r="C28" s="39">
        <f>IF(ISERROR(B28*3.6/1000000/'E Balans VL '!Z13*100),0,B28*3.6/1000000/'E Balans VL '!Z13*100)</f>
        <v>2.6665882266298117E-2</v>
      </c>
      <c r="D28" s="237" t="s">
        <v>660</v>
      </c>
      <c r="F28" s="6"/>
    </row>
    <row r="29" spans="1:18">
      <c r="A29" s="231" t="s">
        <v>51</v>
      </c>
      <c r="B29" s="33">
        <f>IF(ISERROR(TER_gezond_ele_kWh/1000),0,TER_gezond_ele_kWh/1000)</f>
        <v>292.04599999999999</v>
      </c>
      <c r="C29" s="39">
        <f>IF(ISERROR(B29*3.6/1000000/'E Balans VL '!Z10*100),0,B29*3.6/1000000/'E Balans VL '!Z10*100)</f>
        <v>3.1182682753115663E-2</v>
      </c>
      <c r="D29" s="237" t="s">
        <v>660</v>
      </c>
      <c r="F29" s="6"/>
    </row>
    <row r="30" spans="1:18">
      <c r="A30" s="231" t="s">
        <v>50</v>
      </c>
      <c r="B30" s="33">
        <f>IF(ISERROR(TER_ander_ele_kWh/1000),0,TER_ander_ele_kWh/1000)</f>
        <v>886.86</v>
      </c>
      <c r="C30" s="39">
        <f>IF(ISERROR(B30*3.6/1000000/'E Balans VL '!Z14*100),0,B30*3.6/1000000/'E Balans VL '!Z14*100)</f>
        <v>6.6988018358745169E-2</v>
      </c>
      <c r="D30" s="237" t="s">
        <v>660</v>
      </c>
      <c r="F30" s="6"/>
    </row>
    <row r="31" spans="1:18">
      <c r="A31" s="231" t="s">
        <v>55</v>
      </c>
      <c r="B31" s="33">
        <f>IF(ISERROR(TER_onderwijs_ele_kWh/1000),0,TER_onderwijs_ele_kWh/1000)</f>
        <v>267.20999999999998</v>
      </c>
      <c r="C31" s="39">
        <f>IF(ISERROR(B31*3.6/1000000/'E Balans VL '!Z11*100),0,B31*3.6/1000000/'E Balans VL '!Z11*100)</f>
        <v>5.3958619158919835E-2</v>
      </c>
      <c r="D31" s="237" t="s">
        <v>660</v>
      </c>
    </row>
    <row r="32" spans="1:18">
      <c r="A32" s="231" t="s">
        <v>260</v>
      </c>
      <c r="B32" s="33">
        <f>IF(ISERROR(TER_rest_ele_kWh/1000),0,TER_rest_ele_kWh/1000)</f>
        <v>101.149</v>
      </c>
      <c r="C32" s="39">
        <f>IF(ISERROR(B32*3.6/1000000/'E Balans VL '!Z8*100),0,B32*3.6/1000000/'E Balans VL '!Z8*100)</f>
        <v>8.3866605896639867E-4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537.851</v>
      </c>
      <c r="C5" s="17">
        <f>IF(ISERROR('Eigen informatie GS &amp; warmtenet'!B59),0,'Eigen informatie GS &amp; warmtenet'!B59)</f>
        <v>0</v>
      </c>
      <c r="D5" s="30">
        <f>SUM(D6:D15)</f>
        <v>275.70171200000004</v>
      </c>
      <c r="E5" s="17">
        <f>SUM(E6:E15)</f>
        <v>112.19030435523923</v>
      </c>
      <c r="F5" s="17">
        <f>SUM(F6:F15)</f>
        <v>395.427632657625</v>
      </c>
      <c r="G5" s="18"/>
      <c r="H5" s="17"/>
      <c r="I5" s="17"/>
      <c r="J5" s="17">
        <f>SUM(J6:J15)</f>
        <v>5.8366355554360295E-2</v>
      </c>
      <c r="K5" s="17"/>
      <c r="L5" s="17"/>
      <c r="M5" s="17"/>
      <c r="N5" s="17">
        <f>SUM(N6:N15)</f>
        <v>161.69606737095353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16.439</v>
      </c>
      <c r="C8" s="33"/>
      <c r="D8" s="37">
        <f>IF( ISERROR(IND_metaal_Gas_kWH/1000),0,IND_metaal_Gas_kWH/1000)*0.902</f>
        <v>0</v>
      </c>
      <c r="E8" s="33">
        <f>C30*'E Balans VL '!I18/100/3.6*1000000</f>
        <v>0.59152495134618877</v>
      </c>
      <c r="F8" s="33">
        <f>C30*'E Balans VL '!L18/100/3.6*1000000+C30*'E Balans VL '!N18/100/3.6*1000000</f>
        <v>7.1783784049541088</v>
      </c>
      <c r="G8" s="34"/>
      <c r="H8" s="33"/>
      <c r="I8" s="33"/>
      <c r="J8" s="40">
        <f>C30*'E Balans VL '!D18/100/3.6*1000000+C30*'E Balans VL '!E18/100/3.6*1000000</f>
        <v>0</v>
      </c>
      <c r="K8" s="33"/>
      <c r="L8" s="33"/>
      <c r="M8" s="33"/>
      <c r="N8" s="33">
        <f>C30*'E Balans VL '!Y18/100/3.6*1000000</f>
        <v>0.82391150851577399</v>
      </c>
      <c r="O8" s="33"/>
      <c r="P8" s="33"/>
      <c r="R8" s="32"/>
    </row>
    <row r="9" spans="1:18">
      <c r="A9" s="6" t="s">
        <v>33</v>
      </c>
      <c r="B9" s="37">
        <f t="shared" si="0"/>
        <v>427.83199999999999</v>
      </c>
      <c r="C9" s="33"/>
      <c r="D9" s="37">
        <f>IF( ISERROR(IND_andere_gas_kWh/1000),0,IND_andere_gas_kWh/1000)*0.902</f>
        <v>221.58171200000001</v>
      </c>
      <c r="E9" s="33">
        <f>C31*'E Balans VL '!I19/100/3.6*1000000</f>
        <v>109.17304642987411</v>
      </c>
      <c r="F9" s="33">
        <f>C31*'E Balans VL '!L19/100/3.6*1000000+C31*'E Balans VL '!N19/100/3.6*1000000</f>
        <v>368.3311948967193</v>
      </c>
      <c r="G9" s="34"/>
      <c r="H9" s="33"/>
      <c r="I9" s="33"/>
      <c r="J9" s="40">
        <f>C31*'E Balans VL '!D19/100/3.6*1000000+C31*'E Balans VL '!E19/100/3.6*1000000</f>
        <v>0</v>
      </c>
      <c r="K9" s="33"/>
      <c r="L9" s="33"/>
      <c r="M9" s="33"/>
      <c r="N9" s="33">
        <f>C31*'E Balans VL '!Y19/100/3.6*1000000</f>
        <v>133.79771811579269</v>
      </c>
      <c r="O9" s="33"/>
      <c r="P9" s="33"/>
      <c r="R9" s="32"/>
    </row>
    <row r="10" spans="1:18">
      <c r="A10" s="6" t="s">
        <v>41</v>
      </c>
      <c r="B10" s="37">
        <f t="shared" si="0"/>
        <v>69.819999999999993</v>
      </c>
      <c r="C10" s="33"/>
      <c r="D10" s="37">
        <f>IF( ISERROR(IND_voed_gas_kWh/1000),0,IND_voed_gas_kWh/1000)*0.902</f>
        <v>0</v>
      </c>
      <c r="E10" s="33">
        <f>C32*'E Balans VL '!I20/100/3.6*1000000</f>
        <v>1.7749202707164431</v>
      </c>
      <c r="F10" s="33">
        <f>C32*'E Balans VL '!L20/100/3.6*1000000+C32*'E Balans VL '!N20/100/3.6*1000000</f>
        <v>15.79921791141278</v>
      </c>
      <c r="G10" s="34"/>
      <c r="H10" s="33"/>
      <c r="I10" s="33"/>
      <c r="J10" s="40">
        <f>C32*'E Balans VL '!D20/100/3.6*1000000+C32*'E Balans VL '!E20/100/3.6*1000000</f>
        <v>0</v>
      </c>
      <c r="K10" s="33"/>
      <c r="L10" s="33"/>
      <c r="M10" s="33"/>
      <c r="N10" s="33">
        <f>C32*'E Balans VL '!Y20/100/3.6*1000000</f>
        <v>26.184392545540739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19.34</v>
      </c>
      <c r="C12" s="33"/>
      <c r="D12" s="37">
        <f>IF( ISERROR(IND_min_gas_kWh/1000),0,IND_min_gas_kWh/1000)*0.902</f>
        <v>0</v>
      </c>
      <c r="E12" s="33">
        <f>C34*'E Balans VL '!I22/100/3.6*1000000</f>
        <v>0.41092652966236243</v>
      </c>
      <c r="F12" s="33">
        <f>C34*'E Balans VL '!L22/100/3.6*1000000+C34*'E Balans VL '!N22/100/3.6*1000000</f>
        <v>3.1554858173872251</v>
      </c>
      <c r="G12" s="34"/>
      <c r="H12" s="33"/>
      <c r="I12" s="33"/>
      <c r="J12" s="40">
        <f>C34*'E Balans VL '!D22/100/3.6*1000000+C34*'E Balans VL '!E22/100/3.6*1000000</f>
        <v>2.253290481870112E-2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4.42</v>
      </c>
      <c r="C15" s="33"/>
      <c r="D15" s="37">
        <f>IF( ISERROR(IND_rest_gas_kWh/1000),0,IND_rest_gas_kWh/1000)*0.902</f>
        <v>54.120000000000005</v>
      </c>
      <c r="E15" s="33">
        <f>C37*'E Balans VL '!I15/100/3.6*1000000</f>
        <v>0.23988617364012954</v>
      </c>
      <c r="F15" s="33">
        <f>C37*'E Balans VL '!L15/100/3.6*1000000+C37*'E Balans VL '!N15/100/3.6*1000000</f>
        <v>0.96335562715157663</v>
      </c>
      <c r="G15" s="34"/>
      <c r="H15" s="33"/>
      <c r="I15" s="33"/>
      <c r="J15" s="40">
        <f>C37*'E Balans VL '!D15/100/3.6*1000000+C37*'E Balans VL '!E15/100/3.6*1000000</f>
        <v>3.5833450735659175E-2</v>
      </c>
      <c r="K15" s="33"/>
      <c r="L15" s="33"/>
      <c r="M15" s="33"/>
      <c r="N15" s="33">
        <f>C37*'E Balans VL '!Y15/100/3.6*1000000</f>
        <v>0.89004520110433394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537.851</v>
      </c>
      <c r="C18" s="21">
        <f>C5+C16</f>
        <v>0</v>
      </c>
      <c r="D18" s="21">
        <f>MAX((D5+D16),0)</f>
        <v>275.70171200000004</v>
      </c>
      <c r="E18" s="21">
        <f>MAX((E5+E16),0)</f>
        <v>112.19030435523923</v>
      </c>
      <c r="F18" s="21">
        <f>MAX((F5+F16),0)</f>
        <v>395.427632657625</v>
      </c>
      <c r="G18" s="21"/>
      <c r="H18" s="21"/>
      <c r="I18" s="21"/>
      <c r="J18" s="21">
        <f>MAX((J5+J16),0)</f>
        <v>5.8366355554360295E-2</v>
      </c>
      <c r="K18" s="21"/>
      <c r="L18" s="21">
        <f>MAX((L5+L16),0)</f>
        <v>0</v>
      </c>
      <c r="M18" s="21"/>
      <c r="N18" s="21">
        <f>MAX((N5+N16),0)</f>
        <v>161.69606737095353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0.20467356693192162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110.08388264790098</v>
      </c>
      <c r="C22" s="23">
        <f ca="1">C18*C20</f>
        <v>0</v>
      </c>
      <c r="D22" s="23">
        <f>D18*D20</f>
        <v>55.691745824000009</v>
      </c>
      <c r="E22" s="23">
        <f>E18*E20</f>
        <v>25.467199088639308</v>
      </c>
      <c r="F22" s="23">
        <f>F18*F20</f>
        <v>105.57917791958587</v>
      </c>
      <c r="G22" s="23"/>
      <c r="H22" s="23"/>
      <c r="I22" s="23"/>
      <c r="J22" s="23">
        <f>J18*J20</f>
        <v>2.0661689866243543E-2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16.439</v>
      </c>
      <c r="C30" s="39">
        <f>IF(ISERROR(B30*3.6/1000000/'E Balans VL '!Z18*100),0,B30*3.6/1000000/'E Balans VL '!Z18*100)</f>
        <v>3.4830716571288231E-3</v>
      </c>
      <c r="D30" s="237" t="s">
        <v>660</v>
      </c>
    </row>
    <row r="31" spans="1:18">
      <c r="A31" s="6" t="s">
        <v>33</v>
      </c>
      <c r="B31" s="37">
        <f>IF( ISERROR(IND_ander_ele_kWh/1000),0,IND_ander_ele_kWh/1000)</f>
        <v>427.83199999999999</v>
      </c>
      <c r="C31" s="39">
        <f>IF(ISERROR(B31*3.6/1000000/'E Balans VL '!Z19*100),0,B31*3.6/1000000/'E Balans VL '!Z19*100)</f>
        <v>1.8008420343206551E-2</v>
      </c>
      <c r="D31" s="237" t="s">
        <v>660</v>
      </c>
    </row>
    <row r="32" spans="1:18">
      <c r="A32" s="171" t="s">
        <v>41</v>
      </c>
      <c r="B32" s="37">
        <f>IF( ISERROR(IND_voed_ele_kWh/1000),0,IND_voed_ele_kWh/1000)</f>
        <v>69.819999999999993</v>
      </c>
      <c r="C32" s="39">
        <f>IF(ISERROR(B32*3.6/1000000/'E Balans VL '!Z20*100),0,B32*3.6/1000000/'E Balans VL '!Z20*100)</f>
        <v>1.1664220958969249E-2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19.34</v>
      </c>
      <c r="C34" s="39">
        <f>IF(ISERROR(B34*3.6/1000000/'E Balans VL '!Z22*100),0,B34*3.6/1000000/'E Balans VL '!Z22*100)</f>
        <v>2.4514493003119529E-3</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4.42</v>
      </c>
      <c r="C37" s="39">
        <f>IF(ISERROR(B37*3.6/1000000/'E Balans VL '!Z15*100),0,B37*3.6/1000000/'E Balans VL '!Z15*100)</f>
        <v>3.568437150244457E-5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90.995999999999995</v>
      </c>
      <c r="C5" s="17">
        <f>'Eigen informatie GS &amp; warmtenet'!B60</f>
        <v>0</v>
      </c>
      <c r="D5" s="30">
        <f>IF(ISERROR(SUM(LB_lb_gas_kWh,LB_rest_gas_kWh)/1000),0,SUM(LB_lb_gas_kWh,LB_rest_gas_kWh)/1000)*0.902</f>
        <v>99.644842000000011</v>
      </c>
      <c r="E5" s="17">
        <f>B17*'E Balans VL '!I25/3.6*1000000/100</f>
        <v>2.3464374557539749</v>
      </c>
      <c r="F5" s="17">
        <f>B17*('E Balans VL '!L25/3.6*1000000+'E Balans VL '!N25/3.6*1000000)/100</f>
        <v>332.60770934638987</v>
      </c>
      <c r="G5" s="18"/>
      <c r="H5" s="17"/>
      <c r="I5" s="17"/>
      <c r="J5" s="17">
        <f>('E Balans VL '!D25+'E Balans VL '!E25)/3.6*1000000*landbouw!B17/100</f>
        <v>13.100076561352886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90.995999999999995</v>
      </c>
      <c r="C8" s="21">
        <f>C5+C6</f>
        <v>0</v>
      </c>
      <c r="D8" s="21">
        <f>MAX((D5+D6),0)</f>
        <v>99.644842000000011</v>
      </c>
      <c r="E8" s="21">
        <f>MAX((E5+E6),0)</f>
        <v>2.3464374557539749</v>
      </c>
      <c r="F8" s="21">
        <f>MAX((F5+F6),0)</f>
        <v>332.60770934638987</v>
      </c>
      <c r="G8" s="21"/>
      <c r="H8" s="21"/>
      <c r="I8" s="21"/>
      <c r="J8" s="21">
        <f>MAX((J5+J6),0)</f>
        <v>13.100076561352886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0.20467356693192162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18.624475896537138</v>
      </c>
      <c r="C12" s="23">
        <f ca="1">C8*C10</f>
        <v>0</v>
      </c>
      <c r="D12" s="23">
        <f>D8*D10</f>
        <v>20.128258084000002</v>
      </c>
      <c r="E12" s="23">
        <f>E8*E10</f>
        <v>0.53264130245615227</v>
      </c>
      <c r="F12" s="23">
        <f>F8*F10</f>
        <v>88.806258395486097</v>
      </c>
      <c r="G12" s="23"/>
      <c r="H12" s="23"/>
      <c r="I12" s="23"/>
      <c r="J12" s="23">
        <f>J8*J10</f>
        <v>4.6374271027189211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1.2831038743988749E-2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32.881927462419924</v>
      </c>
      <c r="C26" s="247">
        <f>B26*'GWP N2O_CH4'!B5</f>
        <v>690.52047671081846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2.1244404329320052</v>
      </c>
      <c r="C27" s="247">
        <f>B27*'GWP N2O_CH4'!B5</f>
        <v>44.613249091572108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0.48239020392917942</v>
      </c>
      <c r="C28" s="247">
        <f>B28*'GWP N2O_CH4'!B4</f>
        <v>149.54096321804562</v>
      </c>
      <c r="D28" s="50"/>
    </row>
    <row r="29" spans="1:4">
      <c r="A29" s="41" t="s">
        <v>277</v>
      </c>
      <c r="B29" s="247">
        <f>B34*'ha_N2O bodem landbouw'!B4</f>
        <v>4.4877960305570292</v>
      </c>
      <c r="C29" s="247">
        <f>B29*'GWP N2O_CH4'!B4</f>
        <v>1391.2167694726791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1.0099979808057772E-3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8.5699476298291803E-5</v>
      </c>
      <c r="C5" s="463" t="s">
        <v>211</v>
      </c>
      <c r="D5" s="448">
        <f>SUM(D6:D11)</f>
        <v>2.1228809175635798E-4</v>
      </c>
      <c r="E5" s="448">
        <f>SUM(E6:E11)</f>
        <v>8.753034237095771E-4</v>
      </c>
      <c r="F5" s="461" t="s">
        <v>211</v>
      </c>
      <c r="G5" s="448">
        <f>SUM(G6:G11)</f>
        <v>0.26604318798990167</v>
      </c>
      <c r="H5" s="448">
        <f>SUM(H6:H11)</f>
        <v>5.7537827228274968E-2</v>
      </c>
      <c r="I5" s="463" t="s">
        <v>211</v>
      </c>
      <c r="J5" s="463" t="s">
        <v>211</v>
      </c>
      <c r="K5" s="463" t="s">
        <v>211</v>
      </c>
      <c r="L5" s="463" t="s">
        <v>211</v>
      </c>
      <c r="M5" s="448">
        <f>SUM(M6:M11)</f>
        <v>1.0105781109965271E-2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2.7337271398886416E-5</v>
      </c>
      <c r="C6" s="449"/>
      <c r="D6" s="892">
        <f>vkm_2011_GW_PW*SUMIFS(TableVerdeelsleutelVkm[CNG],TableVerdeelsleutelVkm[Voertuigtype],"Lichte voertuigen")*SUMIFS(TableECFTransport[EnergieConsumptieFactor (PJ per km)],TableECFTransport[Index],CONCATENATE($A6,"_CNG_CNG"))</f>
        <v>5.4319637123843849E-5</v>
      </c>
      <c r="E6" s="892">
        <f>vkm_2011_GW_PW*SUMIFS(TableVerdeelsleutelVkm[LPG],TableVerdeelsleutelVkm[Voertuigtype],"Lichte voertuigen")*SUMIFS(TableECFTransport[EnergieConsumptieFactor (PJ per km)],TableECFTransport[Index],CONCATENATE($A6,"_LPG_LPG"))</f>
        <v>2.137672442125166E-4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5.0826515891883944E-2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1.4705959939579341E-2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2.0420524604813548E-3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2.1056100085852559E-2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6.8020197076252626E-6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6.6344549627043265E-4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2.5427505722031915E-5</v>
      </c>
      <c r="C8" s="449"/>
      <c r="D8" s="451">
        <f>vkm_2011_NGW_PW*SUMIFS(TableVerdeelsleutelVkm[CNG],TableVerdeelsleutelVkm[Voertuigtype],"Lichte voertuigen")*SUMIFS(TableECFTransport[EnergieConsumptieFactor (PJ per km)],TableECFTransport[Index],CONCATENATE($A8,"_CNG_CNG"))</f>
        <v>8.9461165616322471E-5</v>
      </c>
      <c r="E8" s="451">
        <f>vkm_2011_NGW_PW*SUMIFS(TableVerdeelsleutelVkm[LPG],TableVerdeelsleutelVkm[Voertuigtype],"Lichte voertuigen")*SUMIFS(TableECFTransport[EnergieConsumptieFactor (PJ per km)],TableECFTransport[Index],CONCATENATE($A8,"_LPG_LPG"))</f>
        <v>3.2559492750281025E-4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7.2291226712269063E-2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2.3484865983752289E-2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2.9814723928330037E-3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1.9386970808958511E-2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5.9228839663047719E-6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6.108435908823601E-4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3.2934699177373469E-5</v>
      </c>
      <c r="C10" s="449"/>
      <c r="D10" s="451">
        <f>vkm_2011_SW_PW*SUMIFS(TableVerdeelsleutelVkm[CNG],TableVerdeelsleutelVkm[Voertuigtype],"Lichte voertuigen")*SUMIFS(TableECFTransport[EnergieConsumptieFactor (PJ per km)],TableECFTransport[Index],CONCATENATE($A10,"_CNG_CNG"))</f>
        <v>6.8507289016191648E-5</v>
      </c>
      <c r="E10" s="451">
        <f>vkm_2011_SW_PW*SUMIFS(TableVerdeelsleutelVkm[LPG],TableVerdeelsleutelVkm[Voertuigtype],"Lichte voertuigen")*SUMIFS(TableECFTransport[EnergieConsumptieFactor (PJ per km)],TableECFTransport[Index],CONCATENATE($A10,"_LPG_LPG"))</f>
        <v>3.359412519942502E-4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7.1551629523720892E-2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1.9323510692882448E-2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2.8333635145172753E-3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3.0930744967216702E-2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1.0765708386965782E-5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9.7460365498084484E-4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23.805410082858835</v>
      </c>
      <c r="C14" s="21"/>
      <c r="D14" s="21">
        <f t="shared" ref="D14:M14" si="0">((D5)*10^9/3600)+D12</f>
        <v>58.968914376766108</v>
      </c>
      <c r="E14" s="21">
        <f t="shared" si="0"/>
        <v>243.13983991932696</v>
      </c>
      <c r="F14" s="21"/>
      <c r="G14" s="21">
        <f t="shared" si="0"/>
        <v>73900.885552750464</v>
      </c>
      <c r="H14" s="21">
        <f t="shared" si="0"/>
        <v>15982.729785631936</v>
      </c>
      <c r="I14" s="21"/>
      <c r="J14" s="21"/>
      <c r="K14" s="21"/>
      <c r="L14" s="21"/>
      <c r="M14" s="21">
        <f t="shared" si="0"/>
        <v>2807.1614194347972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0.20467356693192162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4.8723381939358497</v>
      </c>
      <c r="C18" s="23"/>
      <c r="D18" s="23">
        <f t="shared" ref="D18:M18" si="1">D14*D16</f>
        <v>11.911720704106754</v>
      </c>
      <c r="E18" s="23">
        <f t="shared" si="1"/>
        <v>55.192743661687224</v>
      </c>
      <c r="F18" s="23"/>
      <c r="G18" s="23">
        <f t="shared" si="1"/>
        <v>19731.536442584376</v>
      </c>
      <c r="H18" s="23">
        <f t="shared" si="1"/>
        <v>3979.6997166223523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3.7879494099226788E-3</v>
      </c>
      <c r="H50" s="321">
        <f t="shared" si="2"/>
        <v>0</v>
      </c>
      <c r="I50" s="321">
        <f t="shared" si="2"/>
        <v>0</v>
      </c>
      <c r="J50" s="321">
        <f t="shared" si="2"/>
        <v>0</v>
      </c>
      <c r="K50" s="321">
        <f t="shared" si="2"/>
        <v>0</v>
      </c>
      <c r="L50" s="321">
        <f t="shared" si="2"/>
        <v>0</v>
      </c>
      <c r="M50" s="321">
        <f t="shared" si="2"/>
        <v>1.1749371636323087E-4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3.7879494099226788E-3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1.1749371636323087E-4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1052.2081694229664</v>
      </c>
      <c r="H54" s="21">
        <f t="shared" si="3"/>
        <v>0</v>
      </c>
      <c r="I54" s="21">
        <f t="shared" si="3"/>
        <v>0</v>
      </c>
      <c r="J54" s="21">
        <f t="shared" si="3"/>
        <v>0</v>
      </c>
      <c r="K54" s="21">
        <f t="shared" si="3"/>
        <v>0</v>
      </c>
      <c r="L54" s="21">
        <f t="shared" si="3"/>
        <v>0</v>
      </c>
      <c r="M54" s="21">
        <f t="shared" si="3"/>
        <v>32.637143434230794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0.20467356693192162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280.93958123593205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7629.8580000000002</v>
      </c>
      <c r="D10" s="1012">
        <f ca="1">tertiair!C16</f>
        <v>0</v>
      </c>
      <c r="E10" s="1012">
        <f ca="1">tertiair!D16</f>
        <v>7278.3669859999991</v>
      </c>
      <c r="F10" s="1012">
        <f>tertiair!E16</f>
        <v>118.09736375328492</v>
      </c>
      <c r="G10" s="1012">
        <f ca="1">tertiair!F16</f>
        <v>1968.0437840740592</v>
      </c>
      <c r="H10" s="1012">
        <f>tertiair!G16</f>
        <v>0</v>
      </c>
      <c r="I10" s="1012">
        <f>tertiair!H16</f>
        <v>0</v>
      </c>
      <c r="J10" s="1012">
        <f>tertiair!I16</f>
        <v>0</v>
      </c>
      <c r="K10" s="1012">
        <f>tertiair!J16</f>
        <v>0</v>
      </c>
      <c r="L10" s="1012">
        <f>tertiair!K16</f>
        <v>0</v>
      </c>
      <c r="M10" s="1012">
        <f ca="1">tertiair!L16</f>
        <v>0</v>
      </c>
      <c r="N10" s="1012">
        <f>tertiair!M16</f>
        <v>0</v>
      </c>
      <c r="O10" s="1012">
        <f ca="1">tertiair!N16</f>
        <v>716.32431865431568</v>
      </c>
      <c r="P10" s="1012">
        <f>tertiair!O16</f>
        <v>4.6900000000000004</v>
      </c>
      <c r="Q10" s="1013">
        <f>tertiair!P16</f>
        <v>19.066666666666666</v>
      </c>
      <c r="R10" s="700">
        <f ca="1">SUM(C10:Q10)</f>
        <v>17734.447119148321</v>
      </c>
      <c r="S10" s="67"/>
    </row>
    <row r="11" spans="1:19" s="473" customFormat="1">
      <c r="A11" s="809" t="s">
        <v>225</v>
      </c>
      <c r="B11" s="814"/>
      <c r="C11" s="1012">
        <f>huishoudens!B8</f>
        <v>21527.175876596692</v>
      </c>
      <c r="D11" s="1012">
        <f>huishoudens!C8</f>
        <v>0</v>
      </c>
      <c r="E11" s="1012">
        <f>huishoudens!D8</f>
        <v>28522.740928000003</v>
      </c>
      <c r="F11" s="1012">
        <f>huishoudens!E8</f>
        <v>3239.0211484323972</v>
      </c>
      <c r="G11" s="1012">
        <f>huishoudens!F8</f>
        <v>32854.605440383762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7938.89210462341</v>
      </c>
      <c r="P11" s="1012">
        <f>huishoudens!O8</f>
        <v>146.95333333333335</v>
      </c>
      <c r="Q11" s="1013">
        <f>huishoudens!P8</f>
        <v>610.13333333333333</v>
      </c>
      <c r="R11" s="700">
        <f>SUM(C11:Q11)</f>
        <v>94839.522164702939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537.851</v>
      </c>
      <c r="D13" s="1012">
        <f>industrie!C18</f>
        <v>0</v>
      </c>
      <c r="E13" s="1012">
        <f>industrie!D18</f>
        <v>275.70171200000004</v>
      </c>
      <c r="F13" s="1012">
        <f>industrie!E18</f>
        <v>112.19030435523923</v>
      </c>
      <c r="G13" s="1012">
        <f>industrie!F18</f>
        <v>395.427632657625</v>
      </c>
      <c r="H13" s="1012">
        <f>industrie!G18</f>
        <v>0</v>
      </c>
      <c r="I13" s="1012">
        <f>industrie!H18</f>
        <v>0</v>
      </c>
      <c r="J13" s="1012">
        <f>industrie!I18</f>
        <v>0</v>
      </c>
      <c r="K13" s="1012">
        <f>industrie!J18</f>
        <v>5.8366355554360295E-2</v>
      </c>
      <c r="L13" s="1012">
        <f>industrie!K18</f>
        <v>0</v>
      </c>
      <c r="M13" s="1012">
        <f>industrie!L18</f>
        <v>0</v>
      </c>
      <c r="N13" s="1012">
        <f>industrie!M18</f>
        <v>0</v>
      </c>
      <c r="O13" s="1012">
        <f>industrie!N18</f>
        <v>161.69606737095353</v>
      </c>
      <c r="P13" s="1012">
        <f>industrie!O18</f>
        <v>0</v>
      </c>
      <c r="Q13" s="1013">
        <f>industrie!P18</f>
        <v>0</v>
      </c>
      <c r="R13" s="700">
        <f>SUM(C13:Q13)</f>
        <v>1482.9250827393721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29694.88487659669</v>
      </c>
      <c r="D16" s="732">
        <f t="shared" ref="D16:R16" ca="1" si="0">SUM(D9:D15)</f>
        <v>0</v>
      </c>
      <c r="E16" s="732">
        <f t="shared" ca="1" si="0"/>
        <v>36076.809626000002</v>
      </c>
      <c r="F16" s="732">
        <f t="shared" si="0"/>
        <v>3469.3088165409213</v>
      </c>
      <c r="G16" s="732">
        <f t="shared" ca="1" si="0"/>
        <v>35218.07685711544</v>
      </c>
      <c r="H16" s="732">
        <f t="shared" si="0"/>
        <v>0</v>
      </c>
      <c r="I16" s="732">
        <f t="shared" si="0"/>
        <v>0</v>
      </c>
      <c r="J16" s="732">
        <f t="shared" si="0"/>
        <v>0</v>
      </c>
      <c r="K16" s="732">
        <f t="shared" si="0"/>
        <v>5.8366355554360295E-2</v>
      </c>
      <c r="L16" s="732">
        <f t="shared" si="0"/>
        <v>0</v>
      </c>
      <c r="M16" s="732">
        <f t="shared" ca="1" si="0"/>
        <v>0</v>
      </c>
      <c r="N16" s="732">
        <f t="shared" si="0"/>
        <v>0</v>
      </c>
      <c r="O16" s="732">
        <f t="shared" ca="1" si="0"/>
        <v>8816.9124906486777</v>
      </c>
      <c r="P16" s="732">
        <f t="shared" si="0"/>
        <v>151.64333333333335</v>
      </c>
      <c r="Q16" s="732">
        <f t="shared" si="0"/>
        <v>629.20000000000005</v>
      </c>
      <c r="R16" s="732">
        <f t="shared" ca="1" si="0"/>
        <v>114056.89436659063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1052.2081694229664</v>
      </c>
      <c r="I19" s="1012">
        <f>transport!H54</f>
        <v>0</v>
      </c>
      <c r="J19" s="1012">
        <f>transport!I54</f>
        <v>0</v>
      </c>
      <c r="K19" s="1012">
        <f>transport!J54</f>
        <v>0</v>
      </c>
      <c r="L19" s="1012">
        <f>transport!K54</f>
        <v>0</v>
      </c>
      <c r="M19" s="1012">
        <f>transport!L54</f>
        <v>0</v>
      </c>
      <c r="N19" s="1012">
        <f>transport!M54</f>
        <v>32.637143434230794</v>
      </c>
      <c r="O19" s="1012">
        <f>transport!N54</f>
        <v>0</v>
      </c>
      <c r="P19" s="1012">
        <f>transport!O54</f>
        <v>0</v>
      </c>
      <c r="Q19" s="1013">
        <f>transport!P54</f>
        <v>0</v>
      </c>
      <c r="R19" s="700">
        <f>SUM(C19:Q19)</f>
        <v>1084.8453128571973</v>
      </c>
      <c r="S19" s="67"/>
    </row>
    <row r="20" spans="1:19" s="473" customFormat="1">
      <c r="A20" s="809" t="s">
        <v>307</v>
      </c>
      <c r="B20" s="814"/>
      <c r="C20" s="1012">
        <f>transport!B14</f>
        <v>23.805410082858835</v>
      </c>
      <c r="D20" s="1012">
        <f>transport!C14</f>
        <v>0</v>
      </c>
      <c r="E20" s="1012">
        <f>transport!D14</f>
        <v>58.968914376766108</v>
      </c>
      <c r="F20" s="1012">
        <f>transport!E14</f>
        <v>243.13983991932696</v>
      </c>
      <c r="G20" s="1012">
        <f>transport!F14</f>
        <v>0</v>
      </c>
      <c r="H20" s="1012">
        <f>transport!G14</f>
        <v>73900.885552750464</v>
      </c>
      <c r="I20" s="1012">
        <f>transport!H14</f>
        <v>15982.729785631936</v>
      </c>
      <c r="J20" s="1012">
        <f>transport!I14</f>
        <v>0</v>
      </c>
      <c r="K20" s="1012">
        <f>transport!J14</f>
        <v>0</v>
      </c>
      <c r="L20" s="1012">
        <f>transport!K14</f>
        <v>0</v>
      </c>
      <c r="M20" s="1012">
        <f>transport!L14</f>
        <v>0</v>
      </c>
      <c r="N20" s="1012">
        <f>transport!M14</f>
        <v>2807.1614194347972</v>
      </c>
      <c r="O20" s="1012">
        <f>transport!N14</f>
        <v>0</v>
      </c>
      <c r="P20" s="1012">
        <f>transport!O14</f>
        <v>0</v>
      </c>
      <c r="Q20" s="1013">
        <f>transport!P14</f>
        <v>0</v>
      </c>
      <c r="R20" s="700">
        <f>SUM(C20:Q20)</f>
        <v>93016.69092219614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23.805410082858835</v>
      </c>
      <c r="D22" s="812">
        <f t="shared" ref="D22:R22" si="1">SUM(D18:D21)</f>
        <v>0</v>
      </c>
      <c r="E22" s="812">
        <f t="shared" si="1"/>
        <v>58.968914376766108</v>
      </c>
      <c r="F22" s="812">
        <f t="shared" si="1"/>
        <v>243.13983991932696</v>
      </c>
      <c r="G22" s="812">
        <f t="shared" si="1"/>
        <v>0</v>
      </c>
      <c r="H22" s="812">
        <f t="shared" si="1"/>
        <v>74953.093722173435</v>
      </c>
      <c r="I22" s="812">
        <f t="shared" si="1"/>
        <v>15982.729785631936</v>
      </c>
      <c r="J22" s="812">
        <f t="shared" si="1"/>
        <v>0</v>
      </c>
      <c r="K22" s="812">
        <f t="shared" si="1"/>
        <v>0</v>
      </c>
      <c r="L22" s="812">
        <f t="shared" si="1"/>
        <v>0</v>
      </c>
      <c r="M22" s="812">
        <f t="shared" si="1"/>
        <v>0</v>
      </c>
      <c r="N22" s="812">
        <f t="shared" si="1"/>
        <v>2839.798562869028</v>
      </c>
      <c r="O22" s="812">
        <f t="shared" si="1"/>
        <v>0</v>
      </c>
      <c r="P22" s="812">
        <f t="shared" si="1"/>
        <v>0</v>
      </c>
      <c r="Q22" s="812">
        <f t="shared" si="1"/>
        <v>0</v>
      </c>
      <c r="R22" s="812">
        <f t="shared" si="1"/>
        <v>94101.53623505334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90.995999999999995</v>
      </c>
      <c r="D24" s="1012">
        <f>+landbouw!C8</f>
        <v>0</v>
      </c>
      <c r="E24" s="1012">
        <f>+landbouw!D8</f>
        <v>99.644842000000011</v>
      </c>
      <c r="F24" s="1012">
        <f>+landbouw!E8</f>
        <v>2.3464374557539749</v>
      </c>
      <c r="G24" s="1012">
        <f>+landbouw!F8</f>
        <v>332.60770934638987</v>
      </c>
      <c r="H24" s="1012">
        <f>+landbouw!G8</f>
        <v>0</v>
      </c>
      <c r="I24" s="1012">
        <f>+landbouw!H8</f>
        <v>0</v>
      </c>
      <c r="J24" s="1012">
        <f>+landbouw!I8</f>
        <v>0</v>
      </c>
      <c r="K24" s="1012">
        <f>+landbouw!J8</f>
        <v>13.100076561352886</v>
      </c>
      <c r="L24" s="1012">
        <f>+landbouw!K8</f>
        <v>0</v>
      </c>
      <c r="M24" s="1012">
        <f>+landbouw!L8</f>
        <v>0</v>
      </c>
      <c r="N24" s="1012">
        <f>+landbouw!M8</f>
        <v>0</v>
      </c>
      <c r="O24" s="1012">
        <f>+landbouw!N8</f>
        <v>0</v>
      </c>
      <c r="P24" s="1012">
        <f>+landbouw!O8</f>
        <v>0</v>
      </c>
      <c r="Q24" s="1013">
        <f>+landbouw!P8</f>
        <v>0</v>
      </c>
      <c r="R24" s="700">
        <f>SUM(C24:Q24)</f>
        <v>538.69506536349684</v>
      </c>
      <c r="S24" s="67"/>
    </row>
    <row r="25" spans="1:19" s="473" customFormat="1" ht="15" thickBot="1">
      <c r="A25" s="831" t="s">
        <v>848</v>
      </c>
      <c r="B25" s="1015"/>
      <c r="C25" s="1016">
        <f>IF(Onbekend_ele_kWh="---",0,Onbekend_ele_kWh)/1000+IF(REST_rest_ele_kWh="---",0,REST_rest_ele_kWh)/1000</f>
        <v>365.37900000000002</v>
      </c>
      <c r="D25" s="1016"/>
      <c r="E25" s="1016">
        <f>IF(onbekend_gas_kWh="---",0,onbekend_gas_kWh)/1000+IF(REST_rest_gas_kWh="---",0,REST_rest_gas_kWh)/1000</f>
        <v>511.52499999999998</v>
      </c>
      <c r="F25" s="1016"/>
      <c r="G25" s="1016"/>
      <c r="H25" s="1016"/>
      <c r="I25" s="1016"/>
      <c r="J25" s="1016"/>
      <c r="K25" s="1016"/>
      <c r="L25" s="1016"/>
      <c r="M25" s="1016"/>
      <c r="N25" s="1016"/>
      <c r="O25" s="1016"/>
      <c r="P25" s="1016"/>
      <c r="Q25" s="1017"/>
      <c r="R25" s="700">
        <f>SUM(C25:Q25)</f>
        <v>876.904</v>
      </c>
      <c r="S25" s="67"/>
    </row>
    <row r="26" spans="1:19" s="473" customFormat="1" ht="15.75" thickBot="1">
      <c r="A26" s="705" t="s">
        <v>849</v>
      </c>
      <c r="B26" s="817"/>
      <c r="C26" s="812">
        <f>SUM(C24:C25)</f>
        <v>456.375</v>
      </c>
      <c r="D26" s="812">
        <f t="shared" ref="D26:R26" si="2">SUM(D24:D25)</f>
        <v>0</v>
      </c>
      <c r="E26" s="812">
        <f t="shared" si="2"/>
        <v>611.16984200000002</v>
      </c>
      <c r="F26" s="812">
        <f t="shared" si="2"/>
        <v>2.3464374557539749</v>
      </c>
      <c r="G26" s="812">
        <f t="shared" si="2"/>
        <v>332.60770934638987</v>
      </c>
      <c r="H26" s="812">
        <f t="shared" si="2"/>
        <v>0</v>
      </c>
      <c r="I26" s="812">
        <f t="shared" si="2"/>
        <v>0</v>
      </c>
      <c r="J26" s="812">
        <f t="shared" si="2"/>
        <v>0</v>
      </c>
      <c r="K26" s="812">
        <f t="shared" si="2"/>
        <v>13.100076561352886</v>
      </c>
      <c r="L26" s="812">
        <f t="shared" si="2"/>
        <v>0</v>
      </c>
      <c r="M26" s="812">
        <f t="shared" si="2"/>
        <v>0</v>
      </c>
      <c r="N26" s="812">
        <f t="shared" si="2"/>
        <v>0</v>
      </c>
      <c r="O26" s="812">
        <f t="shared" si="2"/>
        <v>0</v>
      </c>
      <c r="P26" s="812">
        <f t="shared" si="2"/>
        <v>0</v>
      </c>
      <c r="Q26" s="812">
        <f t="shared" si="2"/>
        <v>0</v>
      </c>
      <c r="R26" s="812">
        <f t="shared" si="2"/>
        <v>1415.5990653634967</v>
      </c>
      <c r="S26" s="67"/>
    </row>
    <row r="27" spans="1:19" s="473" customFormat="1" ht="17.25" thickTop="1" thickBot="1">
      <c r="A27" s="706" t="s">
        <v>116</v>
      </c>
      <c r="B27" s="805"/>
      <c r="C27" s="707">
        <f ca="1">C22+C16+C26</f>
        <v>30175.06528667955</v>
      </c>
      <c r="D27" s="707">
        <f t="shared" ref="D27:R27" ca="1" si="3">D22+D16+D26</f>
        <v>0</v>
      </c>
      <c r="E27" s="707">
        <f t="shared" ca="1" si="3"/>
        <v>36746.948382376773</v>
      </c>
      <c r="F27" s="707">
        <f t="shared" si="3"/>
        <v>3714.7950939160023</v>
      </c>
      <c r="G27" s="707">
        <f t="shared" ca="1" si="3"/>
        <v>35550.68456646183</v>
      </c>
      <c r="H27" s="707">
        <f t="shared" si="3"/>
        <v>74953.093722173435</v>
      </c>
      <c r="I27" s="707">
        <f t="shared" si="3"/>
        <v>15982.729785631936</v>
      </c>
      <c r="J27" s="707">
        <f t="shared" si="3"/>
        <v>0</v>
      </c>
      <c r="K27" s="707">
        <f t="shared" si="3"/>
        <v>13.158442916907246</v>
      </c>
      <c r="L27" s="707">
        <f t="shared" si="3"/>
        <v>0</v>
      </c>
      <c r="M27" s="707">
        <f t="shared" ca="1" si="3"/>
        <v>0</v>
      </c>
      <c r="N27" s="707">
        <f t="shared" si="3"/>
        <v>2839.798562869028</v>
      </c>
      <c r="O27" s="707">
        <f t="shared" ca="1" si="3"/>
        <v>8816.9124906486777</v>
      </c>
      <c r="P27" s="707">
        <f t="shared" si="3"/>
        <v>151.64333333333335</v>
      </c>
      <c r="Q27" s="707">
        <f t="shared" si="3"/>
        <v>629.20000000000005</v>
      </c>
      <c r="R27" s="707">
        <f t="shared" ca="1" si="3"/>
        <v>209574.02966700747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1561.6302520440577</v>
      </c>
      <c r="D40" s="1012">
        <f ca="1">tertiair!C20</f>
        <v>0</v>
      </c>
      <c r="E40" s="1012">
        <f ca="1">tertiair!D20</f>
        <v>1470.2301311719998</v>
      </c>
      <c r="F40" s="1012">
        <f>tertiair!E20</f>
        <v>26.808101571995678</v>
      </c>
      <c r="G40" s="1012">
        <f ca="1">tertiair!F20</f>
        <v>525.46769034777378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3584.1361751358272</v>
      </c>
    </row>
    <row r="41" spans="1:18">
      <c r="A41" s="822" t="s">
        <v>225</v>
      </c>
      <c r="B41" s="829"/>
      <c r="C41" s="1012">
        <f ca="1">huishoudens!B12</f>
        <v>4406.0438726338616</v>
      </c>
      <c r="D41" s="1012">
        <f ca="1">huishoudens!C12</f>
        <v>0</v>
      </c>
      <c r="E41" s="1012">
        <f>huishoudens!D12</f>
        <v>5761.5936674560007</v>
      </c>
      <c r="F41" s="1012">
        <f>huishoudens!E12</f>
        <v>735.25780069415418</v>
      </c>
      <c r="G41" s="1012">
        <f>huishoudens!F12</f>
        <v>8772.1796525824648</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19675.074993366481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110.08388264790098</v>
      </c>
      <c r="D43" s="1012">
        <f ca="1">industrie!C22</f>
        <v>0</v>
      </c>
      <c r="E43" s="1012">
        <f>industrie!D22</f>
        <v>55.691745824000009</v>
      </c>
      <c r="F43" s="1012">
        <f>industrie!E22</f>
        <v>25.467199088639308</v>
      </c>
      <c r="G43" s="1012">
        <f>industrie!F22</f>
        <v>105.57917791958587</v>
      </c>
      <c r="H43" s="1012">
        <f>industrie!G22</f>
        <v>0</v>
      </c>
      <c r="I43" s="1012">
        <f>industrie!H22</f>
        <v>0</v>
      </c>
      <c r="J43" s="1012">
        <f>industrie!I22</f>
        <v>0</v>
      </c>
      <c r="K43" s="1012">
        <f>industrie!J22</f>
        <v>2.0661689866243543E-2</v>
      </c>
      <c r="L43" s="1012">
        <f>industrie!K22</f>
        <v>0</v>
      </c>
      <c r="M43" s="1012">
        <f>industrie!L22</f>
        <v>0</v>
      </c>
      <c r="N43" s="1012">
        <f>industrie!M22</f>
        <v>0</v>
      </c>
      <c r="O43" s="1012">
        <f>industrie!N22</f>
        <v>0</v>
      </c>
      <c r="P43" s="1012">
        <f>industrie!O22</f>
        <v>0</v>
      </c>
      <c r="Q43" s="774">
        <f>industrie!P22</f>
        <v>0</v>
      </c>
      <c r="R43" s="849">
        <f t="shared" ca="1" si="4"/>
        <v>296.84266716999241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6077.7580073258205</v>
      </c>
      <c r="D46" s="732">
        <f t="shared" ref="D46:Q46" ca="1" si="5">SUM(D39:D45)</f>
        <v>0</v>
      </c>
      <c r="E46" s="732">
        <f t="shared" ca="1" si="5"/>
        <v>7287.5155444520005</v>
      </c>
      <c r="F46" s="732">
        <f t="shared" si="5"/>
        <v>787.5331013547891</v>
      </c>
      <c r="G46" s="732">
        <f t="shared" ca="1" si="5"/>
        <v>9403.2265208498247</v>
      </c>
      <c r="H46" s="732">
        <f t="shared" si="5"/>
        <v>0</v>
      </c>
      <c r="I46" s="732">
        <f t="shared" si="5"/>
        <v>0</v>
      </c>
      <c r="J46" s="732">
        <f t="shared" si="5"/>
        <v>0</v>
      </c>
      <c r="K46" s="732">
        <f t="shared" si="5"/>
        <v>2.0661689866243543E-2</v>
      </c>
      <c r="L46" s="732">
        <f t="shared" si="5"/>
        <v>0</v>
      </c>
      <c r="M46" s="732">
        <f t="shared" ca="1" si="5"/>
        <v>0</v>
      </c>
      <c r="N46" s="732">
        <f t="shared" si="5"/>
        <v>0</v>
      </c>
      <c r="O46" s="732">
        <f t="shared" ca="1" si="5"/>
        <v>0</v>
      </c>
      <c r="P46" s="732">
        <f t="shared" si="5"/>
        <v>0</v>
      </c>
      <c r="Q46" s="732">
        <f t="shared" si="5"/>
        <v>0</v>
      </c>
      <c r="R46" s="732">
        <f ca="1">SUM(R39:R45)</f>
        <v>23556.053835672301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280.93958123593205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280.93958123593205</v>
      </c>
    </row>
    <row r="50" spans="1:18">
      <c r="A50" s="825" t="s">
        <v>307</v>
      </c>
      <c r="B50" s="835"/>
      <c r="C50" s="703">
        <f ca="1">transport!B18</f>
        <v>4.8723381939358497</v>
      </c>
      <c r="D50" s="703">
        <f>transport!C18</f>
        <v>0</v>
      </c>
      <c r="E50" s="703">
        <f>transport!D18</f>
        <v>11.911720704106754</v>
      </c>
      <c r="F50" s="703">
        <f>transport!E18</f>
        <v>55.192743661687224</v>
      </c>
      <c r="G50" s="703">
        <f>transport!F18</f>
        <v>0</v>
      </c>
      <c r="H50" s="703">
        <f>transport!G18</f>
        <v>19731.536442584376</v>
      </c>
      <c r="I50" s="703">
        <f>transport!H18</f>
        <v>3979.6997166223523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23783.212961766458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4.8723381939358497</v>
      </c>
      <c r="D52" s="732">
        <f t="shared" ref="D52:Q52" ca="1" si="6">SUM(D48:D51)</f>
        <v>0</v>
      </c>
      <c r="E52" s="732">
        <f t="shared" si="6"/>
        <v>11.911720704106754</v>
      </c>
      <c r="F52" s="732">
        <f t="shared" si="6"/>
        <v>55.192743661687224</v>
      </c>
      <c r="G52" s="732">
        <f t="shared" si="6"/>
        <v>0</v>
      </c>
      <c r="H52" s="732">
        <f t="shared" si="6"/>
        <v>20012.476023820309</v>
      </c>
      <c r="I52" s="732">
        <f t="shared" si="6"/>
        <v>3979.6997166223523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24064.15254300239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18.624475896537138</v>
      </c>
      <c r="D54" s="703">
        <f ca="1">+landbouw!C12</f>
        <v>0</v>
      </c>
      <c r="E54" s="703">
        <f>+landbouw!D12</f>
        <v>20.128258084000002</v>
      </c>
      <c r="F54" s="703">
        <f>+landbouw!E12</f>
        <v>0.53264130245615227</v>
      </c>
      <c r="G54" s="703">
        <f>+landbouw!F12</f>
        <v>88.806258395486097</v>
      </c>
      <c r="H54" s="703">
        <f>+landbouw!G12</f>
        <v>0</v>
      </c>
      <c r="I54" s="703">
        <f>+landbouw!H12</f>
        <v>0</v>
      </c>
      <c r="J54" s="703">
        <f>+landbouw!I12</f>
        <v>0</v>
      </c>
      <c r="K54" s="703">
        <f>+landbouw!J12</f>
        <v>4.6374271027189211</v>
      </c>
      <c r="L54" s="703">
        <f>+landbouw!K12</f>
        <v>0</v>
      </c>
      <c r="M54" s="703">
        <f>+landbouw!L12</f>
        <v>0</v>
      </c>
      <c r="N54" s="703">
        <f>+landbouw!M12</f>
        <v>0</v>
      </c>
      <c r="O54" s="703">
        <f>+landbouw!N12</f>
        <v>0</v>
      </c>
      <c r="P54" s="703">
        <f>+landbouw!O12</f>
        <v>0</v>
      </c>
      <c r="Q54" s="704">
        <f>+landbouw!P12</f>
        <v>0</v>
      </c>
      <c r="R54" s="731">
        <f ca="1">SUM(C54:Q54)</f>
        <v>132.72906078119831</v>
      </c>
    </row>
    <row r="55" spans="1:18" ht="15" thickBot="1">
      <c r="A55" s="825" t="s">
        <v>848</v>
      </c>
      <c r="B55" s="835"/>
      <c r="C55" s="703">
        <f ca="1">C25*'EF ele_warmte'!B12</f>
        <v>74.78342321201859</v>
      </c>
      <c r="D55" s="703"/>
      <c r="E55" s="703">
        <f>E25*EF_CO2_aardgas</f>
        <v>103.32805</v>
      </c>
      <c r="F55" s="703"/>
      <c r="G55" s="703"/>
      <c r="H55" s="703"/>
      <c r="I55" s="703"/>
      <c r="J55" s="703"/>
      <c r="K55" s="703"/>
      <c r="L55" s="703"/>
      <c r="M55" s="703"/>
      <c r="N55" s="703"/>
      <c r="O55" s="703"/>
      <c r="P55" s="703"/>
      <c r="Q55" s="704"/>
      <c r="R55" s="731">
        <f ca="1">SUM(C55:Q55)</f>
        <v>178.11147321201861</v>
      </c>
    </row>
    <row r="56" spans="1:18" ht="15.75" thickBot="1">
      <c r="A56" s="823" t="s">
        <v>849</v>
      </c>
      <c r="B56" s="836"/>
      <c r="C56" s="732">
        <f ca="1">SUM(C54:C55)</f>
        <v>93.407899108555725</v>
      </c>
      <c r="D56" s="732">
        <f t="shared" ref="D56:Q56" ca="1" si="7">SUM(D54:D55)</f>
        <v>0</v>
      </c>
      <c r="E56" s="732">
        <f t="shared" si="7"/>
        <v>123.456308084</v>
      </c>
      <c r="F56" s="732">
        <f t="shared" si="7"/>
        <v>0.53264130245615227</v>
      </c>
      <c r="G56" s="732">
        <f t="shared" si="7"/>
        <v>88.806258395486097</v>
      </c>
      <c r="H56" s="732">
        <f t="shared" si="7"/>
        <v>0</v>
      </c>
      <c r="I56" s="732">
        <f t="shared" si="7"/>
        <v>0</v>
      </c>
      <c r="J56" s="732">
        <f t="shared" si="7"/>
        <v>0</v>
      </c>
      <c r="K56" s="732">
        <f t="shared" si="7"/>
        <v>4.6374271027189211</v>
      </c>
      <c r="L56" s="732">
        <f t="shared" si="7"/>
        <v>0</v>
      </c>
      <c r="M56" s="732">
        <f t="shared" si="7"/>
        <v>0</v>
      </c>
      <c r="N56" s="732">
        <f t="shared" si="7"/>
        <v>0</v>
      </c>
      <c r="O56" s="732">
        <f t="shared" si="7"/>
        <v>0</v>
      </c>
      <c r="P56" s="732">
        <f t="shared" si="7"/>
        <v>0</v>
      </c>
      <c r="Q56" s="733">
        <f t="shared" si="7"/>
        <v>0</v>
      </c>
      <c r="R56" s="734">
        <f ca="1">SUM(R54:R55)</f>
        <v>310.84053399321692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6176.038244628312</v>
      </c>
      <c r="D61" s="740">
        <f t="shared" ref="D61:Q61" ca="1" si="8">D46+D52+D56</f>
        <v>0</v>
      </c>
      <c r="E61" s="740">
        <f t="shared" ca="1" si="8"/>
        <v>7422.8835732401067</v>
      </c>
      <c r="F61" s="740">
        <f t="shared" si="8"/>
        <v>843.25848631893246</v>
      </c>
      <c r="G61" s="740">
        <f t="shared" ca="1" si="8"/>
        <v>9492.0327792453099</v>
      </c>
      <c r="H61" s="740">
        <f t="shared" si="8"/>
        <v>20012.476023820309</v>
      </c>
      <c r="I61" s="740">
        <f t="shared" si="8"/>
        <v>3979.6997166223523</v>
      </c>
      <c r="J61" s="740">
        <f t="shared" si="8"/>
        <v>0</v>
      </c>
      <c r="K61" s="740">
        <f t="shared" si="8"/>
        <v>4.6580887925851648</v>
      </c>
      <c r="L61" s="740">
        <f t="shared" si="8"/>
        <v>0</v>
      </c>
      <c r="M61" s="740">
        <f t="shared" ca="1" si="8"/>
        <v>0</v>
      </c>
      <c r="N61" s="740">
        <f t="shared" si="8"/>
        <v>0</v>
      </c>
      <c r="O61" s="740">
        <f t="shared" ca="1" si="8"/>
        <v>0</v>
      </c>
      <c r="P61" s="740">
        <f t="shared" si="8"/>
        <v>0</v>
      </c>
      <c r="Q61" s="740">
        <f t="shared" si="8"/>
        <v>0</v>
      </c>
      <c r="R61" s="740">
        <f ca="1">R46+R52+R56</f>
        <v>47931.046912667902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0.20467356693192162</v>
      </c>
      <c r="D63" s="781">
        <f t="shared" ca="1" si="9"/>
        <v>0</v>
      </c>
      <c r="E63" s="1023">
        <f t="shared" ca="1" si="9"/>
        <v>0.20199999999999996</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2229.1908765966919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2229.1908765966919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2229.1908765966919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2229.1908765966919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21527.175876596692</v>
      </c>
      <c r="C4" s="477">
        <f>huishoudens!C8</f>
        <v>0</v>
      </c>
      <c r="D4" s="477">
        <f>huishoudens!D8</f>
        <v>28522.740928000003</v>
      </c>
      <c r="E4" s="477">
        <f>huishoudens!E8</f>
        <v>3239.0211484323972</v>
      </c>
      <c r="F4" s="477">
        <f>huishoudens!F8</f>
        <v>32854.605440383762</v>
      </c>
      <c r="G4" s="477">
        <f>huishoudens!G8</f>
        <v>0</v>
      </c>
      <c r="H4" s="477">
        <f>huishoudens!H8</f>
        <v>0</v>
      </c>
      <c r="I4" s="477">
        <f>huishoudens!I8</f>
        <v>0</v>
      </c>
      <c r="J4" s="477">
        <f>huishoudens!J8</f>
        <v>0</v>
      </c>
      <c r="K4" s="477">
        <f>huishoudens!K8</f>
        <v>0</v>
      </c>
      <c r="L4" s="477">
        <f>huishoudens!L8</f>
        <v>0</v>
      </c>
      <c r="M4" s="477">
        <f>huishoudens!M8</f>
        <v>0</v>
      </c>
      <c r="N4" s="477">
        <f>huishoudens!N8</f>
        <v>7938.89210462341</v>
      </c>
      <c r="O4" s="477">
        <f>huishoudens!O8</f>
        <v>146.95333333333335</v>
      </c>
      <c r="P4" s="478">
        <f>huishoudens!P8</f>
        <v>610.13333333333333</v>
      </c>
      <c r="Q4" s="479">
        <f>SUM(B4:P4)</f>
        <v>94839.522164702939</v>
      </c>
    </row>
    <row r="5" spans="1:17">
      <c r="A5" s="476" t="s">
        <v>156</v>
      </c>
      <c r="B5" s="477">
        <f ca="1">tertiair!B16</f>
        <v>6956.5280000000002</v>
      </c>
      <c r="C5" s="477">
        <f ca="1">tertiair!C16</f>
        <v>0</v>
      </c>
      <c r="D5" s="477">
        <f ca="1">tertiair!D16</f>
        <v>7278.3669859999991</v>
      </c>
      <c r="E5" s="477">
        <f>tertiair!E16</f>
        <v>118.09736375328492</v>
      </c>
      <c r="F5" s="477">
        <f ca="1">tertiair!F16</f>
        <v>1968.0437840740592</v>
      </c>
      <c r="G5" s="477">
        <f>tertiair!G16</f>
        <v>0</v>
      </c>
      <c r="H5" s="477">
        <f>tertiair!H16</f>
        <v>0</v>
      </c>
      <c r="I5" s="477">
        <f>tertiair!I16</f>
        <v>0</v>
      </c>
      <c r="J5" s="477">
        <f>tertiair!J16</f>
        <v>0</v>
      </c>
      <c r="K5" s="477">
        <f>tertiair!K16</f>
        <v>0</v>
      </c>
      <c r="L5" s="477">
        <f ca="1">tertiair!L16</f>
        <v>0</v>
      </c>
      <c r="M5" s="477">
        <f>tertiair!M16</f>
        <v>0</v>
      </c>
      <c r="N5" s="477">
        <f ca="1">tertiair!N16</f>
        <v>716.32431865431568</v>
      </c>
      <c r="O5" s="477">
        <f>tertiair!O16</f>
        <v>4.6900000000000004</v>
      </c>
      <c r="P5" s="478">
        <f>tertiair!P16</f>
        <v>19.066666666666666</v>
      </c>
      <c r="Q5" s="476">
        <f t="shared" ref="Q5:Q14" ca="1" si="0">SUM(B5:P5)</f>
        <v>17061.117119148323</v>
      </c>
    </row>
    <row r="6" spans="1:17">
      <c r="A6" s="476" t="s">
        <v>194</v>
      </c>
      <c r="B6" s="477">
        <f>'openbare verlichting'!B8</f>
        <v>673.33</v>
      </c>
      <c r="C6" s="477"/>
      <c r="D6" s="477"/>
      <c r="E6" s="477"/>
      <c r="F6" s="477"/>
      <c r="G6" s="477"/>
      <c r="H6" s="477"/>
      <c r="I6" s="477"/>
      <c r="J6" s="477"/>
      <c r="K6" s="477"/>
      <c r="L6" s="477"/>
      <c r="M6" s="477"/>
      <c r="N6" s="477"/>
      <c r="O6" s="477"/>
      <c r="P6" s="478"/>
      <c r="Q6" s="476">
        <f t="shared" si="0"/>
        <v>673.33</v>
      </c>
    </row>
    <row r="7" spans="1:17">
      <c r="A7" s="476" t="s">
        <v>112</v>
      </c>
      <c r="B7" s="477">
        <f>landbouw!B8</f>
        <v>90.995999999999995</v>
      </c>
      <c r="C7" s="477">
        <f>landbouw!C8</f>
        <v>0</v>
      </c>
      <c r="D7" s="477">
        <f>landbouw!D8</f>
        <v>99.644842000000011</v>
      </c>
      <c r="E7" s="477">
        <f>landbouw!E8</f>
        <v>2.3464374557539749</v>
      </c>
      <c r="F7" s="477">
        <f>landbouw!F8</f>
        <v>332.60770934638987</v>
      </c>
      <c r="G7" s="477">
        <f>landbouw!G8</f>
        <v>0</v>
      </c>
      <c r="H7" s="477">
        <f>landbouw!H8</f>
        <v>0</v>
      </c>
      <c r="I7" s="477">
        <f>landbouw!I8</f>
        <v>0</v>
      </c>
      <c r="J7" s="477">
        <f>landbouw!J8</f>
        <v>13.100076561352886</v>
      </c>
      <c r="K7" s="477">
        <f>landbouw!K8</f>
        <v>0</v>
      </c>
      <c r="L7" s="477">
        <f>landbouw!L8</f>
        <v>0</v>
      </c>
      <c r="M7" s="477">
        <f>landbouw!M8</f>
        <v>0</v>
      </c>
      <c r="N7" s="477">
        <f>landbouw!N8</f>
        <v>0</v>
      </c>
      <c r="O7" s="477">
        <f>landbouw!O8</f>
        <v>0</v>
      </c>
      <c r="P7" s="478">
        <f>landbouw!P8</f>
        <v>0</v>
      </c>
      <c r="Q7" s="476">
        <f t="shared" si="0"/>
        <v>538.69506536349684</v>
      </c>
    </row>
    <row r="8" spans="1:17">
      <c r="A8" s="476" t="s">
        <v>638</v>
      </c>
      <c r="B8" s="477">
        <f>industrie!B18</f>
        <v>537.851</v>
      </c>
      <c r="C8" s="477">
        <f>industrie!C18</f>
        <v>0</v>
      </c>
      <c r="D8" s="477">
        <f>industrie!D18</f>
        <v>275.70171200000004</v>
      </c>
      <c r="E8" s="477">
        <f>industrie!E18</f>
        <v>112.19030435523923</v>
      </c>
      <c r="F8" s="477">
        <f>industrie!F18</f>
        <v>395.427632657625</v>
      </c>
      <c r="G8" s="477">
        <f>industrie!G18</f>
        <v>0</v>
      </c>
      <c r="H8" s="477">
        <f>industrie!H18</f>
        <v>0</v>
      </c>
      <c r="I8" s="477">
        <f>industrie!I18</f>
        <v>0</v>
      </c>
      <c r="J8" s="477">
        <f>industrie!J18</f>
        <v>5.8366355554360295E-2</v>
      </c>
      <c r="K8" s="477">
        <f>industrie!K18</f>
        <v>0</v>
      </c>
      <c r="L8" s="477">
        <f>industrie!L18</f>
        <v>0</v>
      </c>
      <c r="M8" s="477">
        <f>industrie!M18</f>
        <v>0</v>
      </c>
      <c r="N8" s="477">
        <f>industrie!N18</f>
        <v>161.69606737095353</v>
      </c>
      <c r="O8" s="477">
        <f>industrie!O18</f>
        <v>0</v>
      </c>
      <c r="P8" s="478">
        <f>industrie!P18</f>
        <v>0</v>
      </c>
      <c r="Q8" s="476">
        <f t="shared" si="0"/>
        <v>1482.9250827393721</v>
      </c>
    </row>
    <row r="9" spans="1:17" s="482" customFormat="1">
      <c r="A9" s="480" t="s">
        <v>564</v>
      </c>
      <c r="B9" s="481">
        <f>transport!B14</f>
        <v>23.805410082858835</v>
      </c>
      <c r="C9" s="481">
        <f>transport!C14</f>
        <v>0</v>
      </c>
      <c r="D9" s="481">
        <f>transport!D14</f>
        <v>58.968914376766108</v>
      </c>
      <c r="E9" s="481">
        <f>transport!E14</f>
        <v>243.13983991932696</v>
      </c>
      <c r="F9" s="481">
        <f>transport!F14</f>
        <v>0</v>
      </c>
      <c r="G9" s="481">
        <f>transport!G14</f>
        <v>73900.885552750464</v>
      </c>
      <c r="H9" s="481">
        <f>transport!H14</f>
        <v>15982.729785631936</v>
      </c>
      <c r="I9" s="481">
        <f>transport!I14</f>
        <v>0</v>
      </c>
      <c r="J9" s="481">
        <f>transport!J14</f>
        <v>0</v>
      </c>
      <c r="K9" s="481">
        <f>transport!K14</f>
        <v>0</v>
      </c>
      <c r="L9" s="481">
        <f>transport!L14</f>
        <v>0</v>
      </c>
      <c r="M9" s="481">
        <f>transport!M14</f>
        <v>2807.1614194347972</v>
      </c>
      <c r="N9" s="481">
        <f>transport!N14</f>
        <v>0</v>
      </c>
      <c r="O9" s="481">
        <f>transport!O14</f>
        <v>0</v>
      </c>
      <c r="P9" s="481">
        <f>transport!P14</f>
        <v>0</v>
      </c>
      <c r="Q9" s="480">
        <f>SUM(B9:P9)</f>
        <v>93016.69092219614</v>
      </c>
    </row>
    <row r="10" spans="1:17">
      <c r="A10" s="476" t="s">
        <v>554</v>
      </c>
      <c r="B10" s="477">
        <f>transport!B54</f>
        <v>0</v>
      </c>
      <c r="C10" s="477">
        <f>transport!C54</f>
        <v>0</v>
      </c>
      <c r="D10" s="477">
        <f>transport!D54</f>
        <v>0</v>
      </c>
      <c r="E10" s="477">
        <f>transport!E54</f>
        <v>0</v>
      </c>
      <c r="F10" s="477">
        <f>transport!F54</f>
        <v>0</v>
      </c>
      <c r="G10" s="477">
        <f>transport!G54</f>
        <v>1052.2081694229664</v>
      </c>
      <c r="H10" s="477">
        <f>transport!H54</f>
        <v>0</v>
      </c>
      <c r="I10" s="477">
        <f>transport!I54</f>
        <v>0</v>
      </c>
      <c r="J10" s="477">
        <f>transport!J54</f>
        <v>0</v>
      </c>
      <c r="K10" s="477">
        <f>transport!K54</f>
        <v>0</v>
      </c>
      <c r="L10" s="477">
        <f>transport!L54</f>
        <v>0</v>
      </c>
      <c r="M10" s="477">
        <f>transport!M54</f>
        <v>32.637143434230794</v>
      </c>
      <c r="N10" s="477">
        <f>transport!N54</f>
        <v>0</v>
      </c>
      <c r="O10" s="477">
        <f>transport!O54</f>
        <v>0</v>
      </c>
      <c r="P10" s="478">
        <f>transport!P54</f>
        <v>0</v>
      </c>
      <c r="Q10" s="476">
        <f t="shared" si="0"/>
        <v>1084.8453128571973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365.37900000000002</v>
      </c>
      <c r="C14" s="484"/>
      <c r="D14" s="484">
        <f>'SEAP template'!E25</f>
        <v>511.52499999999998</v>
      </c>
      <c r="E14" s="484"/>
      <c r="F14" s="484"/>
      <c r="G14" s="484"/>
      <c r="H14" s="484"/>
      <c r="I14" s="484"/>
      <c r="J14" s="484"/>
      <c r="K14" s="484"/>
      <c r="L14" s="484"/>
      <c r="M14" s="484"/>
      <c r="N14" s="484"/>
      <c r="O14" s="484"/>
      <c r="P14" s="485"/>
      <c r="Q14" s="476">
        <f t="shared" si="0"/>
        <v>876.904</v>
      </c>
    </row>
    <row r="15" spans="1:17" s="486" customFormat="1">
      <c r="A15" s="1038" t="s">
        <v>558</v>
      </c>
      <c r="B15" s="978">
        <f ca="1">SUM(B4:B14)</f>
        <v>30175.065286679554</v>
      </c>
      <c r="C15" s="978">
        <f t="shared" ref="C15:Q15" ca="1" si="1">SUM(C4:C14)</f>
        <v>0</v>
      </c>
      <c r="D15" s="978">
        <f t="shared" ca="1" si="1"/>
        <v>36746.948382376773</v>
      </c>
      <c r="E15" s="978">
        <f t="shared" si="1"/>
        <v>3714.7950939160019</v>
      </c>
      <c r="F15" s="978">
        <f t="shared" ca="1" si="1"/>
        <v>35550.68456646183</v>
      </c>
      <c r="G15" s="978">
        <f t="shared" si="1"/>
        <v>74953.093722173435</v>
      </c>
      <c r="H15" s="978">
        <f t="shared" si="1"/>
        <v>15982.729785631936</v>
      </c>
      <c r="I15" s="978">
        <f t="shared" si="1"/>
        <v>0</v>
      </c>
      <c r="J15" s="978">
        <f t="shared" si="1"/>
        <v>13.158442916907246</v>
      </c>
      <c r="K15" s="978">
        <f t="shared" si="1"/>
        <v>0</v>
      </c>
      <c r="L15" s="978">
        <f t="shared" ca="1" si="1"/>
        <v>0</v>
      </c>
      <c r="M15" s="978">
        <f t="shared" si="1"/>
        <v>2839.798562869028</v>
      </c>
      <c r="N15" s="978">
        <f t="shared" ca="1" si="1"/>
        <v>8816.9124906486777</v>
      </c>
      <c r="O15" s="978">
        <f t="shared" si="1"/>
        <v>151.64333333333335</v>
      </c>
      <c r="P15" s="978">
        <f t="shared" si="1"/>
        <v>629.20000000000005</v>
      </c>
      <c r="Q15" s="978">
        <f t="shared" ca="1" si="1"/>
        <v>209574.02966700747</v>
      </c>
    </row>
    <row r="17" spans="1:17">
      <c r="A17" s="487" t="s">
        <v>559</v>
      </c>
      <c r="B17" s="786">
        <f ca="1">huishoudens!B10</f>
        <v>0.20467356693192162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4406.0438726338616</v>
      </c>
      <c r="C22" s="477">
        <f t="shared" ref="C22:C32" ca="1" si="3">C4*$C$17</f>
        <v>0</v>
      </c>
      <c r="D22" s="477">
        <f t="shared" ref="D22:D32" si="4">D4*$D$17</f>
        <v>5761.5936674560007</v>
      </c>
      <c r="E22" s="477">
        <f t="shared" ref="E22:E32" si="5">E4*$E$17</f>
        <v>735.25780069415418</v>
      </c>
      <c r="F22" s="477">
        <f t="shared" ref="F22:F32" si="6">F4*$F$17</f>
        <v>8772.1796525824648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19675.074993366481</v>
      </c>
    </row>
    <row r="23" spans="1:17">
      <c r="A23" s="476" t="s">
        <v>156</v>
      </c>
      <c r="B23" s="477">
        <f t="shared" ca="1" si="2"/>
        <v>1423.8173992217869</v>
      </c>
      <c r="C23" s="477">
        <f t="shared" ca="1" si="3"/>
        <v>0</v>
      </c>
      <c r="D23" s="477">
        <f t="shared" ca="1" si="4"/>
        <v>1470.2301311719998</v>
      </c>
      <c r="E23" s="477">
        <f t="shared" si="5"/>
        <v>26.808101571995678</v>
      </c>
      <c r="F23" s="477">
        <f t="shared" ca="1" si="6"/>
        <v>525.46769034777378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3446.3233223135562</v>
      </c>
    </row>
    <row r="24" spans="1:17">
      <c r="A24" s="476" t="s">
        <v>194</v>
      </c>
      <c r="B24" s="477">
        <f t="shared" ca="1" si="2"/>
        <v>137.8128528222708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137.8128528222708</v>
      </c>
    </row>
    <row r="25" spans="1:17">
      <c r="A25" s="476" t="s">
        <v>112</v>
      </c>
      <c r="B25" s="477">
        <f t="shared" ca="1" si="2"/>
        <v>18.624475896537138</v>
      </c>
      <c r="C25" s="477">
        <f t="shared" ca="1" si="3"/>
        <v>0</v>
      </c>
      <c r="D25" s="477">
        <f t="shared" si="4"/>
        <v>20.128258084000002</v>
      </c>
      <c r="E25" s="477">
        <f t="shared" si="5"/>
        <v>0.53264130245615227</v>
      </c>
      <c r="F25" s="477">
        <f t="shared" si="6"/>
        <v>88.806258395486097</v>
      </c>
      <c r="G25" s="477">
        <f t="shared" si="7"/>
        <v>0</v>
      </c>
      <c r="H25" s="477">
        <f t="shared" si="8"/>
        <v>0</v>
      </c>
      <c r="I25" s="477">
        <f t="shared" si="9"/>
        <v>0</v>
      </c>
      <c r="J25" s="477">
        <f t="shared" si="10"/>
        <v>4.6374271027189211</v>
      </c>
      <c r="K25" s="477">
        <f t="shared" si="11"/>
        <v>0</v>
      </c>
      <c r="L25" s="477">
        <f t="shared" si="12"/>
        <v>0</v>
      </c>
      <c r="M25" s="477">
        <f t="shared" si="13"/>
        <v>0</v>
      </c>
      <c r="N25" s="477">
        <f t="shared" si="14"/>
        <v>0</v>
      </c>
      <c r="O25" s="477">
        <f t="shared" si="15"/>
        <v>0</v>
      </c>
      <c r="P25" s="478">
        <f t="shared" si="16"/>
        <v>0</v>
      </c>
      <c r="Q25" s="476">
        <f t="shared" ca="1" si="17"/>
        <v>132.72906078119831</v>
      </c>
    </row>
    <row r="26" spans="1:17">
      <c r="A26" s="476" t="s">
        <v>638</v>
      </c>
      <c r="B26" s="477">
        <f t="shared" ca="1" si="2"/>
        <v>110.08388264790098</v>
      </c>
      <c r="C26" s="477">
        <f t="shared" ca="1" si="3"/>
        <v>0</v>
      </c>
      <c r="D26" s="477">
        <f t="shared" si="4"/>
        <v>55.691745824000009</v>
      </c>
      <c r="E26" s="477">
        <f t="shared" si="5"/>
        <v>25.467199088639308</v>
      </c>
      <c r="F26" s="477">
        <f t="shared" si="6"/>
        <v>105.57917791958587</v>
      </c>
      <c r="G26" s="477">
        <f t="shared" si="7"/>
        <v>0</v>
      </c>
      <c r="H26" s="477">
        <f t="shared" si="8"/>
        <v>0</v>
      </c>
      <c r="I26" s="477">
        <f t="shared" si="9"/>
        <v>0</v>
      </c>
      <c r="J26" s="477">
        <f t="shared" si="10"/>
        <v>2.0661689866243543E-2</v>
      </c>
      <c r="K26" s="477">
        <f t="shared" si="11"/>
        <v>0</v>
      </c>
      <c r="L26" s="477">
        <f t="shared" si="12"/>
        <v>0</v>
      </c>
      <c r="M26" s="477">
        <f t="shared" si="13"/>
        <v>0</v>
      </c>
      <c r="N26" s="477">
        <f t="shared" si="14"/>
        <v>0</v>
      </c>
      <c r="O26" s="477">
        <f t="shared" si="15"/>
        <v>0</v>
      </c>
      <c r="P26" s="478">
        <f t="shared" si="16"/>
        <v>0</v>
      </c>
      <c r="Q26" s="476">
        <f t="shared" ca="1" si="17"/>
        <v>296.84266716999241</v>
      </c>
    </row>
    <row r="27" spans="1:17" s="482" customFormat="1">
      <c r="A27" s="480" t="s">
        <v>564</v>
      </c>
      <c r="B27" s="780">
        <f t="shared" ca="1" si="2"/>
        <v>4.8723381939358497</v>
      </c>
      <c r="C27" s="481">
        <f t="shared" ca="1" si="3"/>
        <v>0</v>
      </c>
      <c r="D27" s="481">
        <f t="shared" si="4"/>
        <v>11.911720704106754</v>
      </c>
      <c r="E27" s="481">
        <f t="shared" si="5"/>
        <v>55.192743661687224</v>
      </c>
      <c r="F27" s="481">
        <f t="shared" si="6"/>
        <v>0</v>
      </c>
      <c r="G27" s="481">
        <f t="shared" si="7"/>
        <v>19731.536442584376</v>
      </c>
      <c r="H27" s="481">
        <f t="shared" si="8"/>
        <v>3979.6997166223523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23783.212961766458</v>
      </c>
    </row>
    <row r="28" spans="1:17">
      <c r="A28" s="476" t="s">
        <v>554</v>
      </c>
      <c r="B28" s="477">
        <f t="shared" ca="1" si="2"/>
        <v>0</v>
      </c>
      <c r="C28" s="477">
        <f t="shared" ca="1" si="3"/>
        <v>0</v>
      </c>
      <c r="D28" s="477">
        <f t="shared" si="4"/>
        <v>0</v>
      </c>
      <c r="E28" s="477">
        <f t="shared" si="5"/>
        <v>0</v>
      </c>
      <c r="F28" s="477">
        <f t="shared" si="6"/>
        <v>0</v>
      </c>
      <c r="G28" s="477">
        <f t="shared" si="7"/>
        <v>280.93958123593205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280.93958123593205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74.78342321201859</v>
      </c>
      <c r="C32" s="477">
        <f t="shared" ca="1" si="3"/>
        <v>0</v>
      </c>
      <c r="D32" s="477">
        <f t="shared" si="4"/>
        <v>103.32805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178.11147321201861</v>
      </c>
    </row>
    <row r="33" spans="1:17" s="486" customFormat="1">
      <c r="A33" s="1038" t="s">
        <v>558</v>
      </c>
      <c r="B33" s="978">
        <f ca="1">SUM(B22:B32)</f>
        <v>6176.038244628312</v>
      </c>
      <c r="C33" s="978">
        <f t="shared" ref="C33:Q33" ca="1" si="18">SUM(C22:C32)</f>
        <v>0</v>
      </c>
      <c r="D33" s="978">
        <f t="shared" ca="1" si="18"/>
        <v>7422.8835732401067</v>
      </c>
      <c r="E33" s="978">
        <f t="shared" si="18"/>
        <v>843.25848631893246</v>
      </c>
      <c r="F33" s="978">
        <f t="shared" ca="1" si="18"/>
        <v>9492.0327792453099</v>
      </c>
      <c r="G33" s="978">
        <f t="shared" si="18"/>
        <v>20012.476023820309</v>
      </c>
      <c r="H33" s="978">
        <f t="shared" si="18"/>
        <v>3979.6997166223523</v>
      </c>
      <c r="I33" s="978">
        <f t="shared" si="18"/>
        <v>0</v>
      </c>
      <c r="J33" s="978">
        <f t="shared" si="18"/>
        <v>4.6580887925851648</v>
      </c>
      <c r="K33" s="978">
        <f t="shared" si="18"/>
        <v>0</v>
      </c>
      <c r="L33" s="978">
        <f t="shared" ca="1" si="18"/>
        <v>0</v>
      </c>
      <c r="M33" s="978">
        <f t="shared" si="18"/>
        <v>0</v>
      </c>
      <c r="N33" s="978">
        <f t="shared" ca="1" si="18"/>
        <v>0</v>
      </c>
      <c r="O33" s="978">
        <f t="shared" si="18"/>
        <v>0</v>
      </c>
      <c r="P33" s="978">
        <f t="shared" si="18"/>
        <v>0</v>
      </c>
      <c r="Q33" s="978">
        <f t="shared" ca="1" si="18"/>
        <v>47931.046912667909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2229.1908765966919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2229.1908765966919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0.20467356693192162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0.20467356693192162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2019-08-12T08:23:56Z</dcterms:modified>
</cp:coreProperties>
</file>