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18"/>
  <c r="O90" i="14"/>
  <c r="O20" i="59"/>
  <c r="N20"/>
  <c r="H90" i="14"/>
  <c r="H18" i="59"/>
  <c r="H20" s="1"/>
  <c r="H78" i="14"/>
  <c r="H8" i="59"/>
  <c r="H10" s="1"/>
  <c r="K10"/>
  <c r="P29" i="48"/>
  <c r="B10" i="18"/>
  <c r="L10"/>
  <c r="K90" i="14"/>
  <c r="E20" i="59"/>
  <c r="E88" i="14"/>
  <c r="E18" i="59" s="1"/>
  <c r="O29" i="48"/>
  <c r="P31"/>
  <c r="K10" i="18"/>
  <c r="F20"/>
  <c r="N90" i="14"/>
  <c r="E10" i="59"/>
  <c r="E77" i="14"/>
  <c r="E9" i="59" s="1"/>
  <c r="B17" i="18"/>
  <c r="B20" s="1"/>
  <c r="L78" i="14"/>
  <c r="L8" i="59"/>
  <c r="L10" s="1"/>
  <c r="C98" i="18"/>
  <c r="D101" s="1"/>
  <c r="K20" i="59"/>
  <c r="P25" i="48"/>
  <c r="R25" i="14"/>
  <c r="F13" i="15"/>
  <c r="G78" i="14"/>
  <c r="N10" i="59"/>
  <c r="L20"/>
  <c r="B8" i="18"/>
  <c r="O19"/>
  <c r="L13" i="15"/>
  <c r="N13"/>
  <c r="O9" i="18"/>
  <c r="O18"/>
  <c r="B89" i="14"/>
  <c r="B19" i="59" s="1"/>
  <c r="G88" i="14"/>
  <c r="F89"/>
  <c r="G101" i="18"/>
  <c r="I102"/>
  <c r="H17" s="1"/>
  <c r="E102"/>
  <c r="E17" s="1"/>
  <c r="H102"/>
  <c r="D102"/>
  <c r="G102"/>
  <c r="C102"/>
  <c r="F102"/>
  <c r="B102"/>
  <c r="C17" s="1"/>
  <c r="Q14" i="48"/>
  <c r="O24"/>
  <c r="O30"/>
  <c r="P24"/>
  <c r="P30"/>
  <c r="C88" i="14"/>
  <c r="C18" i="59" s="1"/>
  <c r="E78" i="14"/>
  <c r="E90"/>
  <c r="N78"/>
  <c r="G90" l="1"/>
  <c r="G18" i="59"/>
  <c r="G20" s="1"/>
  <c r="C89" i="14"/>
  <c r="C19" i="59" s="1"/>
  <c r="F19"/>
  <c r="C101" i="18"/>
  <c r="F101"/>
  <c r="B101"/>
  <c r="C8" s="1"/>
  <c r="Q88" i="14"/>
  <c r="P18" i="59" s="1"/>
  <c r="I101" i="18"/>
  <c r="H8" s="1"/>
  <c r="H10" s="1"/>
  <c r="B88" i="14"/>
  <c r="B18" i="59" s="1"/>
  <c r="E101" i="18"/>
  <c r="E8" s="1"/>
  <c r="B77" i="14"/>
  <c r="B9" i="59" s="1"/>
  <c r="H101" i="18"/>
  <c r="Q77" i="14"/>
  <c r="P9" i="59" s="1"/>
  <c r="C77" i="14"/>
  <c r="C9" i="59" s="1"/>
  <c r="Q89" i="14"/>
  <c r="P19" i="59" s="1"/>
  <c r="C20" i="18"/>
  <c r="D87" i="14"/>
  <c r="D17" i="59" s="1"/>
  <c r="D20" s="1"/>
  <c r="D76" i="14"/>
  <c r="D8" i="59" s="1"/>
  <c r="D10" s="1"/>
  <c r="C10" i="18"/>
  <c r="J17"/>
  <c r="J8"/>
  <c r="F87" i="14"/>
  <c r="E20" i="18"/>
  <c r="E10"/>
  <c r="F76" i="14"/>
  <c r="F8" i="59" s="1"/>
  <c r="F10" s="1"/>
  <c r="I17" i="18"/>
  <c r="O17" s="1"/>
  <c r="O20" s="1"/>
  <c r="H20"/>
  <c r="M87" i="14"/>
  <c r="I8" i="18"/>
  <c r="H14" i="15"/>
  <c r="H16" s="1"/>
  <c r="G14"/>
  <c r="G16" s="1"/>
  <c r="I10" i="14" l="1"/>
  <c r="I16" s="1"/>
  <c r="H5" i="48"/>
  <c r="G5"/>
  <c r="H10" i="14"/>
  <c r="H16" s="1"/>
  <c r="M90"/>
  <c r="M17" i="59"/>
  <c r="M20" s="1"/>
  <c r="F90" i="14"/>
  <c r="F17" i="59"/>
  <c r="F20" s="1"/>
  <c r="O8" i="18"/>
  <c r="O10" s="1"/>
  <c r="M76" i="14"/>
  <c r="I76"/>
  <c r="I8" i="59" s="1"/>
  <c r="I10" s="1"/>
  <c r="I10" i="18"/>
  <c r="Q87" i="14"/>
  <c r="D90"/>
  <c r="F78"/>
  <c r="J87"/>
  <c r="J20" i="18"/>
  <c r="J10"/>
  <c r="J76" i="14"/>
  <c r="I87"/>
  <c r="I17" i="59" s="1"/>
  <c r="I20" s="1"/>
  <c r="I20" i="18"/>
  <c r="D78" i="14"/>
  <c r="B24" i="44"/>
  <c r="B23"/>
  <c r="M78" i="14" l="1"/>
  <c r="M8" i="59"/>
  <c r="M10" s="1"/>
  <c r="J78" i="14"/>
  <c r="J8" i="59"/>
  <c r="J10" s="1"/>
  <c r="J90" i="14"/>
  <c r="J17" i="59"/>
  <c r="J20" s="1"/>
  <c r="Q90" i="14"/>
  <c r="B17" i="6" s="1"/>
  <c r="P17" i="59"/>
  <c r="P20" s="1"/>
  <c r="Q76" i="14"/>
  <c r="B87"/>
  <c r="I90"/>
  <c r="C87"/>
  <c r="C76"/>
  <c r="B76"/>
  <c r="I78"/>
  <c r="A31" i="23"/>
  <c r="A32"/>
  <c r="A33"/>
  <c r="B78" i="14" l="1"/>
  <c r="B4" i="6" s="1"/>
  <c r="B8" i="59"/>
  <c r="B10" s="1"/>
  <c r="Q78" i="14"/>
  <c r="B9" i="6" s="1"/>
  <c r="P8" i="59"/>
  <c r="P10" s="1"/>
  <c r="C78" i="14"/>
  <c r="C8" i="59"/>
  <c r="C10" s="1"/>
  <c r="B90" i="14"/>
  <c r="B17" i="59"/>
  <c r="B20" s="1"/>
  <c r="C90" i="14"/>
  <c r="C17" i="59"/>
  <c r="C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31"/>
  <c r="J29"/>
  <c r="J24"/>
  <c r="J30"/>
  <c r="J27"/>
  <c r="O4"/>
  <c r="P11" i="14"/>
  <c r="H32" i="48"/>
  <c r="H28"/>
  <c r="H29"/>
  <c r="H26"/>
  <c r="H22"/>
  <c r="H30"/>
  <c r="H25"/>
  <c r="H24"/>
  <c r="H23"/>
  <c r="D11" i="14"/>
  <c r="C4" i="48"/>
  <c r="G32"/>
  <c r="G29"/>
  <c r="G25"/>
  <c r="G26"/>
  <c r="G22"/>
  <c r="G24"/>
  <c r="G30"/>
  <c r="G23"/>
  <c r="C11" i="14"/>
  <c r="B4" i="48"/>
  <c r="F32"/>
  <c r="F27"/>
  <c r="F28"/>
  <c r="F31"/>
  <c r="F24"/>
  <c r="F29"/>
  <c r="F30"/>
  <c r="N32"/>
  <c r="N28"/>
  <c r="N27"/>
  <c r="N29"/>
  <c r="N31"/>
  <c r="N24"/>
  <c r="N30"/>
  <c r="B10"/>
  <c r="C19" i="14"/>
  <c r="P4" i="48"/>
  <c r="Q11" i="14"/>
  <c r="I27" i="48"/>
  <c r="I22"/>
  <c r="I29"/>
  <c r="I26"/>
  <c r="I32"/>
  <c r="I31"/>
  <c r="I25"/>
  <c r="I30"/>
  <c r="I28"/>
  <c r="I24"/>
  <c r="D4"/>
  <c r="D22" s="1"/>
  <c r="E11" i="14"/>
  <c r="E32" i="48"/>
  <c r="E28"/>
  <c r="E31"/>
  <c r="E30"/>
  <c r="E29"/>
  <c r="E24"/>
  <c r="M32"/>
  <c r="M22"/>
  <c r="M30"/>
  <c r="M26"/>
  <c r="M29"/>
  <c r="M25"/>
  <c r="M24"/>
  <c r="M23"/>
  <c r="L10" i="14"/>
  <c r="L16" s="1"/>
  <c r="L27" s="1"/>
  <c r="K5" i="48"/>
  <c r="D32"/>
  <c r="D30"/>
  <c r="D28"/>
  <c r="D24"/>
  <c r="D31"/>
  <c r="D29"/>
  <c r="L32"/>
  <c r="L27"/>
  <c r="L30"/>
  <c r="L31"/>
  <c r="L24"/>
  <c r="L28"/>
  <c r="L29"/>
  <c r="L22"/>
  <c r="P5"/>
  <c r="P23" s="1"/>
  <c r="Q10" i="14"/>
  <c r="K28" i="48"/>
  <c r="K25"/>
  <c r="K32"/>
  <c r="K31"/>
  <c r="K22"/>
  <c r="K29"/>
  <c r="K26"/>
  <c r="K30"/>
  <c r="K27"/>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J63" s="1"/>
  <c r="I5" i="48"/>
  <c r="P15"/>
  <c r="P22"/>
  <c r="P33" s="1"/>
  <c r="M12" i="22"/>
  <c r="N18" i="14"/>
  <c r="M13" i="48"/>
  <c r="M31" s="1"/>
  <c r="P8"/>
  <c r="P26" s="1"/>
  <c r="Q13" i="14"/>
  <c r="Q16" s="1"/>
  <c r="Q27" s="1"/>
  <c r="Q63" s="1"/>
  <c r="J46"/>
  <c r="J61" s="1"/>
  <c r="I20" i="15"/>
  <c r="J40" i="14" s="1"/>
  <c r="F4" i="48"/>
  <c r="F22" s="1"/>
  <c r="G11" i="14"/>
  <c r="H18"/>
  <c r="G13" i="48"/>
  <c r="H13"/>
  <c r="H31" s="1"/>
  <c r="I18" i="14"/>
  <c r="F20"/>
  <c r="F22" s="1"/>
  <c r="E9" i="48"/>
  <c r="E27" s="1"/>
  <c r="K23"/>
  <c r="K33" s="1"/>
  <c r="K15"/>
  <c r="E20" i="14"/>
  <c r="E22" s="1"/>
  <c r="D9" i="48"/>
  <c r="D27" s="1"/>
  <c r="O5"/>
  <c r="O23" s="1"/>
  <c r="P10" i="14"/>
  <c r="K24"/>
  <c r="K26" s="1"/>
  <c r="J7" i="48"/>
  <c r="J25" s="1"/>
  <c r="C20" i="14"/>
  <c r="B9" i="48"/>
  <c r="O22"/>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N22" s="1"/>
  <c r="N27" s="1"/>
  <c r="R18"/>
  <c r="E12" i="13"/>
  <c r="F41" i="14" s="1"/>
  <c r="F11"/>
  <c r="E4" i="48"/>
  <c r="K11" i="14"/>
  <c r="J4" i="48"/>
  <c r="E7"/>
  <c r="E25" s="1"/>
  <c r="F24" i="14"/>
  <c r="F26" s="1"/>
  <c r="N52"/>
  <c r="N61" s="1"/>
  <c r="I22"/>
  <c r="I27" s="1"/>
  <c r="G10" i="48"/>
  <c r="H19" i="14"/>
  <c r="Q13" i="48"/>
  <c r="G31"/>
  <c r="I23"/>
  <c r="I33" s="1"/>
  <c r="I15"/>
  <c r="N20" i="14"/>
  <c r="M9" i="48"/>
  <c r="O22" i="16"/>
  <c r="P43" i="14" s="1"/>
  <c r="P46" s="1"/>
  <c r="P61" s="1"/>
  <c r="O8" i="48"/>
  <c r="P13" i="14"/>
  <c r="P16" s="1"/>
  <c r="P27" s="1"/>
  <c r="H20"/>
  <c r="R20" s="1"/>
  <c r="G9" i="48"/>
  <c r="H9"/>
  <c r="I20" i="14"/>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E22" i="48"/>
  <c r="Q4"/>
  <c r="H27"/>
  <c r="H33" s="1"/>
  <c r="H15"/>
  <c r="N63" i="14"/>
  <c r="R24"/>
  <c r="R26" s="1"/>
  <c r="H22"/>
  <c r="H27" s="1"/>
  <c r="K10"/>
  <c r="J5" i="48"/>
  <c r="J23" s="1"/>
  <c r="G27"/>
  <c r="G15"/>
  <c r="J22"/>
  <c r="M27"/>
  <c r="M33" s="1"/>
  <c r="M15"/>
  <c r="G28"/>
  <c r="Q10"/>
  <c r="E5"/>
  <c r="E23" s="1"/>
  <c r="F10" i="14"/>
  <c r="O26" i="48"/>
  <c r="O33" s="1"/>
  <c r="O15"/>
  <c r="R22" i="14"/>
  <c r="J20" i="15"/>
  <c r="K40" i="14" s="1"/>
  <c r="R19"/>
  <c r="Q9" i="48"/>
  <c r="R11" i="14"/>
  <c r="Q7" i="48"/>
  <c r="E20" i="15"/>
  <c r="F40" i="14" s="1"/>
  <c r="J18" i="16"/>
  <c r="E18"/>
  <c r="E22" s="1"/>
  <c r="F43" i="14" s="1"/>
  <c r="F18" i="16"/>
  <c r="F22" s="1"/>
  <c r="G43" i="14" s="1"/>
  <c r="N18" i="16"/>
  <c r="G18" i="22"/>
  <c r="H50" i="14" s="1"/>
  <c r="H52" s="1"/>
  <c r="H61" s="1"/>
  <c r="H18" i="22"/>
  <c r="I50" i="14" s="1"/>
  <c r="I52" s="1"/>
  <c r="I61" s="1"/>
  <c r="I63" s="1"/>
  <c r="H63" l="1"/>
  <c r="G33" i="48"/>
  <c r="E8"/>
  <c r="F13" i="14"/>
  <c r="J22" i="16"/>
  <c r="K43" i="14" s="1"/>
  <c r="K13"/>
  <c r="J8" i="48"/>
  <c r="J26" s="1"/>
  <c r="K46" i="14"/>
  <c r="K61" s="1"/>
  <c r="K63" s="1"/>
  <c r="K16"/>
  <c r="K27" s="1"/>
  <c r="F16"/>
  <c r="F27" s="1"/>
  <c r="F46"/>
  <c r="F61" s="1"/>
  <c r="J15" i="48"/>
  <c r="J33"/>
  <c r="N8"/>
  <c r="N26" s="1"/>
  <c r="O13" i="14"/>
  <c r="N22" i="16"/>
  <c r="O43" i="14" s="1"/>
  <c r="G13"/>
  <c r="R13" s="1"/>
  <c r="F8" i="48"/>
  <c r="E26" l="1"/>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<sst xmlns="http://schemas.openxmlformats.org/spreadsheetml/2006/main" count="2401" uniqueCount="897">
  <si>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</si>
  <si>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</si>
  <si>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</si>
  <si>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</si>
  <si>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</si>
  <si>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</si>
  <si>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</si>
  <si>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</si>
  <si>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</si>
  <si>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</si>
  <si>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</si>
  <si>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</si>
  <si>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</si>
  <si>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</si>
  <si>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</si>
  <si>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</si>
  <si>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</si>
  <si>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</si>
  <si>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</si>
  <si>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</si>
  <si>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</si>
  <si>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</si>
  <si>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</si>
  <si>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</si>
  <si>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</si>
  <si>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</si>
  <si>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</si>
  <si>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</si>
  <si>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</si>
  <si>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</si>
  <si>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</si>
  <si>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</si>
  <si>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</si>
  <si>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</si>
  <si>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</si>
  <si>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</si>
  <si>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</si>
  <si>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</si>
  <si>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</si>
  <si>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</si>
  <si>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</si>
  <si>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</si>
  <si>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</si>
  <si>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</si>
  <si>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</si>
  <si>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</si>
  <si>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</si>
  <si>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</si>
  <si>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</si>
  <si>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</si>
  <si>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</si>
  <si>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</si>
  <si>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</si>
  <si>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</si>
  <si>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</si>
  <si>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</si>
  <si>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</si>
  <si>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</si>
  <si>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</si>
  <si>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</si>
  <si>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</si>
  <si>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</si>
  <si>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</si>
  <si>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</si>
  <si>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</si>
  <si>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</si>
  <si>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</si>
  <si>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</si>
  <si>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</si>
  <si>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</si>
  <si>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</si>
  <si>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</si>
  <si>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</si>
  <si>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</si>
  <si>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</si>
  <si>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</si>
  <si>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</si>
  <si>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</si>
  <si>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</si>
  <si>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</si>
  <si>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</si>
  <si>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</si>
  <si>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</si>
  <si>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</si>
  <si>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</si>
  <si>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</si>
  <si>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</si>
  <si>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</si>
  <si>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</si>
  <si>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</si>
  <si>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</si>
  <si>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</si>
  <si>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</si>
  <si>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</si>
  <si>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</si>
  <si>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</si>
  <si>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</si>
  <si>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</si>
  <si>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</si>
  <si>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</si>
  <si>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</si>
  <si>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</si>
  <si>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</si>
  <si>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</si>
  <si>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</si>
  <si>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</si>
  <si>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</si>
  <si>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</si>
  <si>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</si>
  <si>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</si>
  <si>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</si>
  <si>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</si>
  <si>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</si>
  <si>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</si>
  <si>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</si>
  <si>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</si>
  <si>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</si>
  <si>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</si>
  <si>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</si>
  <si>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</si>
  <si>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</si>
  <si>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</si>
  <si>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</si>
  <si>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</si>
  <si>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</si>
  <si>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</si>
  <si>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</si>
  <si>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</si>
  <si>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</si>
  <si>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</si>
  <si>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</si>
  <si>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</si>
  <si>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</si>
  <si>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</si>
  <si>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</si>
  <si>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</si>
  <si>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</si>
  <si>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</si>
  <si>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</si>
  <si>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</si>
  <si>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</si>
  <si>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</si>
  <si>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</si>
  <si>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</si>
  <si>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</si>
  <si>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</si>
  <si>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</si>
  <si>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</si>
  <si>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</si>
  <si>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</si>
  <si>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</si>
  <si>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</si>
  <si>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</si>
  <si>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</si>
  <si>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</si>
  <si>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</si>
  <si>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</si>
  <si>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</si>
  <si>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</si>
  <si>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</si>
  <si>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</si>
  <si>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</si>
  <si>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</si>
  <si>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</si>
  <si>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</si>
  <si>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</si>
  <si>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</si>
  <si>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</si>
  <si>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</si>
  <si>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</si>
  <si>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</si>
  <si>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</si>
  <si>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</si>
  <si>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</si>
  <si>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</si>
  <si>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</si>
  <si>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</si>
  <si>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</si>
  <si>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</si>
  <si>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</si>
  <si>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</si>
  <si>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</si>
  <si>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</si>
  <si>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</si>
  <si>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</si>
  <si>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</si>
  <si>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</si>
  <si>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</si>
  <si>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</si>
  <si>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</si>
  <si>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</si>
  <si>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</si>
  <si>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</si>
  <si>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</si>
  <si>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</si>
  <si>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</si>
  <si>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</si>
  <si>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</si>
  <si>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</si>
  <si>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</si>
  <si>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</si>
  <si>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</si>
  <si>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</si>
  <si>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</si>
  <si>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</si>
  <si>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</si>
  <si>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</si>
  <si>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</si>
  <si>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</si>
  <si>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</si>
  <si>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</si>
  <si>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</si>
  <si>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</si>
  <si>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</si>
  <si>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</si>
  <si>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</si>
  <si>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</si>
  <si>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</si>
  <si>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</si>
  <si>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</si>
  <si>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</si>
  <si>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</si>
  <si>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</si>
  <si>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</si>
  <si>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</si>
  <si>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</si>
  <si>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</si>
  <si>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</si>
  <si>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</si>
  <si>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</si>
  <si>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</si>
  <si>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</si>
  <si>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</si>
  <si>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</si>
  <si>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</si>
  <si>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</si>
  <si>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</si>
  <si>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</si>
  <si>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</si>
  <si>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</si>
  <si>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</si>
  <si>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</si>
  <si>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</si>
  <si>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</si>
  <si>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</si>
  <si>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</si>
  <si>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</si>
  <si>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</si>
  <si>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</si>
  <si>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</si>
  <si>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</si>
  <si>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</si>
  <si>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</si>
  <si>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</si>
  <si>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</si>
  <si>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</si>
  <si>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</si>
  <si>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</si>
  <si>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</si>
  <si>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</si>
  <si>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</si>
  <si>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</si>
  <si>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</si>
  <si>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</si>
  <si>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</si>
  <si>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</si>
  <si>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</si>
  <si>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</si>
  <si>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</si>
  <si>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</si>
  <si>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</si>
  <si>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</si>
  <si>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</si>
  <si>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</si>
  <si>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</si>
  <si>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</si>
  <si>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</si>
  <si>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</si>
  <si>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</si>
  <si>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</si>
  <si>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</si>
  <si>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</si>
  <si>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</si>
  <si>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</si>
  <si>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</si>
  <si>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</si>
  <si>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</si>
  <si>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</si>
  <si>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</si>
  <si>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</si>
  <si>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</si>
  <si>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</si>
  <si>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</si>
  <si>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</si>
  <si>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</si>
  <si>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</si>
  <si>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</si>
  <si>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</si>
  <si>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</si>
  <si>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</si>
  <si>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</si>
  <si>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</si>
  <si>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</si>
  <si>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</si>
  <si>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</si>
  <si>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</si>
  <si>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</si>
  <si>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</si>
  <si>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</si>
  <si>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</si>
  <si>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</si>
  <si>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</si>
  <si>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</si>
  <si>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</si>
  <si>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</si>
  <si>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</si>
  <si>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</si>
  <si>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</si>
  <si>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</si>
  <si>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</si>
  <si>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</si>
  <si>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</si>
  <si>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</si>
  <si>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</si>
  <si>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</si>
  <si>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</si>
  <si>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</si>
  <si>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</si>
  <si>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</si>
  <si>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</si>
  <si>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</si>
  <si>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</si>
  <si>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</si>
  <si>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</si>
  <si>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</si>
  <si>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</si>
  <si>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</si>
  <si>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</si>
  <si>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</si>
  <si>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</si>
  <si>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</si>
  <si>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</si>
  <si>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</si>
  <si>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</si>
  <si>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</si>
  <si>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</si>
  <si>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</si>
  <si>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</si>
  <si>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</si>
  <si>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</si>
  <si>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</si>
  <si>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</si>
  <si>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</si>
  <si>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</si>
  <si>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</si>
  <si>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</si>
  <si>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</si>
  <si>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</si>
  <si>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</si>
  <si>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</si>
  <si>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</si>
  <si>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</si>
  <si>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</si>
  <si>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</si>
  <si>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</si>
  <si>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</si>
  <si>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</si>
  <si>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</si>
  <si>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</si>
  <si>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</si>
  <si>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</si>
  <si>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</si>
  <si>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</si>
  <si>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</si>
  <si>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</si>
  <si>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</si>
  <si>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</si>
  <si>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</si>
  <si>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</si>
  <si>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</si>
  <si>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</si>
  <si>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</si>
  <si>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</si>
  <si>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</si>
  <si>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</si>
  <si>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</si>
  <si>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</si>
  <si>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</si>
  <si>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</si>
  <si>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</si>
  <si>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</si>
  <si>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</si>
  <si>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</si>
  <si>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</si>
  <si>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</si>
  <si>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</si>
  <si>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</si>
  <si>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</si>
  <si>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</si>
  <si>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</si>
  <si>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</si>
  <si>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</si>
  <si>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</si>
  <si>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</si>
  <si>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</si>
  <si>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</si>
  <si>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</si>
  <si>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</si>
  <si>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</si>
  <si>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</si>
  <si>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</si>
  <si>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</si>
  <si>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</si>
  <si>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</si>
  <si>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</si>
  <si>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</si>
  <si>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</si>
  <si>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</si>
  <si>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</si>
  <si>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</si>
  <si>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</si>
  <si>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</si>
  <si>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</si>
  <si>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</si>
  <si>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</si>
  <si>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</si>
  <si>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</si>
  <si>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</si>
  <si>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</si>
  <si>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</si>
  <si>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</si>
  <si>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</si>
  <si>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</si>
  <si>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</si>
  <si>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</si>
  <si>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</si>
  <si>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</si>
  <si>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</si>
  <si>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</si>
  <si>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</si>
  <si>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</si>
  <si>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</si>
  <si>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</si>
  <si>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</si>
  <si>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</si>
  <si>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</si>
  <si>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</si>
  <si>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</si>
  <si>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</si>
  <si>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</si>
  <si>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</si>
  <si>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</si>
  <si>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</si>
  <si>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</si>
  <si>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</si>
  <si>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</si>
  <si>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</si>
  <si>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</si>
  <si>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</si>
  <si>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</si>
  <si>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</si>
  <si>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</si>
  <si>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</si>
  <si>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</si>
  <si>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</si>
  <si>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</si>
  <si>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</si>
  <si>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</si>
  <si>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</si>
  <si>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</si>
  <si>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</si>
  <si>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</si>
  <si>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</si>
  <si>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</si>
  <si>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</si>
  <si>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</si>
  <si>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</si>
  <si>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</si>
  <si>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</si>
  <si>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</si>
  <si>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</si>
  <si>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</si>
  <si>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</si>
  <si>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</si>
  <si>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</si>
  <si>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</si>
  <si>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</si>
  <si>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</si>
  <si>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</si>
  <si>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</si>
  <si>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</si>
  <si>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</si>
  <si>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</si>
  <si>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</si>
  <si>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</si>
  <si>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</si>
  <si>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</si>
  <si>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</si>
  <si>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</si>
  <si>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</si>
  <si>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</si>
  <si>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</si>
  <si>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</si>
  <si>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</si>
  <si>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</si>
  <si>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</si>
  <si>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</si>
  <si>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</si>
  <si>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</si>
  <si>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</si>
  <si>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</si>
  <si>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</si>
  <si>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</si>
  <si>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</si>
  <si>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</si>
  <si>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</si>
  <si>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</si>
  <si>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</si>
  <si>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</si>
  <si>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</si>
  <si>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</si>
  <si>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</si>
  <si>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</si>
  <si>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</si>
  <si>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</si>
  <si>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</si>
  <si>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</si>
  <si>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</si>
  <si>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</si>
  <si>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</si>
  <si>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</si>
  <si>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</si>
  <si>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</si>
  <si>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</si>
  <si>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</si>
  <si>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</si>
  <si>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</si>
  <si>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</si>
  <si>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</si>
  <si>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</si>
  <si>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</si>
  <si>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</si>
  <si>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</si>
  <si>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</si>
  <si>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</si>
  <si>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</si>
  <si>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</si>
  <si>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</si>
  <si>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</si>
  <si>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</si>
  <si>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</si>
  <si>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</si>
  <si>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</si>
  <si>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</si>
  <si>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</si>
  <si>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</si>
  <si>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</si>
  <si>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</si>
  <si>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</si>
  <si>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</si>
  <si>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</si>
  <si>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</si>
  <si>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</si>
  <si>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</si>
  <si>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</si>
  <si>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</si>
  <si>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</si>
  <si>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</si>
  <si>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</si>
  <si>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</si>
  <si>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</si>
  <si>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</si>
  <si>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</si>
  <si>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</si>
  <si>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</si>
  <si>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</si>
  <si>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</si>
  <si>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</si>
  <si>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</si>
  <si>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</si>
  <si>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</si>
  <si>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</si>
  <si>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</si>
  <si>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</si>
  <si>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</si>
  <si>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</si>
  <si>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</si>
  <si>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</si>
  <si>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</si>
  <si>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</si>
  <si>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</si>
  <si>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</si>
  <si>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</si>
  <si>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</si>
  <si>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</si>
  <si>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</si>
  <si>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</si>
  <si>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</si>
  <si>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</si>
  <si>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</si>
  <si>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</si>
  <si>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</si>
  <si>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</si>
  <si>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</si>
  <si>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</si>
  <si>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</si>
  <si>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</si>
  <si>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</si>
  <si>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</si>
  <si>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</si>
  <si>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</si>
  <si>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</si>
  <si>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</si>
  <si>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</si>
  <si>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</si>
  <si>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</si>
  <si>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</si>
  <si>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</si>
  <si>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</si>
  <si>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</si>
  <si>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</si>
  <si>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</si>
  <si>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</si>
  <si>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</si>
  <si>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</si>
  <si>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</si>
  <si>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</si>
  <si>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</si>
  <si>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</si>
  <si>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</si>
  <si>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</si>
  <si>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</si>
  <si>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</si>
  <si>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</si>
  <si>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</si>
  <si>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</si>
  <si>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</si>
  <si>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</si>
  <si>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</si>
  <si>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</si>
  <si>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</si>
  <si>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</si>
  <si>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</si>
  <si>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</si>
  <si>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</si>
  <si>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</si>
  <si>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</si>
  <si>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</si>
  <si>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</si>
  <si>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</si>
  <si>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</si>
  <si>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</si>
  <si>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</si>
  <si>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</si>
  <si>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</si>
  <si>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</si>
  <si>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</si>
  <si>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</si>
  <si>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</si>
  <si>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</si>
  <si>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</si>
  <si>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</si>
  <si>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</si>
  <si>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</si>
  <si>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</si>
  <si>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</si>
  <si>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</si>
  <si>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</si>
  <si>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</si>
  <si>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</si>
  <si>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</si>
  <si>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</si>
  <si>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</si>
  <si>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</si>
  <si>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</si>
  <si>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</si>
  <si>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</si>
  <si>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</si>
  <si>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</si>
  <si>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</si>
  <si>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</si>
  <si>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</si>
  <si>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</si>
  <si>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</si>
  <si>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</si>
  <si>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</si>
  <si>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</si>
  <si>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</si>
  <si>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</si>
  <si>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</si>
  <si>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</si>
  <si>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</si>
  <si>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</si>
  <si>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</si>
  <si>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</si>
  <si>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</si>
  <si>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</si>
  <si>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</si>
  <si>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</si>
  <si>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</si>
  <si>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</si>
  <si>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</si>
  <si>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</si>
  <si>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</si>
  <si>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</si>
  <si>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</si>
  <si>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</si>
  <si>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</si>
  <si>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</si>
  <si>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</si>
  <si>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</si>
  <si>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</si>
  <si>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</si>
  <si>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</si>
  <si>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</si>
  <si>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</si>
  <si>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</si>
  <si>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</si>
  <si>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</si>
  <si>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</si>
  <si>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</si>
  <si>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</si>
  <si>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</si>
  <si>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</si>
  <si>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</si>
  <si>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</si>
  <si>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</si>
  <si>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</si>
  <si>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</si>
  <si>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</si>
  <si>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</si>
  <si>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</si>
  <si>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</si>
  <si>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</si>
  <si>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</si>
  <si>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</si>
  <si>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</si>
  <si>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</si>
  <si>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</si>
  <si>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</si>
  <si>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</si>
  <si>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</si>
  <si>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</si>
  <si>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</si>
  <si>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</si>
  <si>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</si>
  <si>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</si>
  <si>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</si>
  <si>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</si>
  <si>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</si>
  <si>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</si>
  <si>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</si>
  <si>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</si>
  <si>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</si>
  <si>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</si>
  <si>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</si>
  <si>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</si>
  <si>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</si>
  <si>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</si>
  <si>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</si>
  <si>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</si>
  <si>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</si>
  <si>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</si>
  <si>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</si>
  <si>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</si>
  <si>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</si>
  <si>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</si>
  <si>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</si>
  <si>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</si>
  <si>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</si>
  <si>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</si>
  <si>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</si>
  <si>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</si>
  <si>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</si>
  <si>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</si>
  <si>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</si>
  <si>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</si>
  <si>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</si>
  <si>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</si>
  <si>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</si>
  <si>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</si>
  <si>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</si>
  <si>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</si>
  <si>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</si>
  <si>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</si>
  <si>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</si>
  <si>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</si>
  <si>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</si>
  <si>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</si>
  <si>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</si>
  <si>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</si>
  <si>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</si>
  <si>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</si>
  <si>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</si>
  <si>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</si>
  <si>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</si>
  <si>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</si>
  <si>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</si>
  <si>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</si>
  <si>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</si>
  <si>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</si>
  <si>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</si>
  <si>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</si>
  <si>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</si>
  <si>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</si>
  <si>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</si>
  <si>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</si>
  <si>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</si>
  <si>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</si>
  <si>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</si>
  <si>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</si>
  <si>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</si>
  <si>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</si>
  <si>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</si>
  <si>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</si>
  <si>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</si>
  <si>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</si>
  <si>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</si>
  <si>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</si>
  <si>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</si>
  <si>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</si>
  <si>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</si>
  <si>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</si>
  <si>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</si>
  <si>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</si>
  <si>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</si>
  <si>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</si>
  <si>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</si>
  <si>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</si>
  <si>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</si>
  <si>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</si>
  <si>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</si>
  <si>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</si>
  <si>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</si>
  <si>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</si>
  <si>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</si>
  <si>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</si>
  <si>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</si>
  <si>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</si>
  <si>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</si>
  <si>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</si>
  <si>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</si>
  <si>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</si>
  <si>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</si>
  <si>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</si>
  <si>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</si>
  <si>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</si>
  <si>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</si>
  <si>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</si>
  <si>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</si>
  <si>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</si>
  <si>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</si>
  <si>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</si>
  <si>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</si>
  <si>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</si>
  <si>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</si>
  <si>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</si>
  <si>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</si>
  <si>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</si>
  <si>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</si>
  <si>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</si>
  <si>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</si>
  <si>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</si>
  <si>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</si>
  <si>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</si>
  <si>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</si>
  <si>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</si>
  <si>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</si>
  <si>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</si>
  <si>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</si>
  <si>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</si>
  <si>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</si>
  <si>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</si>
  <si>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</si>
  <si>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</si>
  <si>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</si>
  <si>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</si>
  <si>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</si>
  <si>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</si>
  <si>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</si>
  <si>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</si>
  <si>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</si>
  <si>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24041</t>
  </si>
  <si>
    <t>HOEGAARDEN</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</si>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</sst>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56317.816375074493</c:v>
                </c:pt>
                <c:pt idx="1">
                  <c:v>11730.189852469206</c:v>
                </c:pt>
                <c:pt idx="2">
                  <c:v>363.185</c:v>
                </c:pt>
                <c:pt idx="3">
                  <c:v>3075.52402402709</c:v>
                </c:pt>
                <c:pt idx="4">
                  <c:v>41258.763920352612</c:v>
                </c:pt>
                <c:pt idx="5">
                  <c:v>126988.23484892929</c:v>
                </c:pt>
                <c:pt idx="6">
                  <c:v>425.06217155727552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56317.816375074493</c:v>
                </c:pt>
                <c:pt idx="1">
                  <c:v>11730.189852469206</c:v>
                </c:pt>
                <c:pt idx="2">
                  <c:v>363.185</c:v>
                </c:pt>
                <c:pt idx="3">
                  <c:v>3075.52402402709</c:v>
                </c:pt>
                <c:pt idx="4">
                  <c:v>41258.763920352612</c:v>
                </c:pt>
                <c:pt idx="5">
                  <c:v>126988.23484892929</c:v>
                </c:pt>
                <c:pt idx="6">
                  <c:v>425.06217155727552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10748.830653638908</c:v>
                </c:pt>
                <c:pt idx="2">
                  <c:v>2390.5497793394638</c:v>
                </c:pt>
                <c:pt idx="3">
                  <c:v>73.682069029115269</c:v>
                </c:pt>
                <c:pt idx="4">
                  <c:v>780.60148942349701</c:v>
                </c:pt>
                <c:pt idx="5">
                  <c:v>7946.9116723637007</c:v>
                </c:pt>
                <c:pt idx="6">
                  <c:v>32525.254576280269</c:v>
                </c:pt>
                <c:pt idx="7">
                  <c:v>110.07724978045439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10748.830653638908</c:v>
                </c:pt>
                <c:pt idx="2">
                  <c:v>2390.5497793394638</c:v>
                </c:pt>
                <c:pt idx="3">
                  <c:v>73.682069029115269</c:v>
                </c:pt>
                <c:pt idx="4">
                  <c:v>780.60148942349701</c:v>
                </c:pt>
                <c:pt idx="5">
                  <c:v>7946.9116723637007</c:v>
                </c:pt>
                <c:pt idx="6">
                  <c:v>32525.254576280269</c:v>
                </c:pt>
                <c:pt idx="7">
                  <c:v>110.07724978045439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24041</v>
      </c>
      <c r="B6" s="415"/>
      <c r="C6" s="416"/>
    </row>
    <row r="7" spans="1:7" s="413" customFormat="1" ht="15.75" customHeight="1">
      <c r="A7" s="417" t="str">
        <f>txtMunicipality</f>
        <v>HOEGAARDEN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4235.7533142629991</v>
      </c>
      <c r="D10" s="1012">
        <f ca="1">tertiair!C16</f>
        <v>0</v>
      </c>
      <c r="E10" s="1012">
        <f ca="1">tertiair!D16</f>
        <v>6490.0666806932004</v>
      </c>
      <c r="F10" s="1012">
        <f>tertiair!E16</f>
        <v>80.396788535377681</v>
      </c>
      <c r="G10" s="1012">
        <f ca="1">tertiair!F16</f>
        <v>1032.3940673058714</v>
      </c>
      <c r="H10" s="1012">
        <f>tertiair!G16</f>
        <v>0</v>
      </c>
      <c r="I10" s="1012">
        <f>tertiair!H16</f>
        <v>0</v>
      </c>
      <c r="J10" s="1012">
        <f>tertiair!I16</f>
        <v>0</v>
      </c>
      <c r="K10" s="1012">
        <f>tertiair!J16</f>
        <v>0</v>
      </c>
      <c r="L10" s="1012">
        <f>tertiair!K16</f>
        <v>0</v>
      </c>
      <c r="M10" s="1012">
        <f ca="1">tertiair!L16</f>
        <v>0</v>
      </c>
      <c r="N10" s="1012">
        <f>tertiair!M16</f>
        <v>0</v>
      </c>
      <c r="O10" s="1012">
        <f ca="1">tertiair!N16</f>
        <v>235.69733500509113</v>
      </c>
      <c r="P10" s="1012">
        <f>tertiair!O16</f>
        <v>0</v>
      </c>
      <c r="Q10" s="1013">
        <f>tertiair!P16</f>
        <v>19.066666666666666</v>
      </c>
      <c r="R10" s="700">
        <f ca="1">SUM(C10:Q10)</f>
        <v>12093.374852469207</v>
      </c>
      <c r="S10" s="67"/>
    </row>
    <row r="11" spans="1:19" s="473" customFormat="1">
      <c r="A11" s="809" t="s">
        <v>225</v>
      </c>
      <c r="B11" s="814"/>
      <c r="C11" s="1012">
        <f>huishoudens!B8</f>
        <v>11638.502332750677</v>
      </c>
      <c r="D11" s="1012">
        <f>huishoudens!C8</f>
        <v>0</v>
      </c>
      <c r="E11" s="1012">
        <f>huishoudens!D8</f>
        <v>28591.008685249999</v>
      </c>
      <c r="F11" s="1012">
        <f>huishoudens!E8</f>
        <v>1263.7055234134368</v>
      </c>
      <c r="G11" s="1012">
        <f>huishoudens!F8</f>
        <v>7884.4237253762312</v>
      </c>
      <c r="H11" s="1012">
        <f>huishoudens!G8</f>
        <v>0</v>
      </c>
      <c r="I11" s="1012">
        <f>huishoudens!H8</f>
        <v>0</v>
      </c>
      <c r="J11" s="1012">
        <f>huishoudens!I8</f>
        <v>0</v>
      </c>
      <c r="K11" s="1012">
        <f>huishoudens!J8</f>
        <v>622.18706043053544</v>
      </c>
      <c r="L11" s="1012">
        <f>huishoudens!K8</f>
        <v>0</v>
      </c>
      <c r="M11" s="1012">
        <f>huishoudens!L8</f>
        <v>0</v>
      </c>
      <c r="N11" s="1012">
        <f>huishoudens!M8</f>
        <v>0</v>
      </c>
      <c r="O11" s="1012">
        <f>huishoudens!N8</f>
        <v>5911.3057145202793</v>
      </c>
      <c r="P11" s="1012">
        <f>huishoudens!O8</f>
        <v>101.61666666666667</v>
      </c>
      <c r="Q11" s="1013">
        <f>huishoudens!P8</f>
        <v>305.06666666666666</v>
      </c>
      <c r="R11" s="700">
        <f>SUM(C11:Q11)</f>
        <v>56317.816375074493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12758.09356734</v>
      </c>
      <c r="D13" s="1012">
        <f>industrie!C18</f>
        <v>1060.7142857142858</v>
      </c>
      <c r="E13" s="1012">
        <f>industrie!D18</f>
        <v>22341.368020711299</v>
      </c>
      <c r="F13" s="1012">
        <f>industrie!E18</f>
        <v>414.93319840022338</v>
      </c>
      <c r="G13" s="1012">
        <f>industrie!F18</f>
        <v>2784.3604474756012</v>
      </c>
      <c r="H13" s="1012">
        <f>industrie!G18</f>
        <v>0</v>
      </c>
      <c r="I13" s="1012">
        <f>industrie!H18</f>
        <v>0</v>
      </c>
      <c r="J13" s="1012">
        <f>industrie!I18</f>
        <v>0</v>
      </c>
      <c r="K13" s="1012">
        <f>industrie!J18</f>
        <v>22.629891849118977</v>
      </c>
      <c r="L13" s="1012">
        <f>industrie!K18</f>
        <v>0</v>
      </c>
      <c r="M13" s="1012">
        <f>industrie!L18</f>
        <v>0</v>
      </c>
      <c r="N13" s="1012">
        <f>industrie!M18</f>
        <v>0</v>
      </c>
      <c r="O13" s="1012">
        <f>industrie!N18</f>
        <v>1876.6645088620917</v>
      </c>
      <c r="P13" s="1012">
        <f>industrie!O18</f>
        <v>0</v>
      </c>
      <c r="Q13" s="1013">
        <f>industrie!P18</f>
        <v>0</v>
      </c>
      <c r="R13" s="700">
        <f>SUM(C13:Q13)</f>
        <v>41258.763920352612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28632.349214353679</v>
      </c>
      <c r="D16" s="732">
        <f t="shared" ref="D16:R16" ca="1" si="0">SUM(D9:D15)</f>
        <v>1060.7142857142858</v>
      </c>
      <c r="E16" s="732">
        <f t="shared" ca="1" si="0"/>
        <v>57422.443386654501</v>
      </c>
      <c r="F16" s="732">
        <f t="shared" si="0"/>
        <v>1759.0355103490378</v>
      </c>
      <c r="G16" s="732">
        <f t="shared" ca="1" si="0"/>
        <v>11701.178240157704</v>
      </c>
      <c r="H16" s="732">
        <f t="shared" si="0"/>
        <v>0</v>
      </c>
      <c r="I16" s="732">
        <f t="shared" si="0"/>
        <v>0</v>
      </c>
      <c r="J16" s="732">
        <f t="shared" si="0"/>
        <v>0</v>
      </c>
      <c r="K16" s="732">
        <f t="shared" si="0"/>
        <v>644.8169522796544</v>
      </c>
      <c r="L16" s="732">
        <f t="shared" si="0"/>
        <v>0</v>
      </c>
      <c r="M16" s="732">
        <f t="shared" ca="1" si="0"/>
        <v>0</v>
      </c>
      <c r="N16" s="732">
        <f t="shared" si="0"/>
        <v>0</v>
      </c>
      <c r="O16" s="732">
        <f t="shared" ca="1" si="0"/>
        <v>8023.6675583874621</v>
      </c>
      <c r="P16" s="732">
        <f t="shared" si="0"/>
        <v>101.61666666666667</v>
      </c>
      <c r="Q16" s="732">
        <f t="shared" si="0"/>
        <v>324.13333333333333</v>
      </c>
      <c r="R16" s="732">
        <f t="shared" ca="1" si="0"/>
        <v>109669.95514789631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412.27434374702017</v>
      </c>
      <c r="I19" s="1012">
        <f>transport!H54</f>
        <v>0</v>
      </c>
      <c r="J19" s="1012">
        <f>transport!I54</f>
        <v>0</v>
      </c>
      <c r="K19" s="1012">
        <f>transport!J54</f>
        <v>0</v>
      </c>
      <c r="L19" s="1012">
        <f>transport!K54</f>
        <v>0</v>
      </c>
      <c r="M19" s="1012">
        <f>transport!L54</f>
        <v>0</v>
      </c>
      <c r="N19" s="1012">
        <f>transport!M54</f>
        <v>12.787827810255338</v>
      </c>
      <c r="O19" s="1012">
        <f>transport!N54</f>
        <v>0</v>
      </c>
      <c r="P19" s="1012">
        <f>transport!O54</f>
        <v>0</v>
      </c>
      <c r="Q19" s="1013">
        <f>transport!P54</f>
        <v>0</v>
      </c>
      <c r="R19" s="700">
        <f>SUM(C19:Q19)</f>
        <v>425.06217155727552</v>
      </c>
      <c r="S19" s="67"/>
    </row>
    <row r="20" spans="1:19" s="473" customFormat="1">
      <c r="A20" s="809" t="s">
        <v>307</v>
      </c>
      <c r="B20" s="814"/>
      <c r="C20" s="1012">
        <f>transport!B14</f>
        <v>30.717872783908113</v>
      </c>
      <c r="D20" s="1012">
        <f>transport!C14</f>
        <v>0</v>
      </c>
      <c r="E20" s="1012">
        <f>transport!D14</f>
        <v>67.136340806775479</v>
      </c>
      <c r="F20" s="1012">
        <f>transport!E14</f>
        <v>313.30654585405426</v>
      </c>
      <c r="G20" s="1012">
        <f>transport!F14</f>
        <v>0</v>
      </c>
      <c r="H20" s="1012">
        <f>transport!G14</f>
        <v>104016.51899774652</v>
      </c>
      <c r="I20" s="1012">
        <f>transport!H14</f>
        <v>18722.610086505487</v>
      </c>
      <c r="J20" s="1012">
        <f>transport!I14</f>
        <v>0</v>
      </c>
      <c r="K20" s="1012">
        <f>transport!J14</f>
        <v>0</v>
      </c>
      <c r="L20" s="1012">
        <f>transport!K14</f>
        <v>0</v>
      </c>
      <c r="M20" s="1012">
        <f>transport!L14</f>
        <v>0</v>
      </c>
      <c r="N20" s="1012">
        <f>transport!M14</f>
        <v>3837.9450052325456</v>
      </c>
      <c r="O20" s="1012">
        <f>transport!N14</f>
        <v>0</v>
      </c>
      <c r="P20" s="1012">
        <f>transport!O14</f>
        <v>0</v>
      </c>
      <c r="Q20" s="1013">
        <f>transport!P14</f>
        <v>0</v>
      </c>
      <c r="R20" s="700">
        <f>SUM(C20:Q20)</f>
        <v>126988.23484892929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30.717872783908113</v>
      </c>
      <c r="D22" s="812">
        <f t="shared" ref="D22:R22" si="1">SUM(D18:D21)</f>
        <v>0</v>
      </c>
      <c r="E22" s="812">
        <f t="shared" si="1"/>
        <v>67.136340806775479</v>
      </c>
      <c r="F22" s="812">
        <f t="shared" si="1"/>
        <v>313.30654585405426</v>
      </c>
      <c r="G22" s="812">
        <f t="shared" si="1"/>
        <v>0</v>
      </c>
      <c r="H22" s="812">
        <f t="shared" si="1"/>
        <v>104428.79334149354</v>
      </c>
      <c r="I22" s="812">
        <f t="shared" si="1"/>
        <v>18722.610086505487</v>
      </c>
      <c r="J22" s="812">
        <f t="shared" si="1"/>
        <v>0</v>
      </c>
      <c r="K22" s="812">
        <f t="shared" si="1"/>
        <v>0</v>
      </c>
      <c r="L22" s="812">
        <f t="shared" si="1"/>
        <v>0</v>
      </c>
      <c r="M22" s="812">
        <f t="shared" si="1"/>
        <v>0</v>
      </c>
      <c r="N22" s="812">
        <f t="shared" si="1"/>
        <v>3850.7328330428008</v>
      </c>
      <c r="O22" s="812">
        <f t="shared" si="1"/>
        <v>0</v>
      </c>
      <c r="P22" s="812">
        <f t="shared" si="1"/>
        <v>0</v>
      </c>
      <c r="Q22" s="812">
        <f t="shared" si="1"/>
        <v>0</v>
      </c>
      <c r="R22" s="812">
        <f t="shared" si="1"/>
        <v>127413.29702048657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610.53850497999997</v>
      </c>
      <c r="D24" s="1012">
        <f>+landbouw!C8</f>
        <v>0</v>
      </c>
      <c r="E24" s="1012">
        <f>+landbouw!D8</f>
        <v>129.71248304194398</v>
      </c>
      <c r="F24" s="1012">
        <f>+landbouw!E8</f>
        <v>15.743443846598822</v>
      </c>
      <c r="G24" s="1012">
        <f>+landbouw!F8</f>
        <v>2231.6345071120404</v>
      </c>
      <c r="H24" s="1012">
        <f>+landbouw!G8</f>
        <v>0</v>
      </c>
      <c r="I24" s="1012">
        <f>+landbouw!H8</f>
        <v>0</v>
      </c>
      <c r="J24" s="1012">
        <f>+landbouw!I8</f>
        <v>0</v>
      </c>
      <c r="K24" s="1012">
        <f>+landbouw!J8</f>
        <v>87.895085046506779</v>
      </c>
      <c r="L24" s="1012">
        <f>+landbouw!K8</f>
        <v>0</v>
      </c>
      <c r="M24" s="1012">
        <f>+landbouw!L8</f>
        <v>0</v>
      </c>
      <c r="N24" s="1012">
        <f>+landbouw!M8</f>
        <v>0</v>
      </c>
      <c r="O24" s="1012">
        <f>+landbouw!N8</f>
        <v>0</v>
      </c>
      <c r="P24" s="1012">
        <f>+landbouw!O8</f>
        <v>0</v>
      </c>
      <c r="Q24" s="1013">
        <f>+landbouw!P8</f>
        <v>0</v>
      </c>
      <c r="R24" s="700">
        <f>SUM(C24:Q24)</f>
        <v>3075.52402402709</v>
      </c>
      <c r="S24" s="67"/>
    </row>
    <row r="25" spans="1:19" s="473" customFormat="1" ht="15" thickBot="1">
      <c r="A25" s="831" t="s">
        <v>848</v>
      </c>
      <c r="B25" s="1015"/>
      <c r="C25" s="1016">
        <f>IF(Onbekend_ele_kWh="---",0,Onbekend_ele_kWh)/1000+IF(REST_rest_ele_kWh="---",0,REST_rest_ele_kWh)/1000</f>
        <v>913.19451144999994</v>
      </c>
      <c r="D25" s="1016"/>
      <c r="E25" s="1016">
        <f>IF(onbekend_gas_kWh="---",0,onbekend_gas_kWh)/1000+IF(REST_rest_gas_kWh="---",0,REST_rest_gas_kWh)/1000</f>
        <v>1216.9301313000001</v>
      </c>
      <c r="F25" s="1016"/>
      <c r="G25" s="1016"/>
      <c r="H25" s="1016"/>
      <c r="I25" s="1016"/>
      <c r="J25" s="1016"/>
      <c r="K25" s="1016"/>
      <c r="L25" s="1016"/>
      <c r="M25" s="1016"/>
      <c r="N25" s="1016"/>
      <c r="O25" s="1016"/>
      <c r="P25" s="1016"/>
      <c r="Q25" s="1017"/>
      <c r="R25" s="700">
        <f>SUM(C25:Q25)</f>
        <v>2130.12464275</v>
      </c>
      <c r="S25" s="67"/>
    </row>
    <row r="26" spans="1:19" s="473" customFormat="1" ht="15.75" thickBot="1">
      <c r="A26" s="705" t="s">
        <v>849</v>
      </c>
      <c r="B26" s="817"/>
      <c r="C26" s="812">
        <f>SUM(C24:C25)</f>
        <v>1523.7330164299999</v>
      </c>
      <c r="D26" s="812">
        <f t="shared" ref="D26:R26" si="2">SUM(D24:D25)</f>
        <v>0</v>
      </c>
      <c r="E26" s="812">
        <f t="shared" si="2"/>
        <v>1346.642614341944</v>
      </c>
      <c r="F26" s="812">
        <f t="shared" si="2"/>
        <v>15.743443846598822</v>
      </c>
      <c r="G26" s="812">
        <f t="shared" si="2"/>
        <v>2231.6345071120404</v>
      </c>
      <c r="H26" s="812">
        <f t="shared" si="2"/>
        <v>0</v>
      </c>
      <c r="I26" s="812">
        <f t="shared" si="2"/>
        <v>0</v>
      </c>
      <c r="J26" s="812">
        <f t="shared" si="2"/>
        <v>0</v>
      </c>
      <c r="K26" s="812">
        <f t="shared" si="2"/>
        <v>87.895085046506779</v>
      </c>
      <c r="L26" s="812">
        <f t="shared" si="2"/>
        <v>0</v>
      </c>
      <c r="M26" s="812">
        <f t="shared" si="2"/>
        <v>0</v>
      </c>
      <c r="N26" s="812">
        <f t="shared" si="2"/>
        <v>0</v>
      </c>
      <c r="O26" s="812">
        <f t="shared" si="2"/>
        <v>0</v>
      </c>
      <c r="P26" s="812">
        <f t="shared" si="2"/>
        <v>0</v>
      </c>
      <c r="Q26" s="812">
        <f t="shared" si="2"/>
        <v>0</v>
      </c>
      <c r="R26" s="812">
        <f t="shared" si="2"/>
        <v>5205.6486667770896</v>
      </c>
      <c r="S26" s="67"/>
    </row>
    <row r="27" spans="1:19" s="473" customFormat="1" ht="17.25" thickTop="1" thickBot="1">
      <c r="A27" s="706" t="s">
        <v>116</v>
      </c>
      <c r="B27" s="805"/>
      <c r="C27" s="707">
        <f ca="1">C22+C16+C26</f>
        <v>30186.800103567588</v>
      </c>
      <c r="D27" s="707">
        <f t="shared" ref="D27:R27" ca="1" si="3">D22+D16+D26</f>
        <v>1060.7142857142858</v>
      </c>
      <c r="E27" s="707">
        <f t="shared" ca="1" si="3"/>
        <v>58836.222341803223</v>
      </c>
      <c r="F27" s="707">
        <f t="shared" si="3"/>
        <v>2088.0855000496908</v>
      </c>
      <c r="G27" s="707">
        <f t="shared" ca="1" si="3"/>
        <v>13932.812747269745</v>
      </c>
      <c r="H27" s="707">
        <f t="shared" si="3"/>
        <v>104428.79334149354</v>
      </c>
      <c r="I27" s="707">
        <f t="shared" si="3"/>
        <v>18722.610086505487</v>
      </c>
      <c r="J27" s="707">
        <f t="shared" si="3"/>
        <v>0</v>
      </c>
      <c r="K27" s="707">
        <f t="shared" si="3"/>
        <v>732.71203732616118</v>
      </c>
      <c r="L27" s="707">
        <f t="shared" si="3"/>
        <v>0</v>
      </c>
      <c r="M27" s="707">
        <f t="shared" ca="1" si="3"/>
        <v>0</v>
      </c>
      <c r="N27" s="707">
        <f t="shared" si="3"/>
        <v>3850.7328330428008</v>
      </c>
      <c r="O27" s="707">
        <f t="shared" ca="1" si="3"/>
        <v>8023.6675583874621</v>
      </c>
      <c r="P27" s="707">
        <f t="shared" si="3"/>
        <v>101.61666666666667</v>
      </c>
      <c r="Q27" s="707">
        <f t="shared" si="3"/>
        <v>324.13333333333333</v>
      </c>
      <c r="R27" s="707">
        <f t="shared" ca="1" si="3"/>
        <v>242288.90083515996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859.33909190035399</v>
      </c>
      <c r="D40" s="1012">
        <f ca="1">tertiair!C20</f>
        <v>0</v>
      </c>
      <c r="E40" s="1012">
        <f ca="1">tertiair!D20</f>
        <v>1310.9934695000265</v>
      </c>
      <c r="F40" s="1012">
        <f>tertiair!E20</f>
        <v>18.250070997530734</v>
      </c>
      <c r="G40" s="1012">
        <f ca="1">tertiair!F20</f>
        <v>275.64921597066768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2464.231848368579</v>
      </c>
    </row>
    <row r="41" spans="1:18">
      <c r="A41" s="822" t="s">
        <v>225</v>
      </c>
      <c r="B41" s="829"/>
      <c r="C41" s="1012">
        <f ca="1">huishoudens!B12</f>
        <v>2361.190391335695</v>
      </c>
      <c r="D41" s="1012">
        <f ca="1">huishoudens!C12</f>
        <v>0</v>
      </c>
      <c r="E41" s="1012">
        <f>huishoudens!D12</f>
        <v>5775.3837544204998</v>
      </c>
      <c r="F41" s="1012">
        <f>huishoudens!E12</f>
        <v>286.86115381485018</v>
      </c>
      <c r="G41" s="1012">
        <f>huishoudens!F12</f>
        <v>2105.1411346754539</v>
      </c>
      <c r="H41" s="1012">
        <f>huishoudens!G12</f>
        <v>0</v>
      </c>
      <c r="I41" s="1012">
        <f>huishoudens!H12</f>
        <v>0</v>
      </c>
      <c r="J41" s="1012">
        <f>huishoudens!I12</f>
        <v>0</v>
      </c>
      <c r="K41" s="1012">
        <f>huishoudens!J12</f>
        <v>220.25421939240954</v>
      </c>
      <c r="L41" s="1012">
        <f>huishoudens!K12</f>
        <v>0</v>
      </c>
      <c r="M41" s="1012">
        <f>huishoudens!L12</f>
        <v>0</v>
      </c>
      <c r="N41" s="1012">
        <f>huishoudens!M12</f>
        <v>0</v>
      </c>
      <c r="O41" s="1012">
        <f>huishoudens!N12</f>
        <v>0</v>
      </c>
      <c r="P41" s="1012">
        <f>huishoudens!O12</f>
        <v>0</v>
      </c>
      <c r="Q41" s="774">
        <f>huishoudens!P12</f>
        <v>0</v>
      </c>
      <c r="R41" s="850">
        <f t="shared" ca="1" si="4"/>
        <v>10748.830653638908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2588.3302749525924</v>
      </c>
      <c r="D43" s="1012">
        <f ca="1">industrie!C22</f>
        <v>0</v>
      </c>
      <c r="E43" s="1012">
        <f>industrie!D22</f>
        <v>4512.9563401836831</v>
      </c>
      <c r="F43" s="1012">
        <f>industrie!E22</f>
        <v>94.189836036850707</v>
      </c>
      <c r="G43" s="1012">
        <f>industrie!F22</f>
        <v>743.42423947598559</v>
      </c>
      <c r="H43" s="1012">
        <f>industrie!G22</f>
        <v>0</v>
      </c>
      <c r="I43" s="1012">
        <f>industrie!H22</f>
        <v>0</v>
      </c>
      <c r="J43" s="1012">
        <f>industrie!I22</f>
        <v>0</v>
      </c>
      <c r="K43" s="1012">
        <f>industrie!J22</f>
        <v>8.0109817145881177</v>
      </c>
      <c r="L43" s="1012">
        <f>industrie!K22</f>
        <v>0</v>
      </c>
      <c r="M43" s="1012">
        <f>industrie!L22</f>
        <v>0</v>
      </c>
      <c r="N43" s="1012">
        <f>industrie!M22</f>
        <v>0</v>
      </c>
      <c r="O43" s="1012">
        <f>industrie!N22</f>
        <v>0</v>
      </c>
      <c r="P43" s="1012">
        <f>industrie!O22</f>
        <v>0</v>
      </c>
      <c r="Q43" s="774">
        <f>industrie!P22</f>
        <v>0</v>
      </c>
      <c r="R43" s="849">
        <f t="shared" ca="1" si="4"/>
        <v>7946.9116723637007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5808.8597581886415</v>
      </c>
      <c r="D46" s="732">
        <f t="shared" ref="D46:Q46" ca="1" si="5">SUM(D39:D45)</f>
        <v>0</v>
      </c>
      <c r="E46" s="732">
        <f t="shared" ca="1" si="5"/>
        <v>11599.33356410421</v>
      </c>
      <c r="F46" s="732">
        <f t="shared" si="5"/>
        <v>399.30106084923159</v>
      </c>
      <c r="G46" s="732">
        <f t="shared" ca="1" si="5"/>
        <v>3124.2145901221074</v>
      </c>
      <c r="H46" s="732">
        <f t="shared" si="5"/>
        <v>0</v>
      </c>
      <c r="I46" s="732">
        <f t="shared" si="5"/>
        <v>0</v>
      </c>
      <c r="J46" s="732">
        <f t="shared" si="5"/>
        <v>0</v>
      </c>
      <c r="K46" s="732">
        <f t="shared" si="5"/>
        <v>228.26520110699767</v>
      </c>
      <c r="L46" s="732">
        <f t="shared" si="5"/>
        <v>0</v>
      </c>
      <c r="M46" s="732">
        <f t="shared" ca="1" si="5"/>
        <v>0</v>
      </c>
      <c r="N46" s="732">
        <f t="shared" si="5"/>
        <v>0</v>
      </c>
      <c r="O46" s="732">
        <f t="shared" ca="1" si="5"/>
        <v>0</v>
      </c>
      <c r="P46" s="732">
        <f t="shared" si="5"/>
        <v>0</v>
      </c>
      <c r="Q46" s="732">
        <f t="shared" si="5"/>
        <v>0</v>
      </c>
      <c r="R46" s="732">
        <f ca="1">SUM(R39:R45)</f>
        <v>21159.974174371189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110.07724978045439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110.07724978045439</v>
      </c>
    </row>
    <row r="50" spans="1:18">
      <c r="A50" s="825" t="s">
        <v>307</v>
      </c>
      <c r="B50" s="835"/>
      <c r="C50" s="703">
        <f ca="1">transport!B18</f>
        <v>6.2319655902405069</v>
      </c>
      <c r="D50" s="703">
        <f>transport!C18</f>
        <v>0</v>
      </c>
      <c r="E50" s="703">
        <f>transport!D18</f>
        <v>13.561540842968647</v>
      </c>
      <c r="F50" s="703">
        <f>transport!E18</f>
        <v>71.120585908870325</v>
      </c>
      <c r="G50" s="703">
        <f>transport!F18</f>
        <v>0</v>
      </c>
      <c r="H50" s="703">
        <f>transport!G18</f>
        <v>27772.410572398323</v>
      </c>
      <c r="I50" s="703">
        <f>transport!H18</f>
        <v>4661.9299115398662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32525.254576280269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6.2319655902405069</v>
      </c>
      <c r="D52" s="732">
        <f t="shared" ref="D52:Q52" ca="1" si="6">SUM(D48:D51)</f>
        <v>0</v>
      </c>
      <c r="E52" s="732">
        <f t="shared" si="6"/>
        <v>13.561540842968647</v>
      </c>
      <c r="F52" s="732">
        <f t="shared" si="6"/>
        <v>71.120585908870325</v>
      </c>
      <c r="G52" s="732">
        <f t="shared" si="6"/>
        <v>0</v>
      </c>
      <c r="H52" s="732">
        <f t="shared" si="6"/>
        <v>27882.487822178777</v>
      </c>
      <c r="I52" s="732">
        <f t="shared" si="6"/>
        <v>4661.9299115398662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32635.331826060723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123.86453259046819</v>
      </c>
      <c r="D54" s="703">
        <f ca="1">+landbouw!C12</f>
        <v>0</v>
      </c>
      <c r="E54" s="703">
        <f>+landbouw!D12</f>
        <v>26.201921574472685</v>
      </c>
      <c r="F54" s="703">
        <f>+landbouw!E12</f>
        <v>3.5737617531779327</v>
      </c>
      <c r="G54" s="703">
        <f>+landbouw!F12</f>
        <v>595.84641339891482</v>
      </c>
      <c r="H54" s="703">
        <f>+landbouw!G12</f>
        <v>0</v>
      </c>
      <c r="I54" s="703">
        <f>+landbouw!H12</f>
        <v>0</v>
      </c>
      <c r="J54" s="703">
        <f>+landbouw!I12</f>
        <v>0</v>
      </c>
      <c r="K54" s="703">
        <f>+landbouw!J12</f>
        <v>31.114860106463397</v>
      </c>
      <c r="L54" s="703">
        <f>+landbouw!K12</f>
        <v>0</v>
      </c>
      <c r="M54" s="703">
        <f>+landbouw!L12</f>
        <v>0</v>
      </c>
      <c r="N54" s="703">
        <f>+landbouw!M12</f>
        <v>0</v>
      </c>
      <c r="O54" s="703">
        <f>+landbouw!N12</f>
        <v>0</v>
      </c>
      <c r="P54" s="703">
        <f>+landbouw!O12</f>
        <v>0</v>
      </c>
      <c r="Q54" s="704">
        <f>+landbouw!P12</f>
        <v>0</v>
      </c>
      <c r="R54" s="731">
        <f ca="1">SUM(C54:Q54)</f>
        <v>780.60148942349701</v>
      </c>
    </row>
    <row r="55" spans="1:18" ht="15" thickBot="1">
      <c r="A55" s="825" t="s">
        <v>848</v>
      </c>
      <c r="B55" s="835"/>
      <c r="C55" s="703">
        <f ca="1">C25*'EF ele_warmte'!B12</f>
        <v>185.26663003611955</v>
      </c>
      <c r="D55" s="703"/>
      <c r="E55" s="703">
        <f>E25*EF_CO2_aardgas</f>
        <v>245.81988652260003</v>
      </c>
      <c r="F55" s="703"/>
      <c r="G55" s="703"/>
      <c r="H55" s="703"/>
      <c r="I55" s="703"/>
      <c r="J55" s="703"/>
      <c r="K55" s="703"/>
      <c r="L55" s="703"/>
      <c r="M55" s="703"/>
      <c r="N55" s="703"/>
      <c r="O55" s="703"/>
      <c r="P55" s="703"/>
      <c r="Q55" s="704"/>
      <c r="R55" s="731">
        <f ca="1">SUM(C55:Q55)</f>
        <v>431.08651655871961</v>
      </c>
    </row>
    <row r="56" spans="1:18" ht="15.75" thickBot="1">
      <c r="A56" s="823" t="s">
        <v>849</v>
      </c>
      <c r="B56" s="836"/>
      <c r="C56" s="732">
        <f ca="1">SUM(C54:C55)</f>
        <v>309.13116262658775</v>
      </c>
      <c r="D56" s="732">
        <f t="shared" ref="D56:Q56" ca="1" si="7">SUM(D54:D55)</f>
        <v>0</v>
      </c>
      <c r="E56" s="732">
        <f t="shared" si="7"/>
        <v>272.02180809707272</v>
      </c>
      <c r="F56" s="732">
        <f t="shared" si="7"/>
        <v>3.5737617531779327</v>
      </c>
      <c r="G56" s="732">
        <f t="shared" si="7"/>
        <v>595.84641339891482</v>
      </c>
      <c r="H56" s="732">
        <f t="shared" si="7"/>
        <v>0</v>
      </c>
      <c r="I56" s="732">
        <f t="shared" si="7"/>
        <v>0</v>
      </c>
      <c r="J56" s="732">
        <f t="shared" si="7"/>
        <v>0</v>
      </c>
      <c r="K56" s="732">
        <f t="shared" si="7"/>
        <v>31.114860106463397</v>
      </c>
      <c r="L56" s="732">
        <f t="shared" si="7"/>
        <v>0</v>
      </c>
      <c r="M56" s="732">
        <f t="shared" si="7"/>
        <v>0</v>
      </c>
      <c r="N56" s="732">
        <f t="shared" si="7"/>
        <v>0</v>
      </c>
      <c r="O56" s="732">
        <f t="shared" si="7"/>
        <v>0</v>
      </c>
      <c r="P56" s="732">
        <f t="shared" si="7"/>
        <v>0</v>
      </c>
      <c r="Q56" s="733">
        <f t="shared" si="7"/>
        <v>0</v>
      </c>
      <c r="R56" s="734">
        <f ca="1">SUM(R54:R55)</f>
        <v>1211.6880059822165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6124.2228864054696</v>
      </c>
      <c r="D61" s="740">
        <f t="shared" ref="D61:Q61" ca="1" si="8">D46+D52+D56</f>
        <v>0</v>
      </c>
      <c r="E61" s="740">
        <f t="shared" ca="1" si="8"/>
        <v>11884.916913044253</v>
      </c>
      <c r="F61" s="740">
        <f t="shared" si="8"/>
        <v>473.99540851127983</v>
      </c>
      <c r="G61" s="740">
        <f t="shared" ca="1" si="8"/>
        <v>3720.061003521022</v>
      </c>
      <c r="H61" s="740">
        <f t="shared" si="8"/>
        <v>27882.487822178777</v>
      </c>
      <c r="I61" s="740">
        <f t="shared" si="8"/>
        <v>4661.9299115398662</v>
      </c>
      <c r="J61" s="740">
        <f t="shared" si="8"/>
        <v>0</v>
      </c>
      <c r="K61" s="740">
        <f t="shared" si="8"/>
        <v>259.38006121346109</v>
      </c>
      <c r="L61" s="740">
        <f t="shared" si="8"/>
        <v>0</v>
      </c>
      <c r="M61" s="740">
        <f t="shared" ca="1" si="8"/>
        <v>0</v>
      </c>
      <c r="N61" s="740">
        <f t="shared" si="8"/>
        <v>0</v>
      </c>
      <c r="O61" s="740">
        <f t="shared" ca="1" si="8"/>
        <v>0</v>
      </c>
      <c r="P61" s="740">
        <f t="shared" si="8"/>
        <v>0</v>
      </c>
      <c r="Q61" s="740">
        <f t="shared" si="8"/>
        <v>0</v>
      </c>
      <c r="R61" s="740">
        <f ca="1">R46+R52+R56</f>
        <v>55006.994006414126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0.20287751154126754</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84.911242603550292</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1647.9730853736703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742.5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873.52941176470586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2475.3843279772209</v>
      </c>
      <c r="C78" s="755">
        <f>SUM(C72:C77)</f>
        <v>0</v>
      </c>
      <c r="D78" s="756">
        <f t="shared" ref="D78:H78" si="10">SUM(D76:D77)</f>
        <v>0</v>
      </c>
      <c r="E78" s="756">
        <f t="shared" si="10"/>
        <v>0</v>
      </c>
      <c r="F78" s="756">
        <f t="shared" si="10"/>
        <v>0</v>
      </c>
      <c r="G78" s="756">
        <f t="shared" si="10"/>
        <v>0</v>
      </c>
      <c r="H78" s="756">
        <f t="shared" si="10"/>
        <v>0</v>
      </c>
      <c r="I78" s="756">
        <f>SUM(I76:I77)</f>
        <v>0</v>
      </c>
      <c r="J78" s="756">
        <f>SUM(J76:J77)</f>
        <v>873.52941176470586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1060.7142857142858</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1247.8991596638657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1060.7142857142858</v>
      </c>
      <c r="C90" s="755">
        <f>SUM(C87:C89)</f>
        <v>0</v>
      </c>
      <c r="D90" s="755">
        <f t="shared" ref="D90:H90" si="12">SUM(D87:D89)</f>
        <v>0</v>
      </c>
      <c r="E90" s="755">
        <f t="shared" si="12"/>
        <v>0</v>
      </c>
      <c r="F90" s="755">
        <f t="shared" si="12"/>
        <v>0</v>
      </c>
      <c r="G90" s="755">
        <f t="shared" si="12"/>
        <v>0</v>
      </c>
      <c r="H90" s="755">
        <f t="shared" si="12"/>
        <v>0</v>
      </c>
      <c r="I90" s="755">
        <f>SUM(I87:I89)</f>
        <v>0</v>
      </c>
      <c r="J90" s="755">
        <f>SUM(J87:J89)</f>
        <v>1247.8991596638657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11638.502332750677</v>
      </c>
      <c r="C4" s="477">
        <f>huishoudens!C8</f>
        <v>0</v>
      </c>
      <c r="D4" s="477">
        <f>huishoudens!D8</f>
        <v>28591.008685249999</v>
      </c>
      <c r="E4" s="477">
        <f>huishoudens!E8</f>
        <v>1263.7055234134368</v>
      </c>
      <c r="F4" s="477">
        <f>huishoudens!F8</f>
        <v>7884.4237253762312</v>
      </c>
      <c r="G4" s="477">
        <f>huishoudens!G8</f>
        <v>0</v>
      </c>
      <c r="H4" s="477">
        <f>huishoudens!H8</f>
        <v>0</v>
      </c>
      <c r="I4" s="477">
        <f>huishoudens!I8</f>
        <v>0</v>
      </c>
      <c r="J4" s="477">
        <f>huishoudens!J8</f>
        <v>622.18706043053544</v>
      </c>
      <c r="K4" s="477">
        <f>huishoudens!K8</f>
        <v>0</v>
      </c>
      <c r="L4" s="477">
        <f>huishoudens!L8</f>
        <v>0</v>
      </c>
      <c r="M4" s="477">
        <f>huishoudens!M8</f>
        <v>0</v>
      </c>
      <c r="N4" s="477">
        <f>huishoudens!N8</f>
        <v>5911.3057145202793</v>
      </c>
      <c r="O4" s="477">
        <f>huishoudens!O8</f>
        <v>101.61666666666667</v>
      </c>
      <c r="P4" s="478">
        <f>huishoudens!P8</f>
        <v>305.06666666666666</v>
      </c>
      <c r="Q4" s="479">
        <f>SUM(B4:P4)</f>
        <v>56317.816375074493</v>
      </c>
    </row>
    <row r="5" spans="1:17">
      <c r="A5" s="476" t="s">
        <v>156</v>
      </c>
      <c r="B5" s="477">
        <f ca="1">tertiair!B16</f>
        <v>3872.5683142629991</v>
      </c>
      <c r="C5" s="477">
        <f ca="1">tertiair!C16</f>
        <v>0</v>
      </c>
      <c r="D5" s="477">
        <f ca="1">tertiair!D16</f>
        <v>6490.0666806932004</v>
      </c>
      <c r="E5" s="477">
        <f>tertiair!E16</f>
        <v>80.396788535377681</v>
      </c>
      <c r="F5" s="477">
        <f ca="1">tertiair!F16</f>
        <v>1032.3940673058714</v>
      </c>
      <c r="G5" s="477">
        <f>tertiair!G16</f>
        <v>0</v>
      </c>
      <c r="H5" s="477">
        <f>tertiair!H16</f>
        <v>0</v>
      </c>
      <c r="I5" s="477">
        <f>tertiair!I16</f>
        <v>0</v>
      </c>
      <c r="J5" s="477">
        <f>tertiair!J16</f>
        <v>0</v>
      </c>
      <c r="K5" s="477">
        <f>tertiair!K16</f>
        <v>0</v>
      </c>
      <c r="L5" s="477">
        <f ca="1">tertiair!L16</f>
        <v>0</v>
      </c>
      <c r="M5" s="477">
        <f>tertiair!M16</f>
        <v>0</v>
      </c>
      <c r="N5" s="477">
        <f ca="1">tertiair!N16</f>
        <v>235.69733500509113</v>
      </c>
      <c r="O5" s="477">
        <f>tertiair!O16</f>
        <v>0</v>
      </c>
      <c r="P5" s="478">
        <f>tertiair!P16</f>
        <v>19.066666666666666</v>
      </c>
      <c r="Q5" s="476">
        <f t="shared" ref="Q5:Q14" ca="1" si="0">SUM(B5:P5)</f>
        <v>11730.189852469206</v>
      </c>
    </row>
    <row r="6" spans="1:17">
      <c r="A6" s="476" t="s">
        <v>194</v>
      </c>
      <c r="B6" s="477">
        <f>'openbare verlichting'!B8</f>
        <v>363.185</v>
      </c>
      <c r="C6" s="477"/>
      <c r="D6" s="477"/>
      <c r="E6" s="477"/>
      <c r="F6" s="477"/>
      <c r="G6" s="477"/>
      <c r="H6" s="477"/>
      <c r="I6" s="477"/>
      <c r="J6" s="477"/>
      <c r="K6" s="477"/>
      <c r="L6" s="477"/>
      <c r="M6" s="477"/>
      <c r="N6" s="477"/>
      <c r="O6" s="477"/>
      <c r="P6" s="478"/>
      <c r="Q6" s="476">
        <f t="shared" si="0"/>
        <v>363.185</v>
      </c>
    </row>
    <row r="7" spans="1:17">
      <c r="A7" s="476" t="s">
        <v>112</v>
      </c>
      <c r="B7" s="477">
        <f>landbouw!B8</f>
        <v>610.53850497999997</v>
      </c>
      <c r="C7" s="477">
        <f>landbouw!C8</f>
        <v>0</v>
      </c>
      <c r="D7" s="477">
        <f>landbouw!D8</f>
        <v>129.71248304194398</v>
      </c>
      <c r="E7" s="477">
        <f>landbouw!E8</f>
        <v>15.743443846598822</v>
      </c>
      <c r="F7" s="477">
        <f>landbouw!F8</f>
        <v>2231.6345071120404</v>
      </c>
      <c r="G7" s="477">
        <f>landbouw!G8</f>
        <v>0</v>
      </c>
      <c r="H7" s="477">
        <f>landbouw!H8</f>
        <v>0</v>
      </c>
      <c r="I7" s="477">
        <f>landbouw!I8</f>
        <v>0</v>
      </c>
      <c r="J7" s="477">
        <f>landbouw!J8</f>
        <v>87.895085046506779</v>
      </c>
      <c r="K7" s="477">
        <f>landbouw!K8</f>
        <v>0</v>
      </c>
      <c r="L7" s="477">
        <f>landbouw!L8</f>
        <v>0</v>
      </c>
      <c r="M7" s="477">
        <f>landbouw!M8</f>
        <v>0</v>
      </c>
      <c r="N7" s="477">
        <f>landbouw!N8</f>
        <v>0</v>
      </c>
      <c r="O7" s="477">
        <f>landbouw!O8</f>
        <v>0</v>
      </c>
      <c r="P7" s="478">
        <f>landbouw!P8</f>
        <v>0</v>
      </c>
      <c r="Q7" s="476">
        <f t="shared" si="0"/>
        <v>3075.52402402709</v>
      </c>
    </row>
    <row r="8" spans="1:17">
      <c r="A8" s="476" t="s">
        <v>638</v>
      </c>
      <c r="B8" s="477">
        <f>industrie!B18</f>
        <v>12758.09356734</v>
      </c>
      <c r="C8" s="477">
        <f>industrie!C18</f>
        <v>1060.7142857142858</v>
      </c>
      <c r="D8" s="477">
        <f>industrie!D18</f>
        <v>22341.368020711299</v>
      </c>
      <c r="E8" s="477">
        <f>industrie!E18</f>
        <v>414.93319840022338</v>
      </c>
      <c r="F8" s="477">
        <f>industrie!F18</f>
        <v>2784.3604474756012</v>
      </c>
      <c r="G8" s="477">
        <f>industrie!G18</f>
        <v>0</v>
      </c>
      <c r="H8" s="477">
        <f>industrie!H18</f>
        <v>0</v>
      </c>
      <c r="I8" s="477">
        <f>industrie!I18</f>
        <v>0</v>
      </c>
      <c r="J8" s="477">
        <f>industrie!J18</f>
        <v>22.629891849118977</v>
      </c>
      <c r="K8" s="477">
        <f>industrie!K18</f>
        <v>0</v>
      </c>
      <c r="L8" s="477">
        <f>industrie!L18</f>
        <v>0</v>
      </c>
      <c r="M8" s="477">
        <f>industrie!M18</f>
        <v>0</v>
      </c>
      <c r="N8" s="477">
        <f>industrie!N18</f>
        <v>1876.6645088620917</v>
      </c>
      <c r="O8" s="477">
        <f>industrie!O18</f>
        <v>0</v>
      </c>
      <c r="P8" s="478">
        <f>industrie!P18</f>
        <v>0</v>
      </c>
      <c r="Q8" s="476">
        <f t="shared" si="0"/>
        <v>41258.763920352612</v>
      </c>
    </row>
    <row r="9" spans="1:17" s="482" customFormat="1">
      <c r="A9" s="480" t="s">
        <v>564</v>
      </c>
      <c r="B9" s="481">
        <f>transport!B14</f>
        <v>30.717872783908113</v>
      </c>
      <c r="C9" s="481">
        <f>transport!C14</f>
        <v>0</v>
      </c>
      <c r="D9" s="481">
        <f>transport!D14</f>
        <v>67.136340806775479</v>
      </c>
      <c r="E9" s="481">
        <f>transport!E14</f>
        <v>313.30654585405426</v>
      </c>
      <c r="F9" s="481">
        <f>transport!F14</f>
        <v>0</v>
      </c>
      <c r="G9" s="481">
        <f>transport!G14</f>
        <v>104016.51899774652</v>
      </c>
      <c r="H9" s="481">
        <f>transport!H14</f>
        <v>18722.610086505487</v>
      </c>
      <c r="I9" s="481">
        <f>transport!I14</f>
        <v>0</v>
      </c>
      <c r="J9" s="481">
        <f>transport!J14</f>
        <v>0</v>
      </c>
      <c r="K9" s="481">
        <f>transport!K14</f>
        <v>0</v>
      </c>
      <c r="L9" s="481">
        <f>transport!L14</f>
        <v>0</v>
      </c>
      <c r="M9" s="481">
        <f>transport!M14</f>
        <v>3837.9450052325456</v>
      </c>
      <c r="N9" s="481">
        <f>transport!N14</f>
        <v>0</v>
      </c>
      <c r="O9" s="481">
        <f>transport!O14</f>
        <v>0</v>
      </c>
      <c r="P9" s="481">
        <f>transport!P14</f>
        <v>0</v>
      </c>
      <c r="Q9" s="480">
        <f>SUM(B9:P9)</f>
        <v>126988.23484892929</v>
      </c>
    </row>
    <row r="10" spans="1:17">
      <c r="A10" s="476" t="s">
        <v>554</v>
      </c>
      <c r="B10" s="477">
        <f>transport!B54</f>
        <v>0</v>
      </c>
      <c r="C10" s="477">
        <f>transport!C54</f>
        <v>0</v>
      </c>
      <c r="D10" s="477">
        <f>transport!D54</f>
        <v>0</v>
      </c>
      <c r="E10" s="477">
        <f>transport!E54</f>
        <v>0</v>
      </c>
      <c r="F10" s="477">
        <f>transport!F54</f>
        <v>0</v>
      </c>
      <c r="G10" s="477">
        <f>transport!G54</f>
        <v>412.27434374702017</v>
      </c>
      <c r="H10" s="477">
        <f>transport!H54</f>
        <v>0</v>
      </c>
      <c r="I10" s="477">
        <f>transport!I54</f>
        <v>0</v>
      </c>
      <c r="J10" s="477">
        <f>transport!J54</f>
        <v>0</v>
      </c>
      <c r="K10" s="477">
        <f>transport!K54</f>
        <v>0</v>
      </c>
      <c r="L10" s="477">
        <f>transport!L54</f>
        <v>0</v>
      </c>
      <c r="M10" s="477">
        <f>transport!M54</f>
        <v>12.787827810255338</v>
      </c>
      <c r="N10" s="477">
        <f>transport!N54</f>
        <v>0</v>
      </c>
      <c r="O10" s="477">
        <f>transport!O54</f>
        <v>0</v>
      </c>
      <c r="P10" s="478">
        <f>transport!P54</f>
        <v>0</v>
      </c>
      <c r="Q10" s="476">
        <f t="shared" si="0"/>
        <v>425.06217155727552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913.19451144999994</v>
      </c>
      <c r="C14" s="484"/>
      <c r="D14" s="484">
        <f>'SEAP template'!E25</f>
        <v>1216.9301313000001</v>
      </c>
      <c r="E14" s="484"/>
      <c r="F14" s="484"/>
      <c r="G14" s="484"/>
      <c r="H14" s="484"/>
      <c r="I14" s="484"/>
      <c r="J14" s="484"/>
      <c r="K14" s="484"/>
      <c r="L14" s="484"/>
      <c r="M14" s="484"/>
      <c r="N14" s="484"/>
      <c r="O14" s="484"/>
      <c r="P14" s="485"/>
      <c r="Q14" s="476">
        <f t="shared" si="0"/>
        <v>2130.12464275</v>
      </c>
    </row>
    <row r="15" spans="1:17" s="486" customFormat="1">
      <c r="A15" s="1038" t="s">
        <v>558</v>
      </c>
      <c r="B15" s="978">
        <f ca="1">SUM(B4:B14)</f>
        <v>30186.800103567584</v>
      </c>
      <c r="C15" s="978">
        <f t="shared" ref="C15:Q15" ca="1" si="1">SUM(C4:C14)</f>
        <v>1060.7142857142858</v>
      </c>
      <c r="D15" s="978">
        <f t="shared" ca="1" si="1"/>
        <v>58836.222341803223</v>
      </c>
      <c r="E15" s="978">
        <f t="shared" si="1"/>
        <v>2088.0855000496908</v>
      </c>
      <c r="F15" s="978">
        <f t="shared" ca="1" si="1"/>
        <v>13932.812747269743</v>
      </c>
      <c r="G15" s="978">
        <f t="shared" si="1"/>
        <v>104428.79334149354</v>
      </c>
      <c r="H15" s="978">
        <f t="shared" si="1"/>
        <v>18722.610086505487</v>
      </c>
      <c r="I15" s="978">
        <f t="shared" si="1"/>
        <v>0</v>
      </c>
      <c r="J15" s="978">
        <f t="shared" si="1"/>
        <v>732.71203732616118</v>
      </c>
      <c r="K15" s="978">
        <f t="shared" si="1"/>
        <v>0</v>
      </c>
      <c r="L15" s="978">
        <f t="shared" ca="1" si="1"/>
        <v>0</v>
      </c>
      <c r="M15" s="978">
        <f t="shared" si="1"/>
        <v>3850.7328330428008</v>
      </c>
      <c r="N15" s="978">
        <f t="shared" ca="1" si="1"/>
        <v>8023.6675583874621</v>
      </c>
      <c r="O15" s="978">
        <f t="shared" si="1"/>
        <v>101.61666666666667</v>
      </c>
      <c r="P15" s="978">
        <f t="shared" si="1"/>
        <v>324.13333333333333</v>
      </c>
      <c r="Q15" s="978">
        <f t="shared" ca="1" si="1"/>
        <v>242288.90083515996</v>
      </c>
    </row>
    <row r="17" spans="1:17">
      <c r="A17" s="487" t="s">
        <v>559</v>
      </c>
      <c r="B17" s="786">
        <f ca="1">huishoudens!B10</f>
        <v>0.20287751154126757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2361.190391335695</v>
      </c>
      <c r="C22" s="477">
        <f t="shared" ref="C22:C32" ca="1" si="3">C4*$C$17</f>
        <v>0</v>
      </c>
      <c r="D22" s="477">
        <f t="shared" ref="D22:D32" si="4">D4*$D$17</f>
        <v>5775.3837544204998</v>
      </c>
      <c r="E22" s="477">
        <f t="shared" ref="E22:E32" si="5">E4*$E$17</f>
        <v>286.86115381485018</v>
      </c>
      <c r="F22" s="477">
        <f t="shared" ref="F22:F32" si="6">F4*$F$17</f>
        <v>2105.1411346754539</v>
      </c>
      <c r="G22" s="477">
        <f t="shared" ref="G22:G32" si="7">G4*$G$17</f>
        <v>0</v>
      </c>
      <c r="H22" s="477">
        <f t="shared" ref="H22:H32" si="8">H4*$H$17</f>
        <v>0</v>
      </c>
      <c r="I22" s="477">
        <f t="shared" ref="I22:I32" si="9">I4*$I$17</f>
        <v>0</v>
      </c>
      <c r="J22" s="477">
        <f t="shared" ref="J22:J32" si="10">J4*$J$17</f>
        <v>220.25421939240954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10748.830653638908</v>
      </c>
    </row>
    <row r="23" spans="1:17">
      <c r="A23" s="476" t="s">
        <v>156</v>
      </c>
      <c r="B23" s="477">
        <f t="shared" ca="1" si="2"/>
        <v>785.65702287123872</v>
      </c>
      <c r="C23" s="477">
        <f t="shared" ca="1" si="3"/>
        <v>0</v>
      </c>
      <c r="D23" s="477">
        <f t="shared" ca="1" si="4"/>
        <v>1310.9934695000265</v>
      </c>
      <c r="E23" s="477">
        <f t="shared" si="5"/>
        <v>18.250070997530734</v>
      </c>
      <c r="F23" s="477">
        <f t="shared" ca="1" si="6"/>
        <v>275.64921597066768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2390.5497793394638</v>
      </c>
    </row>
    <row r="24" spans="1:17">
      <c r="A24" s="476" t="s">
        <v>194</v>
      </c>
      <c r="B24" s="477">
        <f t="shared" ca="1" si="2"/>
        <v>73.682069029115269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73.682069029115269</v>
      </c>
    </row>
    <row r="25" spans="1:17">
      <c r="A25" s="476" t="s">
        <v>112</v>
      </c>
      <c r="B25" s="477">
        <f t="shared" ca="1" si="2"/>
        <v>123.86453259046819</v>
      </c>
      <c r="C25" s="477">
        <f t="shared" ca="1" si="3"/>
        <v>0</v>
      </c>
      <c r="D25" s="477">
        <f t="shared" si="4"/>
        <v>26.201921574472685</v>
      </c>
      <c r="E25" s="477">
        <f t="shared" si="5"/>
        <v>3.5737617531779327</v>
      </c>
      <c r="F25" s="477">
        <f t="shared" si="6"/>
        <v>595.84641339891482</v>
      </c>
      <c r="G25" s="477">
        <f t="shared" si="7"/>
        <v>0</v>
      </c>
      <c r="H25" s="477">
        <f t="shared" si="8"/>
        <v>0</v>
      </c>
      <c r="I25" s="477">
        <f t="shared" si="9"/>
        <v>0</v>
      </c>
      <c r="J25" s="477">
        <f t="shared" si="10"/>
        <v>31.114860106463397</v>
      </c>
      <c r="K25" s="477">
        <f t="shared" si="11"/>
        <v>0</v>
      </c>
      <c r="L25" s="477">
        <f t="shared" si="12"/>
        <v>0</v>
      </c>
      <c r="M25" s="477">
        <f t="shared" si="13"/>
        <v>0</v>
      </c>
      <c r="N25" s="477">
        <f t="shared" si="14"/>
        <v>0</v>
      </c>
      <c r="O25" s="477">
        <f t="shared" si="15"/>
        <v>0</v>
      </c>
      <c r="P25" s="478">
        <f t="shared" si="16"/>
        <v>0</v>
      </c>
      <c r="Q25" s="476">
        <f t="shared" ca="1" si="17"/>
        <v>780.60148942349701</v>
      </c>
    </row>
    <row r="26" spans="1:17">
      <c r="A26" s="476" t="s">
        <v>638</v>
      </c>
      <c r="B26" s="477">
        <f t="shared" ca="1" si="2"/>
        <v>2588.3302749525924</v>
      </c>
      <c r="C26" s="477">
        <f t="shared" ca="1" si="3"/>
        <v>0</v>
      </c>
      <c r="D26" s="477">
        <f t="shared" si="4"/>
        <v>4512.9563401836831</v>
      </c>
      <c r="E26" s="477">
        <f t="shared" si="5"/>
        <v>94.189836036850707</v>
      </c>
      <c r="F26" s="477">
        <f t="shared" si="6"/>
        <v>743.42423947598559</v>
      </c>
      <c r="G26" s="477">
        <f t="shared" si="7"/>
        <v>0</v>
      </c>
      <c r="H26" s="477">
        <f t="shared" si="8"/>
        <v>0</v>
      </c>
      <c r="I26" s="477">
        <f t="shared" si="9"/>
        <v>0</v>
      </c>
      <c r="J26" s="477">
        <f t="shared" si="10"/>
        <v>8.0109817145881177</v>
      </c>
      <c r="K26" s="477">
        <f t="shared" si="11"/>
        <v>0</v>
      </c>
      <c r="L26" s="477">
        <f t="shared" si="12"/>
        <v>0</v>
      </c>
      <c r="M26" s="477">
        <f t="shared" si="13"/>
        <v>0</v>
      </c>
      <c r="N26" s="477">
        <f t="shared" si="14"/>
        <v>0</v>
      </c>
      <c r="O26" s="477">
        <f t="shared" si="15"/>
        <v>0</v>
      </c>
      <c r="P26" s="478">
        <f t="shared" si="16"/>
        <v>0</v>
      </c>
      <c r="Q26" s="476">
        <f t="shared" ca="1" si="17"/>
        <v>7946.9116723637007</v>
      </c>
    </row>
    <row r="27" spans="1:17" s="482" customFormat="1">
      <c r="A27" s="480" t="s">
        <v>564</v>
      </c>
      <c r="B27" s="780">
        <f t="shared" ca="1" si="2"/>
        <v>6.2319655902405069</v>
      </c>
      <c r="C27" s="481">
        <f t="shared" ca="1" si="3"/>
        <v>0</v>
      </c>
      <c r="D27" s="481">
        <f t="shared" si="4"/>
        <v>13.561540842968647</v>
      </c>
      <c r="E27" s="481">
        <f t="shared" si="5"/>
        <v>71.120585908870325</v>
      </c>
      <c r="F27" s="481">
        <f t="shared" si="6"/>
        <v>0</v>
      </c>
      <c r="G27" s="481">
        <f t="shared" si="7"/>
        <v>27772.410572398323</v>
      </c>
      <c r="H27" s="481">
        <f t="shared" si="8"/>
        <v>4661.9299115398662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32525.254576280269</v>
      </c>
    </row>
    <row r="28" spans="1:17">
      <c r="A28" s="476" t="s">
        <v>554</v>
      </c>
      <c r="B28" s="477">
        <f t="shared" ca="1" si="2"/>
        <v>0</v>
      </c>
      <c r="C28" s="477">
        <f t="shared" ca="1" si="3"/>
        <v>0</v>
      </c>
      <c r="D28" s="477">
        <f t="shared" si="4"/>
        <v>0</v>
      </c>
      <c r="E28" s="477">
        <f t="shared" si="5"/>
        <v>0</v>
      </c>
      <c r="F28" s="477">
        <f t="shared" si="6"/>
        <v>0</v>
      </c>
      <c r="G28" s="477">
        <f t="shared" si="7"/>
        <v>110.07724978045439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110.07724978045439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185.26663003611955</v>
      </c>
      <c r="C32" s="477">
        <f t="shared" ca="1" si="3"/>
        <v>0</v>
      </c>
      <c r="D32" s="477">
        <f t="shared" si="4"/>
        <v>245.81988652260003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431.08651655871961</v>
      </c>
    </row>
    <row r="33" spans="1:17" s="486" customFormat="1">
      <c r="A33" s="1038" t="s">
        <v>558</v>
      </c>
      <c r="B33" s="978">
        <f ca="1">SUM(B22:B32)</f>
        <v>6124.2228864054696</v>
      </c>
      <c r="C33" s="978">
        <f t="shared" ref="C33:Q33" ca="1" si="18">SUM(C22:C32)</f>
        <v>0</v>
      </c>
      <c r="D33" s="978">
        <f t="shared" ca="1" si="18"/>
        <v>11884.916913044253</v>
      </c>
      <c r="E33" s="978">
        <f t="shared" si="18"/>
        <v>473.99540851127983</v>
      </c>
      <c r="F33" s="978">
        <f t="shared" ca="1" si="18"/>
        <v>3720.061003521022</v>
      </c>
      <c r="G33" s="978">
        <f t="shared" si="18"/>
        <v>27882.487822178777</v>
      </c>
      <c r="H33" s="978">
        <f t="shared" si="18"/>
        <v>4661.9299115398662</v>
      </c>
      <c r="I33" s="978">
        <f t="shared" si="18"/>
        <v>0</v>
      </c>
      <c r="J33" s="978">
        <f t="shared" si="18"/>
        <v>259.38006121346103</v>
      </c>
      <c r="K33" s="978">
        <f t="shared" si="18"/>
        <v>0</v>
      </c>
      <c r="L33" s="978">
        <f t="shared" ca="1" si="18"/>
        <v>0</v>
      </c>
      <c r="M33" s="978">
        <f t="shared" si="18"/>
        <v>0</v>
      </c>
      <c r="N33" s="978">
        <f t="shared" ca="1" si="18"/>
        <v>0</v>
      </c>
      <c r="O33" s="978">
        <f t="shared" si="18"/>
        <v>0</v>
      </c>
      <c r="P33" s="978">
        <f t="shared" si="18"/>
        <v>0</v>
      </c>
      <c r="Q33" s="978">
        <f t="shared" ca="1" si="18"/>
        <v>55006.994006414126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84.911242603550292</v>
      </c>
      <c r="C5" s="1055"/>
      <c r="D5" s="1055"/>
      <c r="E5" s="1055"/>
      <c r="F5" s="1055"/>
      <c r="G5" s="1055"/>
      <c r="H5" s="1055"/>
      <c r="I5" s="1055"/>
      <c r="J5" s="1055"/>
      <c r="K5" s="1055"/>
      <c r="L5" s="1055"/>
      <c r="M5" s="1055"/>
      <c r="N5" s="1055"/>
      <c r="O5" s="1055"/>
      <c r="P5" s="1056">
        <f>'SEAP template'!Q73</f>
        <v>0</v>
      </c>
    </row>
    <row r="6" spans="1:16">
      <c r="A6" s="1057" t="s">
        <v>251</v>
      </c>
      <c r="B6" s="1055">
        <f>'SEAP template'!B74</f>
        <v>1647.9730853736703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742.5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873.52941176470586</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2475.3843279772209</v>
      </c>
      <c r="C10" s="1059">
        <f>SUM(C4:C9)</f>
        <v>0</v>
      </c>
      <c r="D10" s="1059">
        <f t="shared" ref="D10:H10" si="0">SUM(D8:D9)</f>
        <v>0</v>
      </c>
      <c r="E10" s="1059">
        <f t="shared" si="0"/>
        <v>0</v>
      </c>
      <c r="F10" s="1059">
        <f t="shared" si="0"/>
        <v>0</v>
      </c>
      <c r="G10" s="1059">
        <f t="shared" si="0"/>
        <v>0</v>
      </c>
      <c r="H10" s="1059">
        <f t="shared" si="0"/>
        <v>0</v>
      </c>
      <c r="I10" s="1059">
        <f>SUM(I8:I9)</f>
        <v>0</v>
      </c>
      <c r="J10" s="1059">
        <f>SUM(J8:J9)</f>
        <v>873.52941176470586</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0.20287751154126757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1060.7142857142858</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1247.8991596638657</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1060.7142857142858</v>
      </c>
      <c r="C20" s="1059">
        <f>SUM(C17:C19)</f>
        <v>0</v>
      </c>
      <c r="D20" s="1059">
        <f t="shared" ref="D20:H20" si="2">SUM(D17:D19)</f>
        <v>0</v>
      </c>
      <c r="E20" s="1059">
        <f t="shared" si="2"/>
        <v>0</v>
      </c>
      <c r="F20" s="1059">
        <f t="shared" si="2"/>
        <v>0</v>
      </c>
      <c r="G20" s="1059">
        <f t="shared" si="2"/>
        <v>0</v>
      </c>
      <c r="H20" s="1059">
        <f t="shared" si="2"/>
        <v>0</v>
      </c>
      <c r="I20" s="1059">
        <f>SUM(I17:I19)</f>
        <v>0</v>
      </c>
      <c r="J20" s="1059">
        <f>SUM(J17:J19)</f>
        <v>1247.8991596638657</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0.20287751154126757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0.20287751154126757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0.20287751154126757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2746</v>
      </c>
      <c r="C9" s="342">
        <v>2828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2534.11</v>
      </c>
    </row>
    <row r="15" spans="1:6">
      <c r="A15" s="348" t="s">
        <v>184</v>
      </c>
      <c r="B15" s="334">
        <v>3</v>
      </c>
    </row>
    <row r="16" spans="1:6">
      <c r="A16" s="348" t="s">
        <v>6</v>
      </c>
      <c r="B16" s="334">
        <v>97</v>
      </c>
    </row>
    <row r="17" spans="1:6">
      <c r="A17" s="348" t="s">
        <v>7</v>
      </c>
      <c r="B17" s="334">
        <v>227</v>
      </c>
    </row>
    <row r="18" spans="1:6">
      <c r="A18" s="348" t="s">
        <v>8</v>
      </c>
      <c r="B18" s="334">
        <v>335</v>
      </c>
    </row>
    <row r="19" spans="1:6">
      <c r="A19" s="348" t="s">
        <v>9</v>
      </c>
      <c r="B19" s="334">
        <v>436</v>
      </c>
    </row>
    <row r="20" spans="1:6">
      <c r="A20" s="348" t="s">
        <v>10</v>
      </c>
      <c r="B20" s="334">
        <v>170</v>
      </c>
    </row>
    <row r="21" spans="1:6">
      <c r="A21" s="348" t="s">
        <v>11</v>
      </c>
      <c r="B21" s="334">
        <v>2265</v>
      </c>
    </row>
    <row r="22" spans="1:6">
      <c r="A22" s="348" t="s">
        <v>12</v>
      </c>
      <c r="B22" s="334">
        <v>2870</v>
      </c>
    </row>
    <row r="23" spans="1:6">
      <c r="A23" s="348" t="s">
        <v>13</v>
      </c>
      <c r="B23" s="334">
        <v>48</v>
      </c>
    </row>
    <row r="24" spans="1:6">
      <c r="A24" s="348" t="s">
        <v>14</v>
      </c>
      <c r="B24" s="334">
        <v>6</v>
      </c>
    </row>
    <row r="25" spans="1:6">
      <c r="A25" s="348" t="s">
        <v>15</v>
      </c>
      <c r="B25" s="334">
        <v>909</v>
      </c>
    </row>
    <row r="26" spans="1:6">
      <c r="A26" s="348" t="s">
        <v>16</v>
      </c>
      <c r="B26" s="334">
        <v>107</v>
      </c>
    </row>
    <row r="27" spans="1:6">
      <c r="A27" s="348" t="s">
        <v>17</v>
      </c>
      <c r="B27" s="334">
        <v>0</v>
      </c>
    </row>
    <row r="28" spans="1:6" s="356" customFormat="1">
      <c r="A28" s="355" t="s">
        <v>18</v>
      </c>
      <c r="B28" s="355">
        <v>0</v>
      </c>
    </row>
    <row r="29" spans="1:6">
      <c r="A29" s="355" t="s">
        <v>884</v>
      </c>
      <c r="B29" s="355">
        <v>38</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2283</v>
      </c>
    </row>
    <row r="39" spans="1:6">
      <c r="A39" s="348" t="s">
        <v>30</v>
      </c>
      <c r="B39" s="348" t="s">
        <v>31</v>
      </c>
      <c r="C39" s="334">
        <v>1847</v>
      </c>
      <c r="D39" s="334">
        <v>31697348.875</v>
      </c>
      <c r="E39" s="334">
        <v>2700</v>
      </c>
      <c r="F39" s="334">
        <v>10360228.436000001</v>
      </c>
    </row>
    <row r="40" spans="1:6">
      <c r="A40" s="348" t="s">
        <v>30</v>
      </c>
      <c r="B40" s="348" t="s">
        <v>29</v>
      </c>
      <c r="C40" s="334">
        <v>0</v>
      </c>
      <c r="D40" s="334">
        <v>0</v>
      </c>
      <c r="E40" s="334">
        <v>0</v>
      </c>
      <c r="F40" s="334">
        <v>0</v>
      </c>
    </row>
    <row r="41" spans="1:6">
      <c r="A41" s="348" t="s">
        <v>32</v>
      </c>
      <c r="B41" s="348" t="s">
        <v>33</v>
      </c>
      <c r="C41" s="334">
        <v>8</v>
      </c>
      <c r="D41" s="334">
        <v>108132.62652999999</v>
      </c>
      <c r="E41" s="334">
        <v>27</v>
      </c>
      <c r="F41" s="334">
        <v>123772.23534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48087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641163.21461999998</v>
      </c>
      <c r="E48" s="334">
        <v>21</v>
      </c>
      <c r="F48" s="334">
        <v>2791361.7003000001</v>
      </c>
    </row>
    <row r="49" spans="1:6">
      <c r="A49" s="348" t="s">
        <v>32</v>
      </c>
      <c r="B49" s="348" t="s">
        <v>40</v>
      </c>
      <c r="C49" s="334">
        <v>0</v>
      </c>
      <c r="D49" s="334">
        <v>0</v>
      </c>
      <c r="E49" s="334">
        <v>0</v>
      </c>
      <c r="F49" s="334">
        <v>0</v>
      </c>
    </row>
    <row r="50" spans="1:6">
      <c r="A50" s="348" t="s">
        <v>32</v>
      </c>
      <c r="B50" s="348" t="s">
        <v>41</v>
      </c>
      <c r="C50" s="334">
        <v>12</v>
      </c>
      <c r="D50" s="334">
        <v>24019404.846999999</v>
      </c>
      <c r="E50" s="334">
        <v>11</v>
      </c>
      <c r="F50" s="334">
        <v>9052372.6316999998</v>
      </c>
    </row>
    <row r="51" spans="1:6">
      <c r="A51" s="348" t="s">
        <v>42</v>
      </c>
      <c r="B51" s="348" t="s">
        <v>43</v>
      </c>
      <c r="C51" s="334">
        <v>8</v>
      </c>
      <c r="D51" s="334">
        <v>124038.23676</v>
      </c>
      <c r="E51" s="334">
        <v>42</v>
      </c>
      <c r="F51" s="334">
        <v>379894.95649999997</v>
      </c>
    </row>
    <row r="52" spans="1:6">
      <c r="A52" s="348" t="s">
        <v>42</v>
      </c>
      <c r="B52" s="348" t="s">
        <v>29</v>
      </c>
      <c r="C52" s="334">
        <v>3</v>
      </c>
      <c r="D52" s="334">
        <v>19767.176812000002</v>
      </c>
      <c r="E52" s="334">
        <v>11</v>
      </c>
      <c r="F52" s="334">
        <v>230643.54848</v>
      </c>
    </row>
    <row r="53" spans="1:6">
      <c r="A53" s="348" t="s">
        <v>44</v>
      </c>
      <c r="B53" s="348" t="s">
        <v>45</v>
      </c>
      <c r="C53" s="334">
        <v>59</v>
      </c>
      <c r="D53" s="334">
        <v>1216930.1313</v>
      </c>
      <c r="E53" s="334">
        <v>127</v>
      </c>
      <c r="F53" s="334">
        <v>913194.51144999999</v>
      </c>
    </row>
    <row r="54" spans="1:6">
      <c r="A54" s="348" t="s">
        <v>46</v>
      </c>
      <c r="B54" s="348" t="s">
        <v>47</v>
      </c>
      <c r="C54" s="334">
        <v>0</v>
      </c>
      <c r="D54" s="334">
        <v>0</v>
      </c>
      <c r="E54" s="334">
        <v>1</v>
      </c>
      <c r="F54" s="334">
        <v>363185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150164.74061000001</v>
      </c>
      <c r="E57" s="334">
        <v>16</v>
      </c>
      <c r="F57" s="334">
        <v>118416.25524</v>
      </c>
    </row>
    <row r="58" spans="1:6">
      <c r="A58" s="348" t="s">
        <v>49</v>
      </c>
      <c r="B58" s="348" t="s">
        <v>51</v>
      </c>
      <c r="C58" s="334">
        <v>0</v>
      </c>
      <c r="D58" s="334">
        <v>0</v>
      </c>
      <c r="E58" s="334">
        <v>4</v>
      </c>
      <c r="F58" s="334">
        <v>16028.258859</v>
      </c>
    </row>
    <row r="59" spans="1:6">
      <c r="A59" s="348" t="s">
        <v>49</v>
      </c>
      <c r="B59" s="348" t="s">
        <v>52</v>
      </c>
      <c r="C59" s="334">
        <v>20</v>
      </c>
      <c r="D59" s="334">
        <v>911302.91509000002</v>
      </c>
      <c r="E59" s="334">
        <v>26</v>
      </c>
      <c r="F59" s="334">
        <v>773093.37049999996</v>
      </c>
    </row>
    <row r="60" spans="1:6">
      <c r="A60" s="348" t="s">
        <v>49</v>
      </c>
      <c r="B60" s="348" t="s">
        <v>53</v>
      </c>
      <c r="C60" s="334">
        <v>19</v>
      </c>
      <c r="D60" s="334">
        <v>1044463.3501</v>
      </c>
      <c r="E60" s="334">
        <v>22</v>
      </c>
      <c r="F60" s="334">
        <v>500558.40126000001</v>
      </c>
    </row>
    <row r="61" spans="1:6">
      <c r="A61" s="348" t="s">
        <v>49</v>
      </c>
      <c r="B61" s="348" t="s">
        <v>54</v>
      </c>
      <c r="C61" s="334">
        <v>56</v>
      </c>
      <c r="D61" s="334">
        <v>2777969.2283000001</v>
      </c>
      <c r="E61" s="334">
        <v>76</v>
      </c>
      <c r="F61" s="334">
        <v>858337.01804</v>
      </c>
    </row>
    <row r="62" spans="1:6">
      <c r="A62" s="348" t="s">
        <v>49</v>
      </c>
      <c r="B62" s="348" t="s">
        <v>55</v>
      </c>
      <c r="C62" s="334">
        <v>0</v>
      </c>
      <c r="D62" s="334">
        <v>0</v>
      </c>
      <c r="E62" s="334">
        <v>3</v>
      </c>
      <c r="F62" s="334">
        <v>16654.876963999999</v>
      </c>
    </row>
    <row r="63" spans="1:6">
      <c r="A63" s="348" t="s">
        <v>49</v>
      </c>
      <c r="B63" s="348" t="s">
        <v>29</v>
      </c>
      <c r="C63" s="334">
        <v>86</v>
      </c>
      <c r="D63" s="334">
        <v>2311295.6425000001</v>
      </c>
      <c r="E63" s="334">
        <v>90</v>
      </c>
      <c r="F63" s="334">
        <v>1589480.1333999999</v>
      </c>
    </row>
    <row r="64" spans="1:6">
      <c r="A64" s="348" t="s">
        <v>56</v>
      </c>
      <c r="B64" s="348" t="s">
        <v>57</v>
      </c>
      <c r="C64" s="334">
        <v>0</v>
      </c>
      <c r="D64" s="334">
        <v>0</v>
      </c>
      <c r="E64" s="334">
        <v>0</v>
      </c>
      <c r="F64" s="334">
        <v>0</v>
      </c>
    </row>
    <row r="65" spans="1:6">
      <c r="A65" s="348" t="s">
        <v>56</v>
      </c>
      <c r="B65" s="348" t="s">
        <v>29</v>
      </c>
      <c r="C65" s="334">
        <v>0</v>
      </c>
      <c r="D65" s="334">
        <v>0</v>
      </c>
      <c r="E65" s="334">
        <v>3</v>
      </c>
      <c r="F65" s="334">
        <v>31386.285340999999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14305.187980999999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11364391</v>
      </c>
      <c r="E73" s="475">
        <v>11657170.185419446</v>
      </c>
    </row>
    <row r="74" spans="1:6">
      <c r="A74" s="348" t="s">
        <v>64</v>
      </c>
      <c r="B74" s="348" t="s">
        <v>667</v>
      </c>
      <c r="C74" s="1294" t="s">
        <v>669</v>
      </c>
      <c r="D74" s="475">
        <v>1225666.047814837</v>
      </c>
      <c r="E74" s="475">
        <v>1256868.5172875274</v>
      </c>
    </row>
    <row r="75" spans="1:6">
      <c r="A75" s="348" t="s">
        <v>65</v>
      </c>
      <c r="B75" s="348" t="s">
        <v>666</v>
      </c>
      <c r="C75" s="1294" t="s">
        <v>670</v>
      </c>
      <c r="D75" s="475">
        <v>10349978</v>
      </c>
      <c r="E75" s="475">
        <v>10586047.924705721</v>
      </c>
    </row>
    <row r="76" spans="1:6">
      <c r="A76" s="348" t="s">
        <v>65</v>
      </c>
      <c r="B76" s="348" t="s">
        <v>667</v>
      </c>
      <c r="C76" s="1294" t="s">
        <v>671</v>
      </c>
      <c r="D76" s="475">
        <v>118893.04781483687</v>
      </c>
      <c r="E76" s="475">
        <v>121439.11540177057</v>
      </c>
    </row>
    <row r="77" spans="1:6">
      <c r="A77" s="348" t="s">
        <v>66</v>
      </c>
      <c r="B77" s="348" t="s">
        <v>666</v>
      </c>
      <c r="C77" s="1294" t="s">
        <v>672</v>
      </c>
      <c r="D77" s="475">
        <v>109370791</v>
      </c>
      <c r="E77" s="475">
        <v>114969355.61658096</v>
      </c>
    </row>
    <row r="78" spans="1:6">
      <c r="A78" s="341" t="s">
        <v>66</v>
      </c>
      <c r="B78" s="341" t="s">
        <v>667</v>
      </c>
      <c r="C78" s="341" t="s">
        <v>673</v>
      </c>
      <c r="D78" s="1295">
        <v>12909615</v>
      </c>
      <c r="E78" s="1295">
        <v>13147220.158165999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114165.90437032624</v>
      </c>
      <c r="C83" s="475">
        <v>114165.90437032624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84.911242603550292</v>
      </c>
    </row>
    <row r="90" spans="1:6">
      <c r="A90" s="348" t="s">
        <v>552</v>
      </c>
      <c r="B90" s="1296">
        <v>0</v>
      </c>
    </row>
    <row r="91" spans="1:6">
      <c r="A91" s="348" t="s">
        <v>68</v>
      </c>
      <c r="B91" s="334">
        <v>1278.2738967506752</v>
      </c>
    </row>
    <row r="92" spans="1:6">
      <c r="A92" s="341" t="s">
        <v>69</v>
      </c>
      <c r="B92" s="342">
        <v>369.69918862299511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30186.800103567588</v>
      </c>
      <c r="C3" s="43" t="s">
        <v>170</v>
      </c>
      <c r="D3" s="43"/>
      <c r="E3" s="154"/>
      <c r="F3" s="43"/>
      <c r="G3" s="43"/>
      <c r="H3" s="43"/>
      <c r="I3" s="43"/>
      <c r="J3" s="43"/>
      <c r="K3" s="96"/>
    </row>
    <row r="4" spans="1:11">
      <c r="A4" s="383" t="s">
        <v>171</v>
      </c>
      <c r="B4" s="49">
        <f>IF(ISERROR('SEAP template'!B78+'SEAP template'!C78),0,'SEAP template'!B78+'SEAP template'!C78)</f>
        <v>2475.3843279772209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0.20287751154126757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1060.7142857142858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363.185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363.185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0.20287751154126757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73.682069029115269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10360.228436000001</v>
      </c>
      <c r="C5" s="17">
        <f>IF(ISERROR('Eigen informatie GS &amp; warmtenet'!B57),0,'Eigen informatie GS &amp; warmtenet'!B57)</f>
        <v>0</v>
      </c>
      <c r="D5" s="30">
        <f>(SUM(HH_hh_gas_kWh,HH_rest_gas_kWh)/1000)*0.902</f>
        <v>28591.008685249999</v>
      </c>
      <c r="E5" s="17">
        <f>B46*B57</f>
        <v>1263.7055234134368</v>
      </c>
      <c r="F5" s="17">
        <f>B51*B62</f>
        <v>7884.4237253762312</v>
      </c>
      <c r="G5" s="18"/>
      <c r="H5" s="17"/>
      <c r="I5" s="17"/>
      <c r="J5" s="17">
        <f>B50*B61+C50*C61</f>
        <v>622.18706043053544</v>
      </c>
      <c r="K5" s="17"/>
      <c r="L5" s="17"/>
      <c r="M5" s="17"/>
      <c r="N5" s="17">
        <f>B48*B59+C48*C59</f>
        <v>5911.3057145202793</v>
      </c>
      <c r="O5" s="17">
        <f>B69*B70*B71</f>
        <v>101.61666666666667</v>
      </c>
      <c r="P5" s="17">
        <f>B77*B78*B79/1000-B77*B78*B79/1000/B80</f>
        <v>305.06666666666666</v>
      </c>
    </row>
    <row r="6" spans="1:16">
      <c r="A6" s="16" t="s">
        <v>624</v>
      </c>
      <c r="B6" s="788">
        <f>kWh_PV_kleiner_dan_10kW</f>
        <v>1278.2738967506752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11638.502332750677</v>
      </c>
      <c r="C8" s="21">
        <f>C5</f>
        <v>0</v>
      </c>
      <c r="D8" s="21">
        <f>D5</f>
        <v>28591.008685249999</v>
      </c>
      <c r="E8" s="21">
        <f>E5</f>
        <v>1263.7055234134368</v>
      </c>
      <c r="F8" s="21">
        <f>F5</f>
        <v>7884.4237253762312</v>
      </c>
      <c r="G8" s="21"/>
      <c r="H8" s="21"/>
      <c r="I8" s="21"/>
      <c r="J8" s="21">
        <f>J5</f>
        <v>622.18706043053544</v>
      </c>
      <c r="K8" s="21"/>
      <c r="L8" s="21">
        <f>L5</f>
        <v>0</v>
      </c>
      <c r="M8" s="21">
        <f>M5</f>
        <v>0</v>
      </c>
      <c r="N8" s="21">
        <f>N5</f>
        <v>5911.3057145202793</v>
      </c>
      <c r="O8" s="21">
        <f>O5</f>
        <v>101.61666666666667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0.20287751154126757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2361.190391335695</v>
      </c>
      <c r="C12" s="23">
        <f ca="1">C10*C8</f>
        <v>0</v>
      </c>
      <c r="D12" s="23">
        <f>D8*D10</f>
        <v>5775.3837544204998</v>
      </c>
      <c r="E12" s="23">
        <f>E10*E8</f>
        <v>286.86115381485018</v>
      </c>
      <c r="F12" s="23">
        <f>F10*F8</f>
        <v>2105.1411346754539</v>
      </c>
      <c r="G12" s="23"/>
      <c r="H12" s="23"/>
      <c r="I12" s="23"/>
      <c r="J12" s="23">
        <f>J10*J8</f>
        <v>220.25421939240954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2746</v>
      </c>
      <c r="C28" s="36"/>
      <c r="D28" s="228"/>
    </row>
    <row r="29" spans="1:7" s="15" customFormat="1">
      <c r="A29" s="230" t="s">
        <v>699</v>
      </c>
      <c r="B29" s="37">
        <f>SUM(HH_hh_gas_aantal,HH_rest_gas_aantal)</f>
        <v>1847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1847</v>
      </c>
      <c r="C32" s="167">
        <f>IF(ISERROR(B32/SUM($B$32,$B$34,$B$35,$B$36,$B$38,$B$39)*100),0,B32/SUM($B$32,$B$34,$B$35,$B$36,$B$38,$B$39)*100)</f>
        <v>67.655677655677664</v>
      </c>
      <c r="D32" s="233"/>
      <c r="G32" s="15"/>
    </row>
    <row r="33" spans="1:7">
      <c r="A33" s="171" t="s">
        <v>72</v>
      </c>
      <c r="B33" s="34" t="s">
        <v>111</v>
      </c>
      <c r="C33" s="167"/>
      <c r="D33" s="233"/>
      <c r="G33" s="15"/>
    </row>
    <row r="34" spans="1:7">
      <c r="A34" s="171" t="s">
        <v>73</v>
      </c>
      <c r="B34" s="33">
        <f>IF((($B$28-$B$32-$B$39-$B$77-$B$38)*C20/100)&lt;0,0,($B$28-$B$32-$B$39-$B$77-$B$38)*C20/100)</f>
        <v>55.871951219512191</v>
      </c>
      <c r="C34" s="167">
        <f>IF(ISERROR(B34/SUM($B$32,$B$34,$B$35,$B$36,$B$38,$B$39)*100),0,B34/SUM($B$32,$B$34,$B$35,$B$36,$B$38,$B$39)*100)</f>
        <v>2.046591619762351</v>
      </c>
      <c r="D34" s="233"/>
      <c r="G34" s="15"/>
    </row>
    <row r="35" spans="1:7">
      <c r="A35" s="171" t="s">
        <v>74</v>
      </c>
      <c r="B35" s="33">
        <f>IF((($B$28-$B$32-$B$39-$B$77-$B$38)*C21/100)&lt;0,0,($B$28-$B$32-$B$39-$B$77-$B$38)*C21/100)</f>
        <v>391.10365853658533</v>
      </c>
      <c r="C35" s="167">
        <f>IF(ISERROR(B35/SUM($B$32,$B$34,$B$35,$B$36,$B$38,$B$39)*100),0,B35/SUM($B$32,$B$34,$B$35,$B$36,$B$38,$B$39)*100)</f>
        <v>14.326141338336459</v>
      </c>
      <c r="D35" s="233"/>
      <c r="G35" s="15"/>
    </row>
    <row r="36" spans="1:7">
      <c r="A36" s="171" t="s">
        <v>75</v>
      </c>
      <c r="B36" s="33">
        <f>IF((($B$28-$B$32-$B$39-$B$77-$B$38)*C22/100)&lt;0,0,($B$28-$B$32-$B$39-$B$77-$B$38)*C22/100)</f>
        <v>92.024390243902459</v>
      </c>
      <c r="C36" s="167">
        <f>IF(ISERROR(B36/SUM($B$32,$B$34,$B$35,$B$36,$B$38,$B$39)*100),0,B36/SUM($B$32,$B$34,$B$35,$B$36,$B$38,$B$39)*100)</f>
        <v>3.3708567854909326</v>
      </c>
      <c r="D36" s="233"/>
      <c r="G36" s="15"/>
    </row>
    <row r="37" spans="1:7">
      <c r="A37" s="171" t="s">
        <v>76</v>
      </c>
      <c r="B37" s="34" t="s">
        <v>111</v>
      </c>
      <c r="C37" s="167"/>
      <c r="D37" s="173"/>
      <c r="G37" s="15"/>
    </row>
    <row r="38" spans="1:7">
      <c r="A38" s="171" t="s">
        <v>77</v>
      </c>
      <c r="B38" s="33">
        <f>IF((B24-(B29-B18)*0.1)&lt;0,0,B24-(B29-B18)*0.1)</f>
        <v>20.099999999999994</v>
      </c>
      <c r="C38" s="167">
        <f>IF(ISERROR(B38/SUM($B$32,$B$34,$B$35,$B$36,$B$38,$B$39)*100),0,B38/SUM($B$32,$B$34,$B$35,$B$36,$B$38,$B$39)*100)</f>
        <v>0.73626373626373598</v>
      </c>
      <c r="D38" s="234"/>
      <c r="G38" s="15"/>
    </row>
    <row r="39" spans="1:7">
      <c r="A39" s="171" t="s">
        <v>78</v>
      </c>
      <c r="B39" s="33">
        <f>IF((B25-(B29-B18))&lt;0,0,B25-(B29-B18)*0.9)</f>
        <v>323.89999999999998</v>
      </c>
      <c r="C39" s="167">
        <f>IF(ISERROR(B39/SUM($B$32,$B$34,$B$35,$B$36,$B$38,$B$39)*100),0,B39/SUM($B$32,$B$34,$B$35,$B$36,$B$38,$B$39)*100)</f>
        <v>11.864468864468863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1847</v>
      </c>
      <c r="C44" s="34" t="s">
        <v>111</v>
      </c>
      <c r="D44" s="174"/>
    </row>
    <row r="45" spans="1:7">
      <c r="A45" s="171" t="s">
        <v>72</v>
      </c>
      <c r="B45" s="33" t="str">
        <f t="shared" si="0"/>
        <v>-</v>
      </c>
      <c r="C45" s="34" t="s">
        <v>111</v>
      </c>
      <c r="D45" s="174"/>
    </row>
    <row r="46" spans="1:7">
      <c r="A46" s="171" t="s">
        <v>73</v>
      </c>
      <c r="B46" s="33">
        <f t="shared" si="0"/>
        <v>55.871951219512191</v>
      </c>
      <c r="C46" s="34" t="s">
        <v>111</v>
      </c>
      <c r="D46" s="174"/>
    </row>
    <row r="47" spans="1:7">
      <c r="A47" s="171" t="s">
        <v>74</v>
      </c>
      <c r="B47" s="33">
        <f t="shared" si="0"/>
        <v>391.10365853658533</v>
      </c>
      <c r="C47" s="34" t="s">
        <v>111</v>
      </c>
      <c r="D47" s="174"/>
    </row>
    <row r="48" spans="1:7">
      <c r="A48" s="171" t="s">
        <v>75</v>
      </c>
      <c r="B48" s="33">
        <f t="shared" si="0"/>
        <v>92.024390243902459</v>
      </c>
      <c r="C48" s="33">
        <f>B48*10</f>
        <v>920.24390243902462</v>
      </c>
      <c r="D48" s="234"/>
    </row>
    <row r="49" spans="1:6">
      <c r="A49" s="171" t="s">
        <v>76</v>
      </c>
      <c r="B49" s="33" t="str">
        <f t="shared" si="0"/>
        <v>-</v>
      </c>
      <c r="C49" s="34" t="s">
        <v>111</v>
      </c>
      <c r="D49" s="234"/>
    </row>
    <row r="50" spans="1:6">
      <c r="A50" s="171" t="s">
        <v>77</v>
      </c>
      <c r="B50" s="33">
        <f t="shared" si="0"/>
        <v>20.099999999999994</v>
      </c>
      <c r="C50" s="33">
        <f>B50*2</f>
        <v>40.199999999999989</v>
      </c>
      <c r="D50" s="234"/>
    </row>
    <row r="51" spans="1:6">
      <c r="A51" s="171" t="s">
        <v>78</v>
      </c>
      <c r="B51" s="33">
        <f t="shared" si="0"/>
        <v>323.89999999999998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3872.5683142629991</v>
      </c>
      <c r="C5" s="17">
        <f>IF(ISERROR('Eigen informatie GS &amp; warmtenet'!B58),0,'Eigen informatie GS &amp; warmtenet'!B58)</f>
        <v>0</v>
      </c>
      <c r="D5" s="30">
        <f>SUM(D6:D12)</f>
        <v>6490.0666806932004</v>
      </c>
      <c r="E5" s="17">
        <f>SUM(E6:E12)</f>
        <v>80.396788535377681</v>
      </c>
      <c r="F5" s="17">
        <f>SUM(F6:F12)</f>
        <v>1032.3940673058714</v>
      </c>
      <c r="G5" s="18"/>
      <c r="H5" s="17"/>
      <c r="I5" s="17"/>
      <c r="J5" s="17">
        <f>SUM(J6:J12)</f>
        <v>0</v>
      </c>
      <c r="K5" s="17"/>
      <c r="L5" s="17"/>
      <c r="M5" s="17"/>
      <c r="N5" s="17">
        <f>SUM(N6:N12)</f>
        <v>235.69733500509113</v>
      </c>
      <c r="O5" s="17">
        <f>B38*B39*B40</f>
        <v>0</v>
      </c>
      <c r="P5" s="17">
        <f>B46*B47*B48/1000-B46*B47*B48/1000/B49</f>
        <v>19.066666666666666</v>
      </c>
      <c r="R5" s="32"/>
    </row>
    <row r="6" spans="1:18">
      <c r="A6" s="32" t="s">
        <v>54</v>
      </c>
      <c r="B6" s="37">
        <f>B26</f>
        <v>858.33701803999998</v>
      </c>
      <c r="C6" s="33"/>
      <c r="D6" s="37">
        <f>IF(ISERROR(TER_kantoor_gas_kWh/1000),0,TER_kantoor_gas_kWh/1000)*0.902</f>
        <v>2505.7282439266</v>
      </c>
      <c r="E6" s="33">
        <f>$C$26*'E Balans VL '!I12/100/3.6*1000000</f>
        <v>11.236688884034477</v>
      </c>
      <c r="F6" s="33">
        <f>$C$26*('E Balans VL '!L12+'E Balans VL '!N12)/100/3.6*1000000</f>
        <v>218.86706987678321</v>
      </c>
      <c r="G6" s="34"/>
      <c r="H6" s="33"/>
      <c r="I6" s="33"/>
      <c r="J6" s="33">
        <f>$C$26*('E Balans VL '!D12+'E Balans VL '!E12)/100/3.6*1000000</f>
        <v>0</v>
      </c>
      <c r="K6" s="33"/>
      <c r="L6" s="33"/>
      <c r="M6" s="33"/>
      <c r="N6" s="33">
        <f>$C$26*'E Balans VL '!Y12/100/3.6*1000000</f>
        <v>0.86122742197330771</v>
      </c>
      <c r="O6" s="33"/>
      <c r="P6" s="33"/>
      <c r="R6" s="32"/>
    </row>
    <row r="7" spans="1:18">
      <c r="A7" s="32" t="s">
        <v>53</v>
      </c>
      <c r="B7" s="37">
        <f t="shared" ref="B7:B12" si="0">B27</f>
        <v>500.55840126000004</v>
      </c>
      <c r="C7" s="33"/>
      <c r="D7" s="37">
        <f>IF(ISERROR(TER_horeca_gas_kWh/1000),0,TER_horeca_gas_kWh/1000)*0.902</f>
        <v>942.10594179020006</v>
      </c>
      <c r="E7" s="33">
        <f>$C$27*'E Balans VL '!I9/100/3.6*1000000</f>
        <v>16.565438287091634</v>
      </c>
      <c r="F7" s="33">
        <f>$C$27*('E Balans VL '!L9+'E Balans VL '!N9)/100/3.6*1000000</f>
        <v>215.2381941696373</v>
      </c>
      <c r="G7" s="34"/>
      <c r="H7" s="33"/>
      <c r="I7" s="33"/>
      <c r="J7" s="33">
        <f>$C$27*('E Balans VL '!D9+'E Balans VL '!E9)/100/3.6*1000000</f>
        <v>0</v>
      </c>
      <c r="K7" s="33"/>
      <c r="L7" s="33"/>
      <c r="M7" s="33"/>
      <c r="N7" s="33">
        <f>$C$27*'E Balans VL '!Y9/100/3.6*1000000</f>
        <v>0.12049167608896441</v>
      </c>
      <c r="O7" s="33"/>
      <c r="P7" s="33"/>
      <c r="R7" s="32"/>
    </row>
    <row r="8" spans="1:18">
      <c r="A8" s="6" t="s">
        <v>52</v>
      </c>
      <c r="B8" s="37">
        <f t="shared" si="0"/>
        <v>773.09337049999999</v>
      </c>
      <c r="C8" s="33"/>
      <c r="D8" s="37">
        <f>IF(ISERROR(TER_handel_gas_kWh/1000),0,TER_handel_gas_kWh/1000)*0.902</f>
        <v>821.99522941118005</v>
      </c>
      <c r="E8" s="33">
        <f>$C$28*'E Balans VL '!I13/100/3.6*1000000</f>
        <v>24.400008024488297</v>
      </c>
      <c r="F8" s="33">
        <f>$C$28*('E Balans VL '!L13+'E Balans VL '!N13)/100/3.6*1000000</f>
        <v>151.61722328411409</v>
      </c>
      <c r="G8" s="34"/>
      <c r="H8" s="33"/>
      <c r="I8" s="33"/>
      <c r="J8" s="33">
        <f>$C$28*('E Balans VL '!D13+'E Balans VL '!E13)/100/3.6*1000000</f>
        <v>0</v>
      </c>
      <c r="K8" s="33"/>
      <c r="L8" s="33"/>
      <c r="M8" s="33"/>
      <c r="N8" s="33">
        <f>$C$28*'E Balans VL '!Y13/100/3.6*1000000</f>
        <v>0.91751173654824403</v>
      </c>
      <c r="O8" s="33"/>
      <c r="P8" s="33"/>
      <c r="R8" s="32"/>
    </row>
    <row r="9" spans="1:18">
      <c r="A9" s="32" t="s">
        <v>51</v>
      </c>
      <c r="B9" s="37">
        <f t="shared" si="0"/>
        <v>16.028258859000001</v>
      </c>
      <c r="C9" s="33"/>
      <c r="D9" s="37">
        <f>IF(ISERROR(TER_gezond_gas_kWh/1000),0,TER_gezond_gas_kWh/1000)*0.902</f>
        <v>0</v>
      </c>
      <c r="E9" s="33">
        <f>$C$29*'E Balans VL '!I10/100/3.6*1000000</f>
        <v>2.0520860302609902E-3</v>
      </c>
      <c r="F9" s="33">
        <f>$C$29*('E Balans VL '!L10+'E Balans VL '!N10)/100/3.6*1000000</f>
        <v>3.3393581262250462</v>
      </c>
      <c r="G9" s="34"/>
      <c r="H9" s="33"/>
      <c r="I9" s="33"/>
      <c r="J9" s="33">
        <f>$C$29*('E Balans VL '!D10+'E Balans VL '!E10)/100/3.6*1000000</f>
        <v>0</v>
      </c>
      <c r="K9" s="33"/>
      <c r="L9" s="33"/>
      <c r="M9" s="33"/>
      <c r="N9" s="33">
        <f>$C$29*'E Balans VL '!Y10/100/3.6*1000000</f>
        <v>0.18825947625007047</v>
      </c>
      <c r="O9" s="33"/>
      <c r="P9" s="33"/>
      <c r="R9" s="32"/>
    </row>
    <row r="10" spans="1:18">
      <c r="A10" s="32" t="s">
        <v>50</v>
      </c>
      <c r="B10" s="37">
        <f t="shared" si="0"/>
        <v>118.41625524</v>
      </c>
      <c r="C10" s="33"/>
      <c r="D10" s="37">
        <f>IF(ISERROR(TER_ander_gas_kWh/1000),0,TER_ander_gas_kWh/1000)*0.902</f>
        <v>135.44859603021999</v>
      </c>
      <c r="E10" s="33">
        <f>$C$30*'E Balans VL '!I14/100/3.6*1000000</f>
        <v>0.17807020045267713</v>
      </c>
      <c r="F10" s="33">
        <f>$C$30*('E Balans VL '!L14+'E Balans VL '!N14)/100/3.6*1000000</f>
        <v>26.142492056727562</v>
      </c>
      <c r="G10" s="34"/>
      <c r="H10" s="33"/>
      <c r="I10" s="33"/>
      <c r="J10" s="33">
        <f>$C$30*('E Balans VL '!D14+'E Balans VL '!E14)/100/3.6*1000000</f>
        <v>0</v>
      </c>
      <c r="K10" s="33"/>
      <c r="L10" s="33"/>
      <c r="M10" s="33"/>
      <c r="N10" s="33">
        <f>$C$30*'E Balans VL '!Y14/100/3.6*1000000</f>
        <v>93.319978242632189</v>
      </c>
      <c r="O10" s="33"/>
      <c r="P10" s="33"/>
      <c r="R10" s="32"/>
    </row>
    <row r="11" spans="1:18">
      <c r="A11" s="32" t="s">
        <v>55</v>
      </c>
      <c r="B11" s="37">
        <f t="shared" si="0"/>
        <v>16.654876964</v>
      </c>
      <c r="C11" s="33"/>
      <c r="D11" s="37">
        <f>IF(ISERROR(TER_onderwijs_gas_kWh/1000),0,TER_onderwijs_gas_kWh/1000)*0.902</f>
        <v>0</v>
      </c>
      <c r="E11" s="33">
        <f>$C$31*'E Balans VL '!I11/100/3.6*1000000</f>
        <v>2.9330634007469245E-2</v>
      </c>
      <c r="F11" s="33">
        <f>$C$31*('E Balans VL '!L11+'E Balans VL '!N11)/100/3.6*1000000</f>
        <v>7.6898580637790204</v>
      </c>
      <c r="G11" s="34"/>
      <c r="H11" s="33"/>
      <c r="I11" s="33"/>
      <c r="J11" s="33">
        <f>$C$31*('E Balans VL '!D11+'E Balans VL '!E11)/100/3.6*1000000</f>
        <v>0</v>
      </c>
      <c r="K11" s="33"/>
      <c r="L11" s="33"/>
      <c r="M11" s="33"/>
      <c r="N11" s="33">
        <f>$C$31*'E Balans VL '!Y11/100/3.6*1000000</f>
        <v>3.1028266100539988E-2</v>
      </c>
      <c r="O11" s="33"/>
      <c r="P11" s="33"/>
      <c r="R11" s="32"/>
    </row>
    <row r="12" spans="1:18">
      <c r="A12" s="32" t="s">
        <v>260</v>
      </c>
      <c r="B12" s="37">
        <f t="shared" si="0"/>
        <v>1589.4801333999999</v>
      </c>
      <c r="C12" s="33"/>
      <c r="D12" s="37">
        <f>IF(ISERROR(TER_rest_gas_kWh/1000),0,TER_rest_gas_kWh/1000)*0.902</f>
        <v>2084.7886695350003</v>
      </c>
      <c r="E12" s="33">
        <f>$C$32*'E Balans VL '!I8/100/3.6*1000000</f>
        <v>27.985200419272871</v>
      </c>
      <c r="F12" s="33">
        <f>$C$32*('E Balans VL '!L8+'E Balans VL '!N8)/100/3.6*1000000</f>
        <v>409.49987172860511</v>
      </c>
      <c r="G12" s="34"/>
      <c r="H12" s="33"/>
      <c r="I12" s="33"/>
      <c r="J12" s="33">
        <f>$C$32*('E Balans VL '!D8+'E Balans VL '!E8)/100/3.6*1000000</f>
        <v>0</v>
      </c>
      <c r="K12" s="33"/>
      <c r="L12" s="33"/>
      <c r="M12" s="33"/>
      <c r="N12" s="33">
        <f>$C$32*'E Balans VL '!Y8/100/3.6*1000000</f>
        <v>140.25883818549784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3872.5683142629991</v>
      </c>
      <c r="C16" s="21">
        <f t="shared" ca="1" si="1"/>
        <v>0</v>
      </c>
      <c r="D16" s="21">
        <f t="shared" ca="1" si="1"/>
        <v>6490.0666806932004</v>
      </c>
      <c r="E16" s="21">
        <f t="shared" si="1"/>
        <v>80.396788535377681</v>
      </c>
      <c r="F16" s="21">
        <f t="shared" ca="1" si="1"/>
        <v>1032.3940673058714</v>
      </c>
      <c r="G16" s="21">
        <f t="shared" si="1"/>
        <v>0</v>
      </c>
      <c r="H16" s="21">
        <f t="shared" si="1"/>
        <v>0</v>
      </c>
      <c r="I16" s="21">
        <f t="shared" si="1"/>
        <v>0</v>
      </c>
      <c r="J16" s="21">
        <f t="shared" si="1"/>
        <v>0</v>
      </c>
      <c r="K16" s="21">
        <f t="shared" si="1"/>
        <v>0</v>
      </c>
      <c r="L16" s="21">
        <f t="shared" ca="1" si="1"/>
        <v>0</v>
      </c>
      <c r="M16" s="21">
        <f t="shared" si="1"/>
        <v>0</v>
      </c>
      <c r="N16" s="21">
        <f t="shared" ca="1" si="1"/>
        <v>235.69733500509113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0.20287751154126757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785.65702287123872</v>
      </c>
      <c r="C20" s="23">
        <f t="shared" ref="C20:P20" ca="1" si="2">C16*C18</f>
        <v>0</v>
      </c>
      <c r="D20" s="23">
        <f t="shared" ca="1" si="2"/>
        <v>1310.9934695000265</v>
      </c>
      <c r="E20" s="23">
        <f t="shared" si="2"/>
        <v>18.250070997530734</v>
      </c>
      <c r="F20" s="23">
        <f t="shared" ca="1" si="2"/>
        <v>275.64921597066768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858.33701803999998</v>
      </c>
      <c r="C26" s="39">
        <f>IF(ISERROR(B26*3.6/1000000/'E Balans VL '!Z12*100),0,B26*3.6/1000000/'E Balans VL '!Z12*100)</f>
        <v>1.8386245742480611E-2</v>
      </c>
      <c r="D26" s="237" t="s">
        <v>660</v>
      </c>
      <c r="F26" s="6"/>
    </row>
    <row r="27" spans="1:18">
      <c r="A27" s="231" t="s">
        <v>53</v>
      </c>
      <c r="B27" s="33">
        <f>IF(ISERROR(TER_horeca_ele_kWh/1000),0,TER_horeca_ele_kWh/1000)</f>
        <v>500.55840126000004</v>
      </c>
      <c r="C27" s="39">
        <f>IF(ISERROR(B27*3.6/1000000/'E Balans VL '!Z9*100),0,B27*3.6/1000000/'E Balans VL '!Z9*100)</f>
        <v>4.0168071777871905E-2</v>
      </c>
      <c r="D27" s="237" t="s">
        <v>660</v>
      </c>
      <c r="F27" s="6"/>
    </row>
    <row r="28" spans="1:18">
      <c r="A28" s="171" t="s">
        <v>52</v>
      </c>
      <c r="B28" s="33">
        <f>IF(ISERROR(TER_handel_ele_kWh/1000),0,TER_handel_ele_kWh/1000)</f>
        <v>773.09337049999999</v>
      </c>
      <c r="C28" s="39">
        <f>IF(ISERROR(B28*3.6/1000000/'E Balans VL '!Z13*100),0,B28*3.6/1000000/'E Balans VL '!Z13*100)</f>
        <v>2.2801820143046138E-2</v>
      </c>
      <c r="D28" s="237" t="s">
        <v>660</v>
      </c>
      <c r="F28" s="6"/>
    </row>
    <row r="29" spans="1:18">
      <c r="A29" s="231" t="s">
        <v>51</v>
      </c>
      <c r="B29" s="33">
        <f>IF(ISERROR(TER_gezond_ele_kWh/1000),0,TER_gezond_ele_kWh/1000)</f>
        <v>16.028258859000001</v>
      </c>
      <c r="C29" s="39">
        <f>IF(ISERROR(B29*3.6/1000000/'E Balans VL '!Z10*100),0,B29*3.6/1000000/'E Balans VL '!Z10*100)</f>
        <v>1.7113883124063082E-3</v>
      </c>
      <c r="D29" s="237" t="s">
        <v>660</v>
      </c>
      <c r="F29" s="6"/>
    </row>
    <row r="30" spans="1:18">
      <c r="A30" s="231" t="s">
        <v>50</v>
      </c>
      <c r="B30" s="33">
        <f>IF(ISERROR(TER_ander_ele_kWh/1000),0,TER_ander_ele_kWh/1000)</f>
        <v>118.41625524</v>
      </c>
      <c r="C30" s="39">
        <f>IF(ISERROR(B30*3.6/1000000/'E Balans VL '!Z14*100),0,B30*3.6/1000000/'E Balans VL '!Z14*100)</f>
        <v>8.9444447601548984E-3</v>
      </c>
      <c r="D30" s="237" t="s">
        <v>660</v>
      </c>
      <c r="F30" s="6"/>
    </row>
    <row r="31" spans="1:18">
      <c r="A31" s="231" t="s">
        <v>55</v>
      </c>
      <c r="B31" s="33">
        <f>IF(ISERROR(TER_onderwijs_ele_kWh/1000),0,TER_onderwijs_ele_kWh/1000)</f>
        <v>16.654876964</v>
      </c>
      <c r="C31" s="39">
        <f>IF(ISERROR(B31*3.6/1000000/'E Balans VL '!Z11*100),0,B31*3.6/1000000/'E Balans VL '!Z11*100)</f>
        <v>3.3631756417766669E-3</v>
      </c>
      <c r="D31" s="237" t="s">
        <v>660</v>
      </c>
    </row>
    <row r="32" spans="1:18">
      <c r="A32" s="231" t="s">
        <v>260</v>
      </c>
      <c r="B32" s="33">
        <f>IF(ISERROR(TER_rest_ele_kWh/1000),0,TER_rest_ele_kWh/1000)</f>
        <v>1589.4801333999999</v>
      </c>
      <c r="C32" s="39">
        <f>IF(ISERROR(B32*3.6/1000000/'E Balans VL '!Z8*100),0,B32*3.6/1000000/'E Balans VL '!Z8*100)</f>
        <v>1.3179003641004494E-2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12015.59356734</v>
      </c>
      <c r="C5" s="17">
        <f>IF(ISERROR('Eigen informatie GS &amp; warmtenet'!B59),0,'Eigen informatie GS &amp; warmtenet'!B59)</f>
        <v>0</v>
      </c>
      <c r="D5" s="30">
        <f>SUM(D6:D15)</f>
        <v>22341.368020711299</v>
      </c>
      <c r="E5" s="17">
        <f>SUM(E6:E15)</f>
        <v>414.93319840022338</v>
      </c>
      <c r="F5" s="17">
        <f>SUM(F6:F15)</f>
        <v>2784.3604474756012</v>
      </c>
      <c r="G5" s="18"/>
      <c r="H5" s="17"/>
      <c r="I5" s="17"/>
      <c r="J5" s="17">
        <f>SUM(J6:J15)</f>
        <v>22.629891849118977</v>
      </c>
      <c r="K5" s="17"/>
      <c r="L5" s="17"/>
      <c r="M5" s="17"/>
      <c r="N5" s="17">
        <f>SUM(N6:N15)</f>
        <v>3998.0930802906632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48.087000000000003</v>
      </c>
      <c r="C8" s="33"/>
      <c r="D8" s="37">
        <f>IF( ISERROR(IND_metaal_Gas_kWH/1000),0,IND_metaal_Gas_kWH/1000)*0.902</f>
        <v>0</v>
      </c>
      <c r="E8" s="33">
        <f>C30*'E Balans VL '!I18/100/3.6*1000000</f>
        <v>1.730315733036327</v>
      </c>
      <c r="F8" s="33">
        <f>C30*'E Balans VL '!L18/100/3.6*1000000+C30*'E Balans VL '!N18/100/3.6*1000000</f>
        <v>20.998034087172471</v>
      </c>
      <c r="G8" s="34"/>
      <c r="H8" s="33"/>
      <c r="I8" s="33"/>
      <c r="J8" s="40">
        <f>C30*'E Balans VL '!D18/100/3.6*1000000+C30*'E Balans VL '!E18/100/3.6*1000000</f>
        <v>0</v>
      </c>
      <c r="K8" s="33"/>
      <c r="L8" s="33"/>
      <c r="M8" s="33"/>
      <c r="N8" s="33">
        <f>C30*'E Balans VL '!Y18/100/3.6*1000000</f>
        <v>2.4100877614208902</v>
      </c>
      <c r="O8" s="33"/>
      <c r="P8" s="33"/>
      <c r="R8" s="32"/>
    </row>
    <row r="9" spans="1:18">
      <c r="A9" s="6" t="s">
        <v>33</v>
      </c>
      <c r="B9" s="37">
        <f t="shared" si="0"/>
        <v>123.77223533999999</v>
      </c>
      <c r="C9" s="33"/>
      <c r="D9" s="37">
        <f>IF( ISERROR(IND_andere_gas_kWh/1000),0,IND_andere_gas_kWh/1000)*0.902</f>
        <v>97.535629130060002</v>
      </c>
      <c r="E9" s="33">
        <f>C31*'E Balans VL '!I19/100/3.6*1000000</f>
        <v>31.583874033506429</v>
      </c>
      <c r="F9" s="33">
        <f>C31*'E Balans VL '!L19/100/3.6*1000000+C31*'E Balans VL '!N19/100/3.6*1000000</f>
        <v>106.55859154485903</v>
      </c>
      <c r="G9" s="34"/>
      <c r="H9" s="33"/>
      <c r="I9" s="33"/>
      <c r="J9" s="40">
        <f>C31*'E Balans VL '!D19/100/3.6*1000000+C31*'E Balans VL '!E19/100/3.6*1000000</f>
        <v>0</v>
      </c>
      <c r="K9" s="33"/>
      <c r="L9" s="33"/>
      <c r="M9" s="33"/>
      <c r="N9" s="33">
        <f>C31*'E Balans VL '!Y19/100/3.6*1000000</f>
        <v>38.707816747187856</v>
      </c>
      <c r="O9" s="33"/>
      <c r="P9" s="33"/>
      <c r="R9" s="32"/>
    </row>
    <row r="10" spans="1:18">
      <c r="A10" s="6" t="s">
        <v>41</v>
      </c>
      <c r="B10" s="37">
        <f t="shared" si="0"/>
        <v>9052.3726317000001</v>
      </c>
      <c r="C10" s="33"/>
      <c r="D10" s="37">
        <f>IF( ISERROR(IND_voed_gas_kWh/1000),0,IND_voed_gas_kWh/1000)*0.902</f>
        <v>21665.503171993998</v>
      </c>
      <c r="E10" s="33">
        <f>C32*'E Balans VL '!I20/100/3.6*1000000</f>
        <v>230.12374222404873</v>
      </c>
      <c r="F10" s="33">
        <f>C32*'E Balans VL '!L20/100/3.6*1000000+C32*'E Balans VL '!N20/100/3.6*1000000</f>
        <v>2048.4160387215338</v>
      </c>
      <c r="G10" s="34"/>
      <c r="H10" s="33"/>
      <c r="I10" s="33"/>
      <c r="J10" s="40">
        <f>C32*'E Balans VL '!D20/100/3.6*1000000+C32*'E Balans VL '!E20/100/3.6*1000000</f>
        <v>0</v>
      </c>
      <c r="K10" s="33"/>
      <c r="L10" s="33"/>
      <c r="M10" s="33"/>
      <c r="N10" s="33">
        <f>C32*'E Balans VL '!Y20/100/3.6*1000000</f>
        <v>3394.8851110991477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2791.3617002999999</v>
      </c>
      <c r="C15" s="33"/>
      <c r="D15" s="37">
        <f>IF( ISERROR(IND_rest_gas_kWh/1000),0,IND_rest_gas_kWh/1000)*0.902</f>
        <v>578.32921958724</v>
      </c>
      <c r="E15" s="33">
        <f>C37*'E Balans VL '!I15/100/3.6*1000000</f>
        <v>151.49526640963188</v>
      </c>
      <c r="F15" s="33">
        <f>C37*'E Balans VL '!L15/100/3.6*1000000+C37*'E Balans VL '!N15/100/3.6*1000000</f>
        <v>608.38778312203578</v>
      </c>
      <c r="G15" s="34"/>
      <c r="H15" s="33"/>
      <c r="I15" s="33"/>
      <c r="J15" s="40">
        <f>C37*'E Balans VL '!D15/100/3.6*1000000+C37*'E Balans VL '!E15/100/3.6*1000000</f>
        <v>22.629891849118977</v>
      </c>
      <c r="K15" s="33"/>
      <c r="L15" s="33"/>
      <c r="M15" s="33"/>
      <c r="N15" s="33">
        <f>C37*'E Balans VL '!Y15/100/3.6*1000000</f>
        <v>562.09006468290704</v>
      </c>
      <c r="O15" s="33"/>
      <c r="P15" s="33"/>
      <c r="R15" s="32"/>
    </row>
    <row r="16" spans="1:18">
      <c r="A16" s="16" t="s">
        <v>491</v>
      </c>
      <c r="B16" s="247">
        <f>'lokale energieproductie'!N90+'lokale energieproductie'!N59</f>
        <v>742.5</v>
      </c>
      <c r="C16" s="247">
        <f>'lokale energieproductie'!O90+'lokale energieproductie'!O59</f>
        <v>1060.7142857142858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12758.09356734</v>
      </c>
      <c r="C18" s="21">
        <f>C5+C16</f>
        <v>1060.7142857142858</v>
      </c>
      <c r="D18" s="21">
        <f>MAX((D5+D16),0)</f>
        <v>22341.368020711299</v>
      </c>
      <c r="E18" s="21">
        <f>MAX((E5+E16),0)</f>
        <v>414.93319840022338</v>
      </c>
      <c r="F18" s="21">
        <f>MAX((F5+F16),0)</f>
        <v>2784.3604474756012</v>
      </c>
      <c r="G18" s="21"/>
      <c r="H18" s="21"/>
      <c r="I18" s="21"/>
      <c r="J18" s="21">
        <f>MAX((J5+J16),0)</f>
        <v>22.629891849118977</v>
      </c>
      <c r="K18" s="21"/>
      <c r="L18" s="21">
        <f>MAX((L5+L16),0)</f>
        <v>0</v>
      </c>
      <c r="M18" s="21"/>
      <c r="N18" s="21">
        <f>MAX((N5+N16),0)</f>
        <v>1876.6645088620917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0.20287751154126757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2588.3302749525924</v>
      </c>
      <c r="C22" s="23">
        <f ca="1">C18*C20</f>
        <v>0</v>
      </c>
      <c r="D22" s="23">
        <f>D18*D20</f>
        <v>4512.9563401836831</v>
      </c>
      <c r="E22" s="23">
        <f>E18*E20</f>
        <v>94.189836036850707</v>
      </c>
      <c r="F22" s="23">
        <f>F18*F20</f>
        <v>743.42423947598559</v>
      </c>
      <c r="G22" s="23"/>
      <c r="H22" s="23"/>
      <c r="I22" s="23"/>
      <c r="J22" s="23">
        <f>J18*J20</f>
        <v>8.0109817145881177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48.087000000000003</v>
      </c>
      <c r="C30" s="39">
        <f>IF(ISERROR(B30*3.6/1000000/'E Balans VL '!Z18*100),0,B30*3.6/1000000/'E Balans VL '!Z18*100)</f>
        <v>1.018860434189146E-2</v>
      </c>
      <c r="D30" s="237" t="s">
        <v>660</v>
      </c>
    </row>
    <row r="31" spans="1:18">
      <c r="A31" s="6" t="s">
        <v>33</v>
      </c>
      <c r="B31" s="37">
        <f>IF( ISERROR(IND_ander_ele_kWh/1000),0,IND_ander_ele_kWh/1000)</f>
        <v>123.77223533999999</v>
      </c>
      <c r="C31" s="39">
        <f>IF(ISERROR(B31*3.6/1000000/'E Balans VL '!Z19*100),0,B31*3.6/1000000/'E Balans VL '!Z19*100)</f>
        <v>5.2098544307602156E-3</v>
      </c>
      <c r="D31" s="237" t="s">
        <v>660</v>
      </c>
    </row>
    <row r="32" spans="1:18">
      <c r="A32" s="171" t="s">
        <v>41</v>
      </c>
      <c r="B32" s="37">
        <f>IF( ISERROR(IND_voed_ele_kWh/1000),0,IND_voed_ele_kWh/1000)</f>
        <v>9052.3726317000001</v>
      </c>
      <c r="C32" s="39">
        <f>IF(ISERROR(B32*3.6/1000000/'E Balans VL '!Z20*100),0,B32*3.6/1000000/'E Balans VL '!Z20*100)</f>
        <v>1.5123012686776678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2791.3617002999999</v>
      </c>
      <c r="C37" s="39">
        <f>IF(ISERROR(B37*3.6/1000000/'E Balans VL '!Z15*100),0,B37*3.6/1000000/'E Balans VL '!Z15*100)</f>
        <v>2.2535743871312339E-2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610.53850497999997</v>
      </c>
      <c r="C5" s="17">
        <f>'Eigen informatie GS &amp; warmtenet'!B60</f>
        <v>0</v>
      </c>
      <c r="D5" s="30">
        <f>IF(ISERROR(SUM(LB_lb_gas_kWh,LB_rest_gas_kWh)/1000),0,SUM(LB_lb_gas_kWh,LB_rest_gas_kWh)/1000)*0.902</f>
        <v>129.71248304194398</v>
      </c>
      <c r="E5" s="17">
        <f>B17*'E Balans VL '!I25/3.6*1000000/100</f>
        <v>15.743443846598822</v>
      </c>
      <c r="F5" s="17">
        <f>B17*('E Balans VL '!L25/3.6*1000000+'E Balans VL '!N25/3.6*1000000)/100</f>
        <v>2231.6345071120404</v>
      </c>
      <c r="G5" s="18"/>
      <c r="H5" s="17"/>
      <c r="I5" s="17"/>
      <c r="J5" s="17">
        <f>('E Balans VL '!D25+'E Balans VL '!E25)/3.6*1000000*landbouw!B17/100</f>
        <v>87.895085046506779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610.53850497999997</v>
      </c>
      <c r="C8" s="21">
        <f>C5+C6</f>
        <v>0</v>
      </c>
      <c r="D8" s="21">
        <f>MAX((D5+D6),0)</f>
        <v>129.71248304194398</v>
      </c>
      <c r="E8" s="21">
        <f>MAX((E5+E6),0)</f>
        <v>15.743443846598822</v>
      </c>
      <c r="F8" s="21">
        <f>MAX((F5+F6),0)</f>
        <v>2231.6345071120404</v>
      </c>
      <c r="G8" s="21"/>
      <c r="H8" s="21"/>
      <c r="I8" s="21"/>
      <c r="J8" s="21">
        <f>MAX((J5+J6),0)</f>
        <v>87.895085046506779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0.20287751154126757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123.86453259046819</v>
      </c>
      <c r="C12" s="23">
        <f ca="1">C8*C10</f>
        <v>0</v>
      </c>
      <c r="D12" s="23">
        <f>D8*D10</f>
        <v>26.201921574472685</v>
      </c>
      <c r="E12" s="23">
        <f>E8*E10</f>
        <v>3.5737617531779327</v>
      </c>
      <c r="F12" s="23">
        <f>F8*F10</f>
        <v>595.84641339891482</v>
      </c>
      <c r="G12" s="23"/>
      <c r="H12" s="23"/>
      <c r="I12" s="23"/>
      <c r="J12" s="23">
        <f>J8*J10</f>
        <v>31.114860106463397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8.6089973318556279E-2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86.316771601811482</v>
      </c>
      <c r="C26" s="247">
        <f>B26*'GWP N2O_CH4'!B5</f>
        <v>1812.6522036380411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36.592183022336805</v>
      </c>
      <c r="C27" s="247">
        <f>B27*'GWP N2O_CH4'!B5</f>
        <v>768.43584346907289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1.3320966976967665</v>
      </c>
      <c r="C28" s="247">
        <f>B28*'GWP N2O_CH4'!B4</f>
        <v>412.94997628599765</v>
      </c>
      <c r="D28" s="50"/>
    </row>
    <row r="29" spans="1:4">
      <c r="A29" s="41" t="s">
        <v>277</v>
      </c>
      <c r="B29" s="247">
        <f>B34*'ha_N2O bodem landbouw'!B4</f>
        <v>16.717727959479141</v>
      </c>
      <c r="C29" s="247">
        <f>B29*'GWP N2O_CH4'!B4</f>
        <v>5182.4956674385339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3.7623972586469023E-3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1.1058434202206921E-4</v>
      </c>
      <c r="C5" s="463" t="s">
        <v>211</v>
      </c>
      <c r="D5" s="448">
        <f>SUM(D6:D11)</f>
        <v>2.4169082690439172E-4</v>
      </c>
      <c r="E5" s="448">
        <f>SUM(E6:E11)</f>
        <v>1.1279035650745954E-3</v>
      </c>
      <c r="F5" s="461" t="s">
        <v>211</v>
      </c>
      <c r="G5" s="448">
        <f>SUM(G6:G11)</f>
        <v>0.37445946839188748</v>
      </c>
      <c r="H5" s="448">
        <f>SUM(H6:H11)</f>
        <v>6.7401396311419753E-2</v>
      </c>
      <c r="I5" s="463" t="s">
        <v>211</v>
      </c>
      <c r="J5" s="463" t="s">
        <v>211</v>
      </c>
      <c r="K5" s="463" t="s">
        <v>211</v>
      </c>
      <c r="L5" s="463" t="s">
        <v>211</v>
      </c>
      <c r="M5" s="448">
        <f>SUM(M6:M11)</f>
        <v>1.3816602018837163E-2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9.5870783635350127E-6</v>
      </c>
      <c r="C6" s="449"/>
      <c r="D6" s="892">
        <f>vkm_2011_GW_PW*SUMIFS(TableVerdeelsleutelVkm[CNG],TableVerdeelsleutelVkm[Voertuigtype],"Lichte voertuigen")*SUMIFS(TableECFTransport[EnergieConsumptieFactor (PJ per km)],TableECFTransport[Index],CONCATENATE($A6,"_CNG_CNG"))</f>
        <v>1.9049692640732604E-5</v>
      </c>
      <c r="E6" s="892">
        <f>vkm_2011_GW_PW*SUMIFS(TableVerdeelsleutelVkm[LPG],TableVerdeelsleutelVkm[Voertuigtype],"Lichte voertuigen")*SUMIFS(TableECFTransport[EnergieConsumptieFactor (PJ per km)],TableECFTransport[Index],CONCATENATE($A6,"_LPG_LPG"))</f>
        <v>7.4967369344176935E-5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1.7824668149609042E-2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5.157324895179438E-3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7.1614012515827425E-4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1.1744574365481932E-2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3.7939991720192268E-6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3.7005356816419539E-4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8.7313125839179052E-6</v>
      </c>
      <c r="C8" s="449"/>
      <c r="D8" s="451">
        <f>vkm_2011_NGW_PW*SUMIFS(TableVerdeelsleutelVkm[CNG],TableVerdeelsleutelVkm[Voertuigtype],"Lichte voertuigen")*SUMIFS(TableECFTransport[EnergieConsumptieFactor (PJ per km)],TableECFTransport[Index],CONCATENATE($A8,"_CNG_CNG"))</f>
        <v>3.0719230177616539E-5</v>
      </c>
      <c r="E8" s="451">
        <f>vkm_2011_NGW_PW*SUMIFS(TableVerdeelsleutelVkm[LPG],TableVerdeelsleutelVkm[Voertuigtype],"Lichte voertuigen")*SUMIFS(TableECFTransport[EnergieConsumptieFactor (PJ per km)],TableECFTransport[Index],CONCATENATE($A8,"_LPG_LPG"))</f>
        <v>1.1180298684592924E-4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2.4823405976182312E-2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8.0642477534826028E-3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1.0237798275113865E-3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1.4541502869511911E-3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4.4425524255706962E-7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4.5817285831648598E-5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9.2265951074616291E-5</v>
      </c>
      <c r="C10" s="449"/>
      <c r="D10" s="451">
        <f>vkm_2011_SW_PW*SUMIFS(TableVerdeelsleutelVkm[CNG],TableVerdeelsleutelVkm[Voertuigtype],"Lichte voertuigen")*SUMIFS(TableECFTransport[EnergieConsumptieFactor (PJ per km)],TableECFTransport[Index],CONCATENATE($A10,"_CNG_CNG"))</f>
        <v>1.9192190408604258E-4</v>
      </c>
      <c r="E10" s="451">
        <f>vkm_2011_SW_PW*SUMIFS(TableVerdeelsleutelVkm[LPG],TableVerdeelsleutelVkm[Voertuigtype],"Lichte voertuigen")*SUMIFS(TableECFTransport[EnergieConsumptieFactor (PJ per km)],TableECFTransport[Index],CONCATENATE($A10,"_LPG_LPG"))</f>
        <v>9.4113320888448916E-4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0.20045056775500181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5.4134458085598414E-2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7.9376155221315796E-3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0.1181621018586612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4.1127322744718342E-5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3.7231956900400797E-3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30.717872783908113</v>
      </c>
      <c r="C14" s="21"/>
      <c r="D14" s="21">
        <f t="shared" ref="D14:M14" si="0">((D5)*10^9/3600)+D12</f>
        <v>67.136340806775479</v>
      </c>
      <c r="E14" s="21">
        <f t="shared" si="0"/>
        <v>313.30654585405426</v>
      </c>
      <c r="F14" s="21"/>
      <c r="G14" s="21">
        <f t="shared" si="0"/>
        <v>104016.51899774652</v>
      </c>
      <c r="H14" s="21">
        <f t="shared" si="0"/>
        <v>18722.610086505487</v>
      </c>
      <c r="I14" s="21"/>
      <c r="J14" s="21"/>
      <c r="K14" s="21"/>
      <c r="L14" s="21"/>
      <c r="M14" s="21">
        <f t="shared" si="0"/>
        <v>3837.9450052325456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0.20287751154126757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6.2319655902405069</v>
      </c>
      <c r="C18" s="23"/>
      <c r="D18" s="23">
        <f t="shared" ref="D18:M18" si="1">D14*D16</f>
        <v>13.561540842968647</v>
      </c>
      <c r="E18" s="23">
        <f t="shared" si="1"/>
        <v>71.120585908870325</v>
      </c>
      <c r="F18" s="23"/>
      <c r="G18" s="23">
        <f t="shared" si="1"/>
        <v>27772.410572398323</v>
      </c>
      <c r="H18" s="23">
        <f t="shared" si="1"/>
        <v>4661.9299115398662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1.4841876374892726E-3</v>
      </c>
      <c r="H50" s="321">
        <f t="shared" si="2"/>
        <v>0</v>
      </c>
      <c r="I50" s="321">
        <f t="shared" si="2"/>
        <v>0</v>
      </c>
      <c r="J50" s="321">
        <f t="shared" si="2"/>
        <v>0</v>
      </c>
      <c r="K50" s="321">
        <f t="shared" si="2"/>
        <v>0</v>
      </c>
      <c r="L50" s="321">
        <f t="shared" si="2"/>
        <v>0</v>
      </c>
      <c r="M50" s="321">
        <f t="shared" si="2"/>
        <v>4.6036180116919221E-5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1.4841876374892726E-3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4.6036180116919221E-5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412.27434374702017</v>
      </c>
      <c r="H54" s="21">
        <f t="shared" si="3"/>
        <v>0</v>
      </c>
      <c r="I54" s="21">
        <f t="shared" si="3"/>
        <v>0</v>
      </c>
      <c r="J54" s="21">
        <f t="shared" si="3"/>
        <v>0</v>
      </c>
      <c r="K54" s="21">
        <f t="shared" si="3"/>
        <v>0</v>
      </c>
      <c r="L54" s="21">
        <f t="shared" si="3"/>
        <v>0</v>
      </c>
      <c r="M54" s="21">
        <f t="shared" si="3"/>
        <v>12.787827810255338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0.20287751154126757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110.07724978045439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84.911242603550292</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1647.9730853736703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742.5</v>
      </c>
      <c r="C8" s="570">
        <f>B101</f>
        <v>0</v>
      </c>
      <c r="D8" s="1043"/>
      <c r="E8" s="1043">
        <f>E101</f>
        <v>0</v>
      </c>
      <c r="F8" s="1044"/>
      <c r="G8" s="571"/>
      <c r="H8" s="1043">
        <f>I101</f>
        <v>0</v>
      </c>
      <c r="I8" s="1043">
        <f>G101+F101</f>
        <v>0</v>
      </c>
      <c r="J8" s="1043">
        <f>H101+D101+C101</f>
        <v>873.52941176470586</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2475.3843279772209</v>
      </c>
      <c r="C10" s="583">
        <f t="shared" ref="C10:L10" si="0">SUM(C8:C9)</f>
        <v>0</v>
      </c>
      <c r="D10" s="583">
        <f t="shared" si="0"/>
        <v>0</v>
      </c>
      <c r="E10" s="583">
        <f t="shared" si="0"/>
        <v>0</v>
      </c>
      <c r="F10" s="583">
        <f t="shared" si="0"/>
        <v>0</v>
      </c>
      <c r="G10" s="583">
        <f t="shared" si="0"/>
        <v>0</v>
      </c>
      <c r="H10" s="583">
        <f t="shared" si="0"/>
        <v>0</v>
      </c>
      <c r="I10" s="583">
        <f t="shared" si="0"/>
        <v>0</v>
      </c>
      <c r="J10" s="583">
        <f t="shared" si="0"/>
        <v>873.52941176470586</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1060.7142857142858</v>
      </c>
      <c r="C17" s="595">
        <f>B102</f>
        <v>0</v>
      </c>
      <c r="D17" s="596"/>
      <c r="E17" s="596">
        <f>E102</f>
        <v>0</v>
      </c>
      <c r="F17" s="1049"/>
      <c r="G17" s="597"/>
      <c r="H17" s="595">
        <f>I102</f>
        <v>0</v>
      </c>
      <c r="I17" s="596">
        <f>G102+F102</f>
        <v>0</v>
      </c>
      <c r="J17" s="596">
        <f>H102+D102+C102</f>
        <v>1247.8991596638657</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1060.7142857142858</v>
      </c>
      <c r="C20" s="582">
        <f>SUM(C17:C19)</f>
        <v>0</v>
      </c>
      <c r="D20" s="582">
        <f t="shared" ref="D20:L20" si="1">SUM(D17:D19)</f>
        <v>0</v>
      </c>
      <c r="E20" s="582">
        <f t="shared" si="1"/>
        <v>0</v>
      </c>
      <c r="F20" s="582">
        <f t="shared" si="1"/>
        <v>0</v>
      </c>
      <c r="G20" s="582">
        <f t="shared" si="1"/>
        <v>0</v>
      </c>
      <c r="H20" s="582">
        <f t="shared" si="1"/>
        <v>0</v>
      </c>
      <c r="I20" s="582">
        <f t="shared" si="1"/>
        <v>0</v>
      </c>
      <c r="J20" s="582">
        <f t="shared" si="1"/>
        <v>1247.8991596638657</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24041</v>
      </c>
      <c r="C28" s="796">
        <v>3320</v>
      </c>
      <c r="D28" s="653" t="s">
        <v>890</v>
      </c>
      <c r="E28" s="652" t="s">
        <v>891</v>
      </c>
      <c r="F28" s="652" t="s">
        <v>892</v>
      </c>
      <c r="G28" s="652" t="s">
        <v>893</v>
      </c>
      <c r="H28" s="652" t="s">
        <v>894</v>
      </c>
      <c r="I28" s="652" t="s">
        <v>895</v>
      </c>
      <c r="J28" s="795">
        <v>37722</v>
      </c>
      <c r="K28" s="795">
        <v>38353</v>
      </c>
      <c r="L28" s="652" t="s">
        <v>896</v>
      </c>
      <c r="M28" s="652">
        <v>165</v>
      </c>
      <c r="N28" s="652">
        <v>742.5</v>
      </c>
      <c r="O28" s="652">
        <v>1060.7142857142858</v>
      </c>
      <c r="P28" s="652">
        <v>0</v>
      </c>
      <c r="Q28" s="652">
        <v>2121.4285714285716</v>
      </c>
      <c r="R28" s="652">
        <v>0</v>
      </c>
      <c r="S28" s="652">
        <v>0</v>
      </c>
      <c r="T28" s="652">
        <v>0</v>
      </c>
      <c r="U28" s="652">
        <v>0</v>
      </c>
      <c r="V28" s="652">
        <v>0</v>
      </c>
      <c r="W28" s="652">
        <v>0</v>
      </c>
      <c r="X28" s="652">
        <v>500</v>
      </c>
      <c r="Y28" s="652" t="s">
        <v>41</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165</v>
      </c>
      <c r="N58" s="610">
        <f>SUM(N28:N57)</f>
        <v>742.5</v>
      </c>
      <c r="O58" s="610">
        <f t="shared" ref="O58:W58" si="2">SUM(O28:O57)</f>
        <v>1060.7142857142858</v>
      </c>
      <c r="P58" s="610">
        <f t="shared" si="2"/>
        <v>0</v>
      </c>
      <c r="Q58" s="610">
        <f t="shared" si="2"/>
        <v>2121.4285714285716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165</v>
      </c>
      <c r="N59" s="610">
        <f t="shared" si="3"/>
        <v>742.5</v>
      </c>
      <c r="O59" s="610">
        <f t="shared" si="3"/>
        <v>1060.7142857142858</v>
      </c>
      <c r="P59" s="610">
        <f t="shared" si="3"/>
        <v>0</v>
      </c>
      <c r="Q59" s="610">
        <f t="shared" si="3"/>
        <v>2121.4285714285716</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873.52941176470586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1247.8991596638657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2019-08-12T08:23:48Z</dcterms:modified>
</cp:coreProperties>
</file>