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R11" s="1"/>
  <c r="G10" i="48"/>
  <c r="H19" i="14"/>
  <c r="K11"/>
  <c r="J4" i="48"/>
  <c r="E7"/>
  <c r="E25" s="1"/>
  <c r="F24" i="14"/>
  <c r="F26" s="1"/>
  <c r="M9" i="48"/>
  <c r="N20" i="14"/>
  <c r="O22" i="16"/>
  <c r="P43" i="14" s="1"/>
  <c r="O8" i="48"/>
  <c r="P13" i="14"/>
  <c r="I20"/>
  <c r="H9" i="48"/>
  <c r="M10"/>
  <c r="M28" s="1"/>
  <c r="N19" i="14"/>
  <c r="G31" i="48"/>
  <c r="Q13"/>
  <c r="N4"/>
  <c r="N22" s="1"/>
  <c r="O11" i="14"/>
  <c r="R18"/>
  <c r="I23" i="48"/>
  <c r="I33" s="1"/>
  <c r="I15"/>
  <c r="J63" i="14"/>
  <c r="I22"/>
  <c r="I27" s="1"/>
  <c r="G14" i="22"/>
  <c r="N22" i="14"/>
  <c r="N27" s="1"/>
  <c r="P46"/>
  <c r="P61" s="1"/>
  <c r="P63" s="1"/>
  <c r="P16"/>
  <c r="P27" s="1"/>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22" i="48" l="1"/>
  <c r="Q4"/>
  <c r="M27"/>
  <c r="M33" s="1"/>
  <c r="M15"/>
  <c r="G28"/>
  <c r="Q10"/>
  <c r="O26"/>
  <c r="O33" s="1"/>
  <c r="O15"/>
  <c r="E5"/>
  <c r="E23" s="1"/>
  <c r="F10" i="14"/>
  <c r="H20"/>
  <c r="R20" s="1"/>
  <c r="G9" i="48"/>
  <c r="J22"/>
  <c r="J5"/>
  <c r="J23" s="1"/>
  <c r="K10" i="14"/>
  <c r="H27" i="48"/>
  <c r="H33" s="1"/>
  <c r="H15"/>
  <c r="R24" i="14"/>
  <c r="R26" s="1"/>
  <c r="R19"/>
  <c r="R22"/>
  <c r="Q7" i="48"/>
  <c r="E20" i="15"/>
  <c r="F40" i="14" s="1"/>
  <c r="J18" i="16"/>
  <c r="E18"/>
  <c r="F18"/>
  <c r="F22" s="1"/>
  <c r="G43" i="14" s="1"/>
  <c r="N18" i="16"/>
  <c r="G18" i="22"/>
  <c r="H50" i="14" s="1"/>
  <c r="H52" s="1"/>
  <c r="H61" s="1"/>
  <c r="E22" i="16"/>
  <c r="F43" i="14" s="1"/>
  <c r="H18" i="22"/>
  <c r="I50" i="14" s="1"/>
  <c r="I52" s="1"/>
  <c r="I61" s="1"/>
  <c r="I63" s="1"/>
  <c r="H63" l="1"/>
  <c r="J22" i="16"/>
  <c r="K43" i="14" s="1"/>
  <c r="K46" s="1"/>
  <c r="K61" s="1"/>
  <c r="J8" i="48"/>
  <c r="K13" i="14"/>
  <c r="E8" i="48"/>
  <c r="E26" s="1"/>
  <c r="F13" i="14"/>
  <c r="G27" i="48"/>
  <c r="G33" s="1"/>
  <c r="G15"/>
  <c r="Q9"/>
  <c r="K16" i="14"/>
  <c r="K27" s="1"/>
  <c r="E33" i="48"/>
  <c r="E15"/>
  <c r="F46" i="14"/>
  <c r="F61" s="1"/>
  <c r="F63" s="1"/>
  <c r="F16"/>
  <c r="F27" s="1"/>
  <c r="H22"/>
  <c r="H27" s="1"/>
  <c r="N8" i="48"/>
  <c r="N26" s="1"/>
  <c r="O13" i="14"/>
  <c r="N22" i="16"/>
  <c r="O43" i="14" s="1"/>
  <c r="G13"/>
  <c r="F8" i="48"/>
  <c r="J26" l="1"/>
  <c r="J33" s="1"/>
  <c r="J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<sst xmlns="http://schemas.openxmlformats.org/spreadsheetml/2006/main" count="2401" uniqueCount="896">
  <si>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</si>
  <si>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</si>
  <si>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</si>
  <si>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</si>
  <si>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</si>
  <si>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</si>
  <si>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</si>
  <si>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</si>
  <si>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</si>
  <si>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</si>
  <si>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</si>
  <si>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</si>
  <si>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</si>
  <si>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</si>
  <si>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</si>
  <si>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</si>
  <si>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</si>
  <si>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</si>
  <si>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</si>
  <si>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</si>
  <si>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</si>
  <si>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</si>
  <si>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</si>
  <si>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</si>
  <si>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</si>
  <si>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</si>
  <si>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</si>
  <si>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</si>
  <si>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</si>
  <si>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</si>
  <si>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</si>
  <si>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</si>
  <si>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</si>
  <si>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</si>
  <si>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</si>
  <si>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</si>
  <si>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</si>
  <si>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</si>
  <si>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</si>
  <si>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</si>
  <si>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</si>
  <si>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</si>
  <si>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</si>
  <si>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</si>
  <si>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</si>
  <si>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</si>
  <si>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</si>
  <si>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</si>
  <si>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</si>
  <si>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</si>
  <si>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</si>
  <si>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</si>
  <si>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</si>
  <si>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</si>
  <si>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</si>
  <si>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</si>
  <si>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</si>
  <si>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</si>
  <si>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</si>
  <si>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</si>
  <si>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</si>
  <si>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</si>
  <si>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</si>
  <si>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</si>
  <si>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</si>
  <si>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</si>
  <si>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</si>
  <si>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</si>
  <si>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</si>
  <si>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</si>
  <si>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</si>
  <si>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</si>
  <si>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</si>
  <si>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</si>
  <si>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</si>
  <si>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</si>
  <si>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</si>
  <si>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</si>
  <si>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</si>
  <si>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</si>
  <si>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</si>
  <si>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</si>
  <si>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</si>
  <si>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</si>
  <si>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</si>
  <si>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</si>
  <si>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</si>
  <si>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</si>
  <si>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</si>
  <si>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</si>
  <si>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</si>
  <si>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</si>
  <si>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</si>
  <si>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</si>
  <si>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</si>
  <si>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</si>
  <si>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</si>
  <si>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</si>
  <si>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</si>
  <si>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</si>
  <si>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</si>
  <si>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</si>
  <si>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</si>
  <si>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</si>
  <si>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</si>
  <si>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</si>
  <si>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</si>
  <si>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</si>
  <si>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</si>
  <si>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</si>
  <si>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</si>
  <si>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</si>
  <si>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</si>
  <si>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</si>
  <si>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</si>
  <si>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</si>
  <si>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</si>
  <si>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</si>
  <si>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</si>
  <si>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</si>
  <si>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</si>
  <si>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</si>
  <si>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</si>
  <si>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</si>
  <si>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</si>
  <si>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</si>
  <si>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</si>
  <si>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</si>
  <si>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</si>
  <si>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</si>
  <si>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</si>
  <si>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</si>
  <si>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</si>
  <si>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</si>
  <si>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</si>
  <si>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</si>
  <si>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</si>
  <si>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</si>
  <si>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</si>
  <si>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</si>
  <si>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</si>
  <si>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</si>
  <si>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</si>
  <si>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</si>
  <si>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</si>
  <si>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</si>
  <si>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</si>
  <si>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</si>
  <si>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</si>
  <si>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</si>
  <si>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</si>
  <si>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</si>
  <si>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</si>
  <si>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</si>
  <si>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</si>
  <si>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</si>
  <si>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</si>
  <si>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</si>
  <si>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</si>
  <si>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</si>
  <si>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</si>
  <si>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</si>
  <si>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</si>
  <si>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</si>
  <si>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</si>
  <si>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</si>
  <si>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</si>
  <si>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</si>
  <si>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</si>
  <si>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</si>
  <si>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</si>
  <si>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</si>
  <si>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</si>
  <si>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</si>
  <si>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</si>
  <si>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</si>
  <si>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</si>
  <si>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</si>
  <si>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</si>
  <si>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</si>
  <si>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</si>
  <si>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</si>
  <si>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</si>
  <si>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</si>
  <si>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</si>
  <si>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</si>
  <si>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</si>
  <si>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</si>
  <si>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</si>
  <si>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</si>
  <si>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</si>
  <si>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</si>
  <si>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</si>
  <si>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</si>
  <si>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</si>
  <si>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</si>
  <si>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</si>
  <si>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</si>
  <si>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</si>
  <si>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</si>
  <si>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</si>
  <si>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</si>
  <si>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</si>
  <si>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</si>
  <si>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</si>
  <si>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</si>
  <si>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</si>
  <si>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</si>
  <si>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</si>
  <si>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</si>
  <si>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</si>
  <si>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</si>
  <si>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</si>
  <si>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</si>
  <si>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</si>
  <si>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</si>
  <si>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</si>
  <si>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</si>
  <si>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</si>
  <si>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</si>
  <si>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</si>
  <si>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</si>
  <si>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</si>
  <si>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</si>
  <si>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</si>
  <si>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</si>
  <si>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</si>
  <si>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</si>
  <si>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</si>
  <si>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</si>
  <si>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</si>
  <si>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</si>
  <si>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</si>
  <si>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</si>
  <si>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</si>
  <si>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</si>
  <si>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</si>
  <si>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</si>
  <si>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</si>
  <si>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</si>
  <si>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</si>
  <si>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</si>
  <si>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</si>
  <si>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</si>
  <si>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</si>
  <si>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</si>
  <si>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</si>
  <si>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</si>
  <si>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</si>
  <si>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</si>
  <si>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</si>
  <si>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</si>
  <si>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</si>
  <si>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</si>
  <si>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</si>
  <si>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</si>
  <si>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</si>
  <si>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</si>
  <si>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</si>
  <si>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</si>
  <si>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</si>
  <si>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</si>
  <si>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</si>
  <si>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</si>
  <si>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</si>
  <si>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</si>
  <si>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</si>
  <si>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</si>
  <si>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</si>
  <si>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</si>
  <si>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</si>
  <si>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</si>
  <si>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</si>
  <si>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</si>
  <si>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</si>
  <si>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</si>
  <si>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</si>
  <si>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</si>
  <si>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</si>
  <si>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</si>
  <si>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</si>
  <si>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</si>
  <si>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</si>
  <si>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</si>
  <si>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</si>
  <si>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</si>
  <si>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</si>
  <si>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</si>
  <si>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</si>
  <si>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</si>
  <si>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</si>
  <si>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</si>
  <si>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</si>
  <si>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</si>
  <si>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</si>
  <si>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</si>
  <si>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</si>
  <si>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</si>
  <si>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</si>
  <si>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</si>
  <si>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</si>
  <si>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</si>
  <si>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</si>
  <si>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</si>
  <si>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</si>
  <si>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</si>
  <si>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</si>
  <si>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</si>
  <si>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</si>
  <si>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</si>
  <si>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</si>
  <si>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</si>
  <si>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</si>
  <si>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</si>
  <si>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</si>
  <si>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</si>
  <si>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</si>
  <si>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</si>
  <si>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</si>
  <si>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</si>
  <si>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</si>
  <si>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</si>
  <si>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</si>
  <si>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</si>
  <si>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</si>
  <si>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</si>
  <si>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</si>
  <si>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</si>
  <si>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</si>
  <si>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</si>
  <si>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</si>
  <si>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</si>
  <si>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</si>
  <si>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</si>
  <si>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</si>
  <si>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</si>
  <si>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</si>
  <si>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</si>
  <si>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</si>
  <si>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</si>
  <si>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</si>
  <si>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</si>
  <si>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</si>
  <si>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</si>
  <si>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</si>
  <si>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</si>
  <si>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</si>
  <si>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</si>
  <si>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</si>
  <si>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</si>
  <si>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</si>
  <si>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</si>
  <si>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</si>
  <si>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</si>
  <si>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</si>
  <si>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</si>
  <si>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</si>
  <si>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</si>
  <si>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</si>
  <si>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</si>
  <si>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</si>
  <si>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</si>
  <si>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</si>
  <si>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</si>
  <si>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</si>
  <si>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</si>
  <si>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</si>
  <si>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</si>
  <si>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</si>
  <si>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</si>
  <si>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</si>
  <si>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</si>
  <si>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</si>
  <si>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</si>
  <si>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</si>
  <si>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</si>
  <si>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</si>
  <si>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</si>
  <si>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</si>
  <si>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</si>
  <si>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</si>
  <si>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</si>
  <si>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</si>
  <si>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</si>
  <si>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</si>
  <si>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</si>
  <si>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</si>
  <si>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</si>
  <si>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</si>
  <si>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</si>
  <si>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</si>
  <si>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</si>
  <si>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</si>
  <si>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</si>
  <si>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</si>
  <si>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</si>
  <si>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</si>
  <si>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</si>
  <si>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</si>
  <si>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</si>
  <si>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</si>
  <si>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</si>
  <si>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</si>
  <si>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</si>
  <si>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</si>
  <si>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</si>
  <si>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</si>
  <si>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</si>
  <si>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</si>
  <si>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</si>
  <si>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</si>
  <si>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</si>
  <si>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</si>
  <si>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</si>
  <si>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</si>
  <si>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</si>
  <si>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</si>
  <si>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</si>
  <si>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</si>
  <si>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</si>
  <si>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</si>
  <si>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</si>
  <si>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</si>
  <si>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</si>
  <si>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</si>
  <si>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</si>
  <si>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</si>
  <si>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</si>
  <si>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</si>
  <si>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</si>
  <si>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</si>
  <si>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</si>
  <si>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</si>
  <si>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</si>
  <si>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</si>
  <si>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</si>
  <si>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</si>
  <si>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</si>
  <si>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</si>
  <si>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</si>
  <si>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</si>
  <si>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</si>
  <si>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</si>
  <si>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</si>
  <si>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</si>
  <si>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</si>
  <si>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</si>
  <si>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</si>
  <si>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</si>
  <si>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</si>
  <si>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</si>
  <si>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</si>
  <si>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</si>
  <si>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</si>
  <si>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</si>
  <si>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</si>
  <si>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</si>
  <si>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</si>
  <si>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</si>
  <si>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</si>
  <si>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</si>
  <si>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</si>
  <si>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</si>
  <si>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</si>
  <si>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</si>
  <si>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</si>
  <si>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</si>
  <si>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</si>
  <si>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</si>
  <si>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</si>
  <si>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</si>
  <si>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</si>
  <si>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</si>
  <si>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</si>
  <si>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</si>
  <si>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</si>
  <si>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</si>
  <si>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</si>
  <si>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</si>
  <si>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</si>
  <si>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</si>
  <si>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</si>
  <si>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</si>
  <si>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</si>
  <si>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</si>
  <si>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</si>
  <si>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</si>
  <si>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</si>
  <si>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</si>
  <si>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</si>
  <si>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</si>
  <si>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</si>
  <si>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</si>
  <si>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</si>
  <si>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</si>
  <si>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</si>
  <si>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</si>
  <si>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</si>
  <si>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</si>
  <si>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</si>
  <si>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</si>
  <si>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</si>
  <si>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</si>
  <si>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</si>
  <si>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</si>
  <si>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</si>
  <si>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</si>
  <si>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</si>
  <si>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</si>
  <si>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</si>
  <si>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</si>
  <si>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</si>
  <si>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</si>
  <si>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</si>
  <si>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</si>
  <si>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</si>
  <si>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</si>
  <si>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</si>
  <si>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</si>
  <si>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</si>
  <si>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</si>
  <si>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</si>
  <si>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</si>
  <si>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</si>
  <si>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</si>
  <si>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</si>
  <si>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</si>
  <si>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</si>
  <si>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</si>
  <si>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</si>
  <si>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</si>
  <si>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</si>
  <si>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</si>
  <si>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</si>
  <si>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</si>
  <si>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</si>
  <si>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</si>
  <si>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</si>
  <si>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</si>
  <si>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</si>
  <si>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</si>
  <si>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</si>
  <si>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</si>
  <si>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</si>
  <si>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</si>
  <si>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</si>
  <si>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</si>
  <si>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</si>
  <si>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</si>
  <si>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</si>
  <si>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</si>
  <si>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</si>
  <si>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</si>
  <si>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</si>
  <si>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</si>
  <si>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</si>
  <si>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</si>
  <si>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</si>
  <si>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</si>
  <si>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</si>
  <si>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</si>
  <si>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</si>
  <si>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</si>
  <si>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</si>
  <si>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</si>
  <si>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</si>
  <si>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</si>
  <si>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</si>
  <si>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</si>
  <si>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</si>
  <si>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</si>
  <si>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</si>
  <si>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</si>
  <si>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</si>
  <si>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</si>
  <si>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</si>
  <si>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</si>
  <si>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</si>
  <si>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</si>
  <si>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</si>
  <si>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</si>
  <si>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</si>
  <si>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</si>
  <si>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</si>
  <si>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</si>
  <si>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</si>
  <si>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</si>
  <si>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</si>
  <si>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</si>
  <si>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</si>
  <si>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</si>
  <si>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</si>
  <si>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</si>
  <si>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</si>
  <si>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</si>
  <si>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</si>
  <si>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</si>
  <si>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</si>
  <si>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</si>
  <si>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</si>
  <si>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</si>
  <si>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</si>
  <si>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</si>
  <si>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</si>
  <si>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</si>
  <si>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</si>
  <si>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</si>
  <si>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</si>
  <si>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</si>
  <si>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</si>
  <si>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</si>
  <si>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</si>
  <si>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</si>
  <si>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</si>
  <si>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</si>
  <si>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</si>
  <si>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</si>
  <si>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</si>
  <si>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</si>
  <si>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</si>
  <si>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</si>
  <si>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</si>
  <si>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</si>
  <si>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</si>
  <si>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</si>
  <si>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</si>
  <si>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</si>
  <si>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</si>
  <si>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</si>
  <si>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</si>
  <si>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</si>
  <si>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</si>
  <si>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</si>
  <si>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</si>
  <si>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</si>
  <si>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</si>
  <si>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</si>
  <si>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</si>
  <si>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</si>
  <si>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</si>
  <si>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</si>
  <si>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</si>
  <si>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</si>
  <si>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</si>
  <si>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</si>
  <si>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</si>
  <si>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</si>
  <si>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</si>
  <si>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</si>
  <si>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</si>
  <si>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</si>
  <si>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</si>
  <si>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</si>
  <si>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</si>
  <si>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</si>
  <si>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</si>
  <si>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</si>
  <si>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</si>
  <si>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</si>
  <si>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</si>
  <si>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</si>
  <si>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</si>
  <si>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</si>
  <si>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</si>
  <si>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</si>
  <si>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</si>
  <si>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</si>
  <si>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</si>
  <si>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</si>
  <si>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</si>
  <si>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</si>
  <si>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</si>
  <si>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</si>
  <si>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</si>
  <si>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</si>
  <si>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</si>
  <si>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</si>
  <si>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</si>
  <si>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</si>
  <si>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</si>
  <si>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</si>
  <si>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</si>
  <si>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</si>
  <si>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</si>
  <si>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</si>
  <si>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</si>
  <si>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</si>
  <si>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</si>
  <si>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</si>
  <si>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</si>
  <si>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</si>
  <si>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</si>
  <si>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</si>
  <si>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</si>
  <si>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</si>
  <si>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</si>
  <si>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</si>
  <si>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</si>
  <si>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</si>
  <si>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</si>
  <si>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</si>
  <si>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</si>
  <si>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</si>
  <si>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</si>
  <si>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</si>
  <si>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</si>
  <si>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</si>
  <si>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</si>
  <si>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</si>
  <si>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</si>
  <si>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</si>
  <si>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</si>
  <si>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</si>
  <si>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</si>
  <si>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</si>
  <si>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</si>
  <si>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</si>
  <si>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</si>
  <si>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</si>
  <si>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</si>
  <si>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</si>
  <si>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</si>
  <si>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</si>
  <si>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</si>
  <si>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</si>
  <si>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</si>
  <si>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</si>
  <si>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</si>
  <si>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</si>
  <si>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</si>
  <si>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</si>
  <si>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</si>
  <si>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</si>
  <si>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</si>
  <si>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</si>
  <si>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</si>
  <si>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</si>
  <si>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</si>
  <si>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</si>
  <si>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</si>
  <si>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</si>
  <si>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</si>
  <si>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</si>
  <si>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</si>
  <si>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</si>
  <si>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</si>
  <si>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</si>
  <si>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</si>
  <si>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</si>
  <si>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</si>
  <si>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</si>
  <si>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</si>
  <si>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</si>
  <si>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</si>
  <si>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</si>
  <si>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</si>
  <si>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</si>
  <si>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</si>
  <si>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</si>
  <si>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</si>
  <si>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</si>
  <si>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</si>
  <si>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</si>
  <si>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</si>
  <si>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</si>
  <si>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</si>
  <si>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</si>
  <si>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</si>
  <si>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</si>
  <si>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</si>
  <si>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</si>
  <si>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</si>
  <si>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</si>
  <si>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</si>
  <si>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</si>
  <si>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</si>
  <si>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</si>
  <si>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</si>
  <si>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</si>
  <si>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</si>
  <si>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</si>
  <si>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</si>
  <si>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</si>
  <si>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</si>
  <si>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</si>
  <si>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</si>
  <si>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</si>
  <si>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</si>
  <si>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</si>
  <si>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</si>
  <si>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</si>
  <si>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</si>
  <si>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</si>
  <si>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</si>
  <si>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</si>
  <si>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</si>
  <si>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</si>
  <si>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</si>
  <si>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</si>
  <si>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</si>
  <si>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</si>
  <si>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</si>
  <si>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</si>
  <si>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</si>
  <si>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</si>
  <si>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</si>
  <si>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</si>
  <si>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</si>
  <si>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</si>
  <si>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</si>
  <si>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</si>
  <si>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</si>
  <si>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</si>
  <si>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</si>
  <si>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</si>
  <si>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</si>
  <si>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</si>
  <si>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</si>
  <si>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</si>
  <si>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</si>
  <si>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</si>
  <si>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</si>
  <si>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</si>
  <si>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</si>
  <si>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</si>
  <si>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</si>
  <si>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</si>
  <si>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</si>
  <si>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</si>
  <si>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</si>
  <si>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</si>
  <si>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</si>
  <si>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</si>
  <si>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</si>
  <si>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</si>
  <si>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</si>
  <si>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</si>
  <si>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</si>
  <si>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</si>
  <si>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</si>
  <si>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</si>
  <si>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</si>
  <si>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</si>
  <si>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</si>
  <si>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</si>
  <si>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</si>
  <si>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</si>
  <si>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</si>
  <si>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</si>
  <si>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</si>
  <si>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</si>
  <si>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</si>
  <si>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</si>
  <si>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</si>
  <si>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</si>
  <si>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</si>
  <si>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</si>
  <si>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</si>
  <si>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</si>
  <si>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</si>
  <si>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</si>
  <si>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</si>
  <si>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</si>
  <si>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</si>
  <si>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</si>
  <si>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</si>
  <si>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</si>
  <si>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</si>
  <si>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</si>
  <si>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</si>
  <si>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</si>
  <si>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</si>
  <si>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</si>
  <si>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</si>
  <si>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</si>
  <si>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</si>
  <si>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</si>
  <si>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</si>
  <si>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</si>
  <si>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</si>
  <si>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</si>
  <si>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</si>
  <si>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24038</t>
  </si>
  <si>
    <t>HERENT</t>
  </si>
  <si>
    <t>Paarden&amp;pony's 200 - 600 kg</t>
  </si>
  <si>
    <t>Paarden&amp;pony's &lt; 200 kg</t>
  </si>
  <si>
    <t>referentietaak LNE (2017); Jaarverslag De Lijn (2015)</t>
  </si>
  <si>
    <t>op basis van VEA (maart 2018) en Inventaris Hernieuwbare Energiebronnen (juni 2018)</t>
  </si>
  <si>
    <t>VEA (januari 2017)</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</si>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</sst>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156059.68809474341</c:v>
                </c:pt>
                <c:pt idx="1">
                  <c:v>49608.262060586305</c:v>
                </c:pt>
                <c:pt idx="2">
                  <c:v>1526.9190000000001</c:v>
                </c:pt>
                <c:pt idx="3">
                  <c:v>15730.208880629671</c:v>
                </c:pt>
                <c:pt idx="4">
                  <c:v>22096.940164873398</c:v>
                </c:pt>
                <c:pt idx="5">
                  <c:v>101502.01187876958</c:v>
                </c:pt>
                <c:pt idx="6">
                  <c:v>4934.0258787913499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156059.68809474341</c:v>
                </c:pt>
                <c:pt idx="1">
                  <c:v>49608.262060586305</c:v>
                </c:pt>
                <c:pt idx="2">
                  <c:v>1526.9190000000001</c:v>
                </c:pt>
                <c:pt idx="3">
                  <c:v>15730.208880629671</c:v>
                </c:pt>
                <c:pt idx="4">
                  <c:v>22096.940164873398</c:v>
                </c:pt>
                <c:pt idx="5">
                  <c:v>101502.01187876958</c:v>
                </c:pt>
                <c:pt idx="6">
                  <c:v>4934.0258787913499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30967.184926101148</c:v>
                </c:pt>
                <c:pt idx="2">
                  <c:v>10010.602243972142</c:v>
                </c:pt>
                <c:pt idx="3">
                  <c:v>319.21214222007353</c:v>
                </c:pt>
                <c:pt idx="4">
                  <c:v>3793.1361360990804</c:v>
                </c:pt>
                <c:pt idx="5">
                  <c:v>4090.5303078702559</c:v>
                </c:pt>
                <c:pt idx="6">
                  <c:v>25936.337872165623</c:v>
                </c:pt>
                <c:pt idx="7">
                  <c:v>1277.751904134705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30967.184926101148</c:v>
                </c:pt>
                <c:pt idx="2">
                  <c:v>10010.602243972142</c:v>
                </c:pt>
                <c:pt idx="3">
                  <c:v>319.21214222007353</c:v>
                </c:pt>
                <c:pt idx="4">
                  <c:v>3793.1361360990804</c:v>
                </c:pt>
                <c:pt idx="5">
                  <c:v>4090.5303078702559</c:v>
                </c:pt>
                <c:pt idx="6">
                  <c:v>25936.337872165623</c:v>
                </c:pt>
                <c:pt idx="7">
                  <c:v>1277.751904134705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24038</v>
      </c>
      <c r="B6" s="415"/>
      <c r="C6" s="416"/>
    </row>
    <row r="7" spans="1:7" s="413" customFormat="1" ht="15.75" customHeight="1">
      <c r="A7" s="417" t="str">
        <f>txtMunicipality</f>
        <v>HERENT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22036.942532290002</v>
      </c>
      <c r="D10" s="1012">
        <f ca="1">tertiair!C16</f>
        <v>0</v>
      </c>
      <c r="E10" s="1012">
        <f ca="1">tertiair!D16</f>
        <v>21389.015405446262</v>
      </c>
      <c r="F10" s="1012">
        <f>tertiair!E16</f>
        <v>410.2181514661936</v>
      </c>
      <c r="G10" s="1012">
        <f ca="1">tertiair!F16</f>
        <v>4903.1856164267429</v>
      </c>
      <c r="H10" s="1012">
        <f>tertiair!G16</f>
        <v>0</v>
      </c>
      <c r="I10" s="1012">
        <f>tertiair!H16</f>
        <v>0</v>
      </c>
      <c r="J10" s="1012">
        <f>tertiair!I16</f>
        <v>0</v>
      </c>
      <c r="K10" s="1012">
        <f>tertiair!J16</f>
        <v>0</v>
      </c>
      <c r="L10" s="1012">
        <f>tertiair!K16</f>
        <v>0</v>
      </c>
      <c r="M10" s="1012">
        <f ca="1">tertiair!L16</f>
        <v>0</v>
      </c>
      <c r="N10" s="1012">
        <f>tertiair!M16</f>
        <v>0</v>
      </c>
      <c r="O10" s="1012">
        <f ca="1">tertiair!N16</f>
        <v>2319.5526882904392</v>
      </c>
      <c r="P10" s="1012">
        <f>tertiair!O16</f>
        <v>0</v>
      </c>
      <c r="Q10" s="1013">
        <f>tertiair!P16</f>
        <v>76.266666666666666</v>
      </c>
      <c r="R10" s="700">
        <f ca="1">SUM(C10:Q10)</f>
        <v>51135.181060586314</v>
      </c>
      <c r="S10" s="67"/>
    </row>
    <row r="11" spans="1:19" s="473" customFormat="1">
      <c r="A11" s="809" t="s">
        <v>225</v>
      </c>
      <c r="B11" s="814"/>
      <c r="C11" s="1012">
        <f>huishoudens!B8</f>
        <v>35527.820954061812</v>
      </c>
      <c r="D11" s="1012">
        <f>huishoudens!C8</f>
        <v>0</v>
      </c>
      <c r="E11" s="1012">
        <f>huishoudens!D8</f>
        <v>81563.058359948001</v>
      </c>
      <c r="F11" s="1012">
        <f>huishoudens!E8</f>
        <v>4907.3578784950914</v>
      </c>
      <c r="G11" s="1012">
        <f>huishoudens!F8</f>
        <v>22285.242113559558</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10547.085455345627</v>
      </c>
      <c r="P11" s="1012">
        <f>huishoudens!O8</f>
        <v>332.99</v>
      </c>
      <c r="Q11" s="1013">
        <f>huishoudens!P8</f>
        <v>896.13333333333333</v>
      </c>
      <c r="R11" s="700">
        <f>SUM(C11:Q11)</f>
        <v>156059.68809474341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9650.174345170999</v>
      </c>
      <c r="D13" s="1012">
        <f>industrie!C18</f>
        <v>0</v>
      </c>
      <c r="E13" s="1012">
        <f>industrie!D18</f>
        <v>5908.7402965162</v>
      </c>
      <c r="F13" s="1012">
        <f>industrie!E18</f>
        <v>670.14909017944979</v>
      </c>
      <c r="G13" s="1012">
        <f>industrie!F18</f>
        <v>2578.9296872583873</v>
      </c>
      <c r="H13" s="1012">
        <f>industrie!G18</f>
        <v>0</v>
      </c>
      <c r="I13" s="1012">
        <f>industrie!H18</f>
        <v>0</v>
      </c>
      <c r="J13" s="1012">
        <f>industrie!I18</f>
        <v>0</v>
      </c>
      <c r="K13" s="1012">
        <f>industrie!J18</f>
        <v>109.7070258353796</v>
      </c>
      <c r="L13" s="1012">
        <f>industrie!K18</f>
        <v>0</v>
      </c>
      <c r="M13" s="1012">
        <f>industrie!L18</f>
        <v>0</v>
      </c>
      <c r="N13" s="1012">
        <f>industrie!M18</f>
        <v>0</v>
      </c>
      <c r="O13" s="1012">
        <f>industrie!N18</f>
        <v>3179.2397199129855</v>
      </c>
      <c r="P13" s="1012">
        <f>industrie!O18</f>
        <v>0</v>
      </c>
      <c r="Q13" s="1013">
        <f>industrie!P18</f>
        <v>0</v>
      </c>
      <c r="R13" s="700">
        <f>SUM(C13:Q13)</f>
        <v>22096.940164873398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67214.93783152281</v>
      </c>
      <c r="D16" s="732">
        <f t="shared" ref="D16:R16" ca="1" si="0">SUM(D9:D15)</f>
        <v>0</v>
      </c>
      <c r="E16" s="732">
        <f t="shared" ca="1" si="0"/>
        <v>108860.81406191047</v>
      </c>
      <c r="F16" s="732">
        <f t="shared" si="0"/>
        <v>5987.7251201407344</v>
      </c>
      <c r="G16" s="732">
        <f t="shared" ca="1" si="0"/>
        <v>29767.35741724469</v>
      </c>
      <c r="H16" s="732">
        <f t="shared" si="0"/>
        <v>0</v>
      </c>
      <c r="I16" s="732">
        <f t="shared" si="0"/>
        <v>0</v>
      </c>
      <c r="J16" s="732">
        <f t="shared" si="0"/>
        <v>0</v>
      </c>
      <c r="K16" s="732">
        <f t="shared" si="0"/>
        <v>109.7070258353796</v>
      </c>
      <c r="L16" s="732">
        <f t="shared" si="0"/>
        <v>0</v>
      </c>
      <c r="M16" s="732">
        <f t="shared" ca="1" si="0"/>
        <v>0</v>
      </c>
      <c r="N16" s="732">
        <f t="shared" si="0"/>
        <v>0</v>
      </c>
      <c r="O16" s="732">
        <f t="shared" ca="1" si="0"/>
        <v>16045.877863549053</v>
      </c>
      <c r="P16" s="732">
        <f t="shared" si="0"/>
        <v>332.99</v>
      </c>
      <c r="Q16" s="732">
        <f t="shared" si="0"/>
        <v>972.4</v>
      </c>
      <c r="R16" s="732">
        <f t="shared" ca="1" si="0"/>
        <v>229291.80932020312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4785.5876559352246</v>
      </c>
      <c r="I19" s="1012">
        <f>transport!H54</f>
        <v>0</v>
      </c>
      <c r="J19" s="1012">
        <f>transport!I54</f>
        <v>0</v>
      </c>
      <c r="K19" s="1012">
        <f>transport!J54</f>
        <v>0</v>
      </c>
      <c r="L19" s="1012">
        <f>transport!K54</f>
        <v>0</v>
      </c>
      <c r="M19" s="1012">
        <f>transport!L54</f>
        <v>0</v>
      </c>
      <c r="N19" s="1012">
        <f>transport!M54</f>
        <v>148.43822285612563</v>
      </c>
      <c r="O19" s="1012">
        <f>transport!N54</f>
        <v>0</v>
      </c>
      <c r="P19" s="1012">
        <f>transport!O54</f>
        <v>0</v>
      </c>
      <c r="Q19" s="1013">
        <f>transport!P54</f>
        <v>0</v>
      </c>
      <c r="R19" s="700">
        <f>SUM(C19:Q19)</f>
        <v>4934.0258787913499</v>
      </c>
      <c r="S19" s="67"/>
    </row>
    <row r="20" spans="1:19" s="473" customFormat="1">
      <c r="A20" s="809" t="s">
        <v>307</v>
      </c>
      <c r="B20" s="814"/>
      <c r="C20" s="1012">
        <f>transport!B14</f>
        <v>27.756668540886057</v>
      </c>
      <c r="D20" s="1012">
        <f>transport!C14</f>
        <v>0</v>
      </c>
      <c r="E20" s="1012">
        <f>transport!D14</f>
        <v>68.470430588737344</v>
      </c>
      <c r="F20" s="1012">
        <f>transport!E14</f>
        <v>266.19169375857251</v>
      </c>
      <c r="G20" s="1012">
        <f>transport!F14</f>
        <v>0</v>
      </c>
      <c r="H20" s="1012">
        <f>transport!G14</f>
        <v>79715.582510891603</v>
      </c>
      <c r="I20" s="1012">
        <f>transport!H14</f>
        <v>18362.321654413168</v>
      </c>
      <c r="J20" s="1012">
        <f>transport!I14</f>
        <v>0</v>
      </c>
      <c r="K20" s="1012">
        <f>transport!J14</f>
        <v>0</v>
      </c>
      <c r="L20" s="1012">
        <f>transport!K14</f>
        <v>0</v>
      </c>
      <c r="M20" s="1012">
        <f>transport!L14</f>
        <v>0</v>
      </c>
      <c r="N20" s="1012">
        <f>transport!M14</f>
        <v>3061.6889205766038</v>
      </c>
      <c r="O20" s="1012">
        <f>transport!N14</f>
        <v>0</v>
      </c>
      <c r="P20" s="1012">
        <f>transport!O14</f>
        <v>0</v>
      </c>
      <c r="Q20" s="1013">
        <f>transport!P14</f>
        <v>0</v>
      </c>
      <c r="R20" s="700">
        <f>SUM(C20:Q20)</f>
        <v>101502.01187876958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27.756668540886057</v>
      </c>
      <c r="D22" s="812">
        <f t="shared" ref="D22:R22" si="1">SUM(D18:D21)</f>
        <v>0</v>
      </c>
      <c r="E22" s="812">
        <f t="shared" si="1"/>
        <v>68.470430588737344</v>
      </c>
      <c r="F22" s="812">
        <f t="shared" si="1"/>
        <v>266.19169375857251</v>
      </c>
      <c r="G22" s="812">
        <f t="shared" si="1"/>
        <v>0</v>
      </c>
      <c r="H22" s="812">
        <f t="shared" si="1"/>
        <v>84501.170166826822</v>
      </c>
      <c r="I22" s="812">
        <f t="shared" si="1"/>
        <v>18362.321654413168</v>
      </c>
      <c r="J22" s="812">
        <f t="shared" si="1"/>
        <v>0</v>
      </c>
      <c r="K22" s="812">
        <f t="shared" si="1"/>
        <v>0</v>
      </c>
      <c r="L22" s="812">
        <f t="shared" si="1"/>
        <v>0</v>
      </c>
      <c r="M22" s="812">
        <f t="shared" si="1"/>
        <v>0</v>
      </c>
      <c r="N22" s="812">
        <f t="shared" si="1"/>
        <v>3210.1271434327296</v>
      </c>
      <c r="O22" s="812">
        <f t="shared" si="1"/>
        <v>0</v>
      </c>
      <c r="P22" s="812">
        <f t="shared" si="1"/>
        <v>0</v>
      </c>
      <c r="Q22" s="812">
        <f t="shared" si="1"/>
        <v>0</v>
      </c>
      <c r="R22" s="812">
        <f t="shared" si="1"/>
        <v>106436.03775756093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576.80844331000003</v>
      </c>
      <c r="D24" s="1012">
        <f>+landbouw!C8</f>
        <v>12947.142857142855</v>
      </c>
      <c r="E24" s="1012">
        <f>+landbouw!D8</f>
        <v>0</v>
      </c>
      <c r="F24" s="1012">
        <f>+landbouw!E8</f>
        <v>14.873675064593245</v>
      </c>
      <c r="G24" s="1012">
        <f>+landbouw!F8</f>
        <v>2108.3447081299846</v>
      </c>
      <c r="H24" s="1012">
        <f>+landbouw!G8</f>
        <v>0</v>
      </c>
      <c r="I24" s="1012">
        <f>+landbouw!H8</f>
        <v>0</v>
      </c>
      <c r="J24" s="1012">
        <f>+landbouw!I8</f>
        <v>0</v>
      </c>
      <c r="K24" s="1012">
        <f>+landbouw!J8</f>
        <v>83.039196982238494</v>
      </c>
      <c r="L24" s="1012">
        <f>+landbouw!K8</f>
        <v>0</v>
      </c>
      <c r="M24" s="1012">
        <f>+landbouw!L8</f>
        <v>0</v>
      </c>
      <c r="N24" s="1012">
        <f>+landbouw!M8</f>
        <v>0</v>
      </c>
      <c r="O24" s="1012">
        <f>+landbouw!N8</f>
        <v>0</v>
      </c>
      <c r="P24" s="1012">
        <f>+landbouw!O8</f>
        <v>0</v>
      </c>
      <c r="Q24" s="1013">
        <f>+landbouw!P8</f>
        <v>0</v>
      </c>
      <c r="R24" s="700">
        <f>SUM(C24:Q24)</f>
        <v>15730.208880629671</v>
      </c>
      <c r="S24" s="67"/>
    </row>
    <row r="25" spans="1:19" s="473" customFormat="1" ht="15" thickBot="1">
      <c r="A25" s="831" t="s">
        <v>848</v>
      </c>
      <c r="B25" s="1015"/>
      <c r="C25" s="1016">
        <f>IF(Onbekend_ele_kWh="---",0,Onbekend_ele_kWh)/1000+IF(REST_rest_ele_kWh="---",0,REST_rest_ele_kWh)/1000</f>
        <v>1175.3707089</v>
      </c>
      <c r="D25" s="1016"/>
      <c r="E25" s="1016">
        <f>IF(onbekend_gas_kWh="---",0,onbekend_gas_kWh)/1000+IF(REST_rest_gas_kWh="---",0,REST_rest_gas_kWh)/1000</f>
        <v>2617.7154497000001</v>
      </c>
      <c r="F25" s="1016"/>
      <c r="G25" s="1016"/>
      <c r="H25" s="1016"/>
      <c r="I25" s="1016"/>
      <c r="J25" s="1016"/>
      <c r="K25" s="1016"/>
      <c r="L25" s="1016"/>
      <c r="M25" s="1016"/>
      <c r="N25" s="1016"/>
      <c r="O25" s="1016"/>
      <c r="P25" s="1016"/>
      <c r="Q25" s="1017"/>
      <c r="R25" s="700">
        <f>SUM(C25:Q25)</f>
        <v>3793.0861586000001</v>
      </c>
      <c r="S25" s="67"/>
    </row>
    <row r="26" spans="1:19" s="473" customFormat="1" ht="15.75" thickBot="1">
      <c r="A26" s="705" t="s">
        <v>849</v>
      </c>
      <c r="B26" s="817"/>
      <c r="C26" s="812">
        <f>SUM(C24:C25)</f>
        <v>1752.17915221</v>
      </c>
      <c r="D26" s="812">
        <f t="shared" ref="D26:R26" si="2">SUM(D24:D25)</f>
        <v>12947.142857142855</v>
      </c>
      <c r="E26" s="812">
        <f t="shared" si="2"/>
        <v>2617.7154497000001</v>
      </c>
      <c r="F26" s="812">
        <f t="shared" si="2"/>
        <v>14.873675064593245</v>
      </c>
      <c r="G26" s="812">
        <f t="shared" si="2"/>
        <v>2108.3447081299846</v>
      </c>
      <c r="H26" s="812">
        <f t="shared" si="2"/>
        <v>0</v>
      </c>
      <c r="I26" s="812">
        <f t="shared" si="2"/>
        <v>0</v>
      </c>
      <c r="J26" s="812">
        <f t="shared" si="2"/>
        <v>0</v>
      </c>
      <c r="K26" s="812">
        <f t="shared" si="2"/>
        <v>83.039196982238494</v>
      </c>
      <c r="L26" s="812">
        <f t="shared" si="2"/>
        <v>0</v>
      </c>
      <c r="M26" s="812">
        <f t="shared" si="2"/>
        <v>0</v>
      </c>
      <c r="N26" s="812">
        <f t="shared" si="2"/>
        <v>0</v>
      </c>
      <c r="O26" s="812">
        <f t="shared" si="2"/>
        <v>0</v>
      </c>
      <c r="P26" s="812">
        <f t="shared" si="2"/>
        <v>0</v>
      </c>
      <c r="Q26" s="812">
        <f t="shared" si="2"/>
        <v>0</v>
      </c>
      <c r="R26" s="812">
        <f t="shared" si="2"/>
        <v>19523.29503922967</v>
      </c>
      <c r="S26" s="67"/>
    </row>
    <row r="27" spans="1:19" s="473" customFormat="1" ht="17.25" thickTop="1" thickBot="1">
      <c r="A27" s="706" t="s">
        <v>116</v>
      </c>
      <c r="B27" s="805"/>
      <c r="C27" s="707">
        <f ca="1">C22+C16+C26</f>
        <v>68994.873652273687</v>
      </c>
      <c r="D27" s="707">
        <f t="shared" ref="D27:R27" ca="1" si="3">D22+D16+D26</f>
        <v>12947.142857142855</v>
      </c>
      <c r="E27" s="707">
        <f t="shared" ca="1" si="3"/>
        <v>111546.99994219921</v>
      </c>
      <c r="F27" s="707">
        <f t="shared" si="3"/>
        <v>6268.7904889639003</v>
      </c>
      <c r="G27" s="707">
        <f t="shared" ca="1" si="3"/>
        <v>31875.702125374675</v>
      </c>
      <c r="H27" s="707">
        <f t="shared" si="3"/>
        <v>84501.170166826822</v>
      </c>
      <c r="I27" s="707">
        <f t="shared" si="3"/>
        <v>18362.321654413168</v>
      </c>
      <c r="J27" s="707">
        <f t="shared" si="3"/>
        <v>0</v>
      </c>
      <c r="K27" s="707">
        <f t="shared" si="3"/>
        <v>192.7462228176181</v>
      </c>
      <c r="L27" s="707">
        <f t="shared" si="3"/>
        <v>0</v>
      </c>
      <c r="M27" s="707">
        <f t="shared" ca="1" si="3"/>
        <v>0</v>
      </c>
      <c r="N27" s="707">
        <f t="shared" si="3"/>
        <v>3210.1271434327296</v>
      </c>
      <c r="O27" s="707">
        <f t="shared" ca="1" si="3"/>
        <v>16045.877863549053</v>
      </c>
      <c r="P27" s="707">
        <f t="shared" si="3"/>
        <v>332.99</v>
      </c>
      <c r="Q27" s="707">
        <f t="shared" si="3"/>
        <v>972.4</v>
      </c>
      <c r="R27" s="707">
        <f t="shared" ca="1" si="3"/>
        <v>355251.14211699372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4606.9631943233026</v>
      </c>
      <c r="D40" s="1012">
        <f ca="1">tertiair!C20</f>
        <v>0</v>
      </c>
      <c r="E40" s="1012">
        <f ca="1">tertiair!D20</f>
        <v>4320.5811119001455</v>
      </c>
      <c r="F40" s="1012">
        <f>tertiair!E20</f>
        <v>93.119520382825954</v>
      </c>
      <c r="G40" s="1012">
        <f ca="1">tertiair!F20</f>
        <v>1309.1505595859405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10329.814386192214</v>
      </c>
    </row>
    <row r="41" spans="1:18">
      <c r="A41" s="822" t="s">
        <v>225</v>
      </c>
      <c r="B41" s="829"/>
      <c r="C41" s="1012">
        <f ca="1">huishoudens!B12</f>
        <v>7427.3172546528585</v>
      </c>
      <c r="D41" s="1012">
        <f ca="1">huishoudens!C12</f>
        <v>0</v>
      </c>
      <c r="E41" s="1012">
        <f>huishoudens!D12</f>
        <v>16475.737788709499</v>
      </c>
      <c r="F41" s="1012">
        <f>huishoudens!E12</f>
        <v>1113.9702384183859</v>
      </c>
      <c r="G41" s="1012">
        <f>huishoudens!F12</f>
        <v>5950.1596443204025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30967.184926101148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2017.4304108595347</v>
      </c>
      <c r="D43" s="1012">
        <f ca="1">industrie!C22</f>
        <v>0</v>
      </c>
      <c r="E43" s="1012">
        <f>industrie!D22</f>
        <v>1193.5655398962724</v>
      </c>
      <c r="F43" s="1012">
        <f>industrie!E22</f>
        <v>152.1238434707351</v>
      </c>
      <c r="G43" s="1012">
        <f>industrie!F22</f>
        <v>688.57422649798946</v>
      </c>
      <c r="H43" s="1012">
        <f>industrie!G22</f>
        <v>0</v>
      </c>
      <c r="I43" s="1012">
        <f>industrie!H22</f>
        <v>0</v>
      </c>
      <c r="J43" s="1012">
        <f>industrie!I22</f>
        <v>0</v>
      </c>
      <c r="K43" s="1012">
        <f>industrie!J22</f>
        <v>38.836287145724377</v>
      </c>
      <c r="L43" s="1012">
        <f>industrie!K22</f>
        <v>0</v>
      </c>
      <c r="M43" s="1012">
        <f>industrie!L22</f>
        <v>0</v>
      </c>
      <c r="N43" s="1012">
        <f>industrie!M22</f>
        <v>0</v>
      </c>
      <c r="O43" s="1012">
        <f>industrie!N22</f>
        <v>0</v>
      </c>
      <c r="P43" s="1012">
        <f>industrie!O22</f>
        <v>0</v>
      </c>
      <c r="Q43" s="774">
        <f>industrie!P22</f>
        <v>0</v>
      </c>
      <c r="R43" s="849">
        <f t="shared" ca="1" si="4"/>
        <v>4090.5303078702559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14051.710859835697</v>
      </c>
      <c r="D46" s="732">
        <f t="shared" ref="D46:Q46" ca="1" si="5">SUM(D39:D45)</f>
        <v>0</v>
      </c>
      <c r="E46" s="732">
        <f t="shared" ca="1" si="5"/>
        <v>21989.884440505917</v>
      </c>
      <c r="F46" s="732">
        <f t="shared" si="5"/>
        <v>1359.2136022719469</v>
      </c>
      <c r="G46" s="732">
        <f t="shared" ca="1" si="5"/>
        <v>7947.8844304043323</v>
      </c>
      <c r="H46" s="732">
        <f t="shared" si="5"/>
        <v>0</v>
      </c>
      <c r="I46" s="732">
        <f t="shared" si="5"/>
        <v>0</v>
      </c>
      <c r="J46" s="732">
        <f t="shared" si="5"/>
        <v>0</v>
      </c>
      <c r="K46" s="732">
        <f t="shared" si="5"/>
        <v>38.836287145724377</v>
      </c>
      <c r="L46" s="732">
        <f t="shared" si="5"/>
        <v>0</v>
      </c>
      <c r="M46" s="732">
        <f t="shared" ca="1" si="5"/>
        <v>0</v>
      </c>
      <c r="N46" s="732">
        <f t="shared" si="5"/>
        <v>0</v>
      </c>
      <c r="O46" s="732">
        <f t="shared" ca="1" si="5"/>
        <v>0</v>
      </c>
      <c r="P46" s="732">
        <f t="shared" si="5"/>
        <v>0</v>
      </c>
      <c r="Q46" s="732">
        <f t="shared" si="5"/>
        <v>0</v>
      </c>
      <c r="R46" s="732">
        <f ca="1">SUM(R39:R45)</f>
        <v>45387.529620163623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1277.751904134705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1277.751904134705</v>
      </c>
    </row>
    <row r="50" spans="1:18">
      <c r="A50" s="825" t="s">
        <v>307</v>
      </c>
      <c r="B50" s="835"/>
      <c r="C50" s="703">
        <f ca="1">transport!B18</f>
        <v>5.8027083465650513</v>
      </c>
      <c r="D50" s="703">
        <f>transport!C18</f>
        <v>0</v>
      </c>
      <c r="E50" s="703">
        <f>transport!D18</f>
        <v>13.831026978924944</v>
      </c>
      <c r="F50" s="703">
        <f>transport!E18</f>
        <v>60.425514483195961</v>
      </c>
      <c r="G50" s="703">
        <f>transport!F18</f>
        <v>0</v>
      </c>
      <c r="H50" s="703">
        <f>transport!G18</f>
        <v>21284.06053040806</v>
      </c>
      <c r="I50" s="703">
        <f>transport!H18</f>
        <v>4572.2180919488792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25936.337872165623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5.8027083465650513</v>
      </c>
      <c r="D52" s="732">
        <f t="shared" ref="D52:Q52" ca="1" si="6">SUM(D48:D51)</f>
        <v>0</v>
      </c>
      <c r="E52" s="732">
        <f t="shared" si="6"/>
        <v>13.831026978924944</v>
      </c>
      <c r="F52" s="732">
        <f t="shared" si="6"/>
        <v>60.425514483195961</v>
      </c>
      <c r="G52" s="732">
        <f t="shared" si="6"/>
        <v>0</v>
      </c>
      <c r="H52" s="732">
        <f t="shared" si="6"/>
        <v>22561.812434542764</v>
      </c>
      <c r="I52" s="732">
        <f t="shared" si="6"/>
        <v>4572.2180919488792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27214.089776300327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120.58547888893317</v>
      </c>
      <c r="D54" s="703">
        <f ca="1">+landbouw!C12</f>
        <v>3076.8504201680662</v>
      </c>
      <c r="E54" s="703">
        <f>+landbouw!D12</f>
        <v>0</v>
      </c>
      <c r="F54" s="703">
        <f>+landbouw!E12</f>
        <v>3.3763242396626669</v>
      </c>
      <c r="G54" s="703">
        <f>+landbouw!F12</f>
        <v>562.92803707070595</v>
      </c>
      <c r="H54" s="703">
        <f>+landbouw!G12</f>
        <v>0</v>
      </c>
      <c r="I54" s="703">
        <f>+landbouw!H12</f>
        <v>0</v>
      </c>
      <c r="J54" s="703">
        <f>+landbouw!I12</f>
        <v>0</v>
      </c>
      <c r="K54" s="703">
        <f>+landbouw!J12</f>
        <v>29.395875731712426</v>
      </c>
      <c r="L54" s="703">
        <f>+landbouw!K12</f>
        <v>0</v>
      </c>
      <c r="M54" s="703">
        <f>+landbouw!L12</f>
        <v>0</v>
      </c>
      <c r="N54" s="703">
        <f>+landbouw!M12</f>
        <v>0</v>
      </c>
      <c r="O54" s="703">
        <f>+landbouw!N12</f>
        <v>0</v>
      </c>
      <c r="P54" s="703">
        <f>+landbouw!O12</f>
        <v>0</v>
      </c>
      <c r="Q54" s="704">
        <f>+landbouw!P12</f>
        <v>0</v>
      </c>
      <c r="R54" s="731">
        <f ca="1">SUM(C54:Q54)</f>
        <v>3793.1361360990804</v>
      </c>
    </row>
    <row r="55" spans="1:18" ht="15" thickBot="1">
      <c r="A55" s="825" t="s">
        <v>848</v>
      </c>
      <c r="B55" s="835"/>
      <c r="C55" s="703">
        <f ca="1">C25*'EF ele_warmte'!B12</f>
        <v>245.71873288019563</v>
      </c>
      <c r="D55" s="703"/>
      <c r="E55" s="703">
        <f>E25*EF_CO2_aardgas</f>
        <v>528.77852083940002</v>
      </c>
      <c r="F55" s="703"/>
      <c r="G55" s="703"/>
      <c r="H55" s="703"/>
      <c r="I55" s="703"/>
      <c r="J55" s="703"/>
      <c r="K55" s="703"/>
      <c r="L55" s="703"/>
      <c r="M55" s="703"/>
      <c r="N55" s="703"/>
      <c r="O55" s="703"/>
      <c r="P55" s="703"/>
      <c r="Q55" s="704"/>
      <c r="R55" s="731">
        <f ca="1">SUM(C55:Q55)</f>
        <v>774.49725371959562</v>
      </c>
    </row>
    <row r="56" spans="1:18" ht="15.75" thickBot="1">
      <c r="A56" s="823" t="s">
        <v>849</v>
      </c>
      <c r="B56" s="836"/>
      <c r="C56" s="732">
        <f ca="1">SUM(C54:C55)</f>
        <v>366.30421176912881</v>
      </c>
      <c r="D56" s="732">
        <f t="shared" ref="D56:Q56" ca="1" si="7">SUM(D54:D55)</f>
        <v>3076.8504201680662</v>
      </c>
      <c r="E56" s="732">
        <f t="shared" si="7"/>
        <v>528.77852083940002</v>
      </c>
      <c r="F56" s="732">
        <f t="shared" si="7"/>
        <v>3.3763242396626669</v>
      </c>
      <c r="G56" s="732">
        <f t="shared" si="7"/>
        <v>562.92803707070595</v>
      </c>
      <c r="H56" s="732">
        <f t="shared" si="7"/>
        <v>0</v>
      </c>
      <c r="I56" s="732">
        <f t="shared" si="7"/>
        <v>0</v>
      </c>
      <c r="J56" s="732">
        <f t="shared" si="7"/>
        <v>0</v>
      </c>
      <c r="K56" s="732">
        <f t="shared" si="7"/>
        <v>29.395875731712426</v>
      </c>
      <c r="L56" s="732">
        <f t="shared" si="7"/>
        <v>0</v>
      </c>
      <c r="M56" s="732">
        <f t="shared" si="7"/>
        <v>0</v>
      </c>
      <c r="N56" s="732">
        <f t="shared" si="7"/>
        <v>0</v>
      </c>
      <c r="O56" s="732">
        <f t="shared" si="7"/>
        <v>0</v>
      </c>
      <c r="P56" s="732">
        <f t="shared" si="7"/>
        <v>0</v>
      </c>
      <c r="Q56" s="733">
        <f t="shared" si="7"/>
        <v>0</v>
      </c>
      <c r="R56" s="734">
        <f ca="1">SUM(R54:R55)</f>
        <v>4567.6333898186758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14423.817779951392</v>
      </c>
      <c r="D61" s="740">
        <f t="shared" ref="D61:Q61" ca="1" si="8">D46+D52+D56</f>
        <v>3076.8504201680662</v>
      </c>
      <c r="E61" s="740">
        <f t="shared" ca="1" si="8"/>
        <v>22532.493988324244</v>
      </c>
      <c r="F61" s="740">
        <f t="shared" si="8"/>
        <v>1423.0154409948054</v>
      </c>
      <c r="G61" s="740">
        <f t="shared" ca="1" si="8"/>
        <v>8510.8124674750379</v>
      </c>
      <c r="H61" s="740">
        <f t="shared" si="8"/>
        <v>22561.812434542764</v>
      </c>
      <c r="I61" s="740">
        <f t="shared" si="8"/>
        <v>4572.2180919488792</v>
      </c>
      <c r="J61" s="740">
        <f t="shared" si="8"/>
        <v>0</v>
      </c>
      <c r="K61" s="740">
        <f t="shared" si="8"/>
        <v>68.232162877436807</v>
      </c>
      <c r="L61" s="740">
        <f t="shared" si="8"/>
        <v>0</v>
      </c>
      <c r="M61" s="740">
        <f t="shared" ca="1" si="8"/>
        <v>0</v>
      </c>
      <c r="N61" s="740">
        <f t="shared" si="8"/>
        <v>0</v>
      </c>
      <c r="O61" s="740">
        <f t="shared" ca="1" si="8"/>
        <v>0</v>
      </c>
      <c r="P61" s="740">
        <f t="shared" si="8"/>
        <v>0</v>
      </c>
      <c r="Q61" s="740">
        <f t="shared" si="8"/>
        <v>0</v>
      </c>
      <c r="R61" s="740">
        <f ca="1">R46+R52+R56</f>
        <v>77169.252786282625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0.20905636921151263</v>
      </c>
      <c r="D63" s="781">
        <f t="shared" ca="1" si="9"/>
        <v>0.23764705882352938</v>
      </c>
      <c r="E63" s="1023">
        <f t="shared" ca="1" si="9"/>
        <v>0.20200000000000004</v>
      </c>
      <c r="F63" s="781">
        <f t="shared" si="9"/>
        <v>0.22700000000000001</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4411.4099154694368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9062.9999999999982</v>
      </c>
      <c r="D76" s="1033">
        <f>'lokale energieproductie'!C8</f>
        <v>10662.352941176468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2153.7952941176468</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4411.4099154694368</v>
      </c>
      <c r="C78" s="755">
        <f>SUM(C72:C77)</f>
        <v>9062.9999999999982</v>
      </c>
      <c r="D78" s="756">
        <f t="shared" ref="D78:H78" si="10">SUM(D76:D77)</f>
        <v>10662.352941176468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2153.7952941176468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12947.142857142855</v>
      </c>
      <c r="D87" s="777">
        <f>'lokale energieproductie'!C17</f>
        <v>15231.932773109238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3076.8504201680662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12947.142857142855</v>
      </c>
      <c r="D90" s="755">
        <f t="shared" ref="D90:H90" si="12">SUM(D87:D89)</f>
        <v>15231.932773109238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3076.8504201680662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35527.820954061812</v>
      </c>
      <c r="C4" s="477">
        <f>huishoudens!C8</f>
        <v>0</v>
      </c>
      <c r="D4" s="477">
        <f>huishoudens!D8</f>
        <v>81563.058359948001</v>
      </c>
      <c r="E4" s="477">
        <f>huishoudens!E8</f>
        <v>4907.3578784950914</v>
      </c>
      <c r="F4" s="477">
        <f>huishoudens!F8</f>
        <v>22285.242113559558</v>
      </c>
      <c r="G4" s="477">
        <f>huishoudens!G8</f>
        <v>0</v>
      </c>
      <c r="H4" s="477">
        <f>huishoudens!H8</f>
        <v>0</v>
      </c>
      <c r="I4" s="477">
        <f>huishoudens!I8</f>
        <v>0</v>
      </c>
      <c r="J4" s="477">
        <f>huishoudens!J8</f>
        <v>0</v>
      </c>
      <c r="K4" s="477">
        <f>huishoudens!K8</f>
        <v>0</v>
      </c>
      <c r="L4" s="477">
        <f>huishoudens!L8</f>
        <v>0</v>
      </c>
      <c r="M4" s="477">
        <f>huishoudens!M8</f>
        <v>0</v>
      </c>
      <c r="N4" s="477">
        <f>huishoudens!N8</f>
        <v>10547.085455345627</v>
      </c>
      <c r="O4" s="477">
        <f>huishoudens!O8</f>
        <v>332.99</v>
      </c>
      <c r="P4" s="478">
        <f>huishoudens!P8</f>
        <v>896.13333333333333</v>
      </c>
      <c r="Q4" s="479">
        <f>SUM(B4:P4)</f>
        <v>156059.68809474341</v>
      </c>
    </row>
    <row r="5" spans="1:17">
      <c r="A5" s="476" t="s">
        <v>156</v>
      </c>
      <c r="B5" s="477">
        <f ca="1">tertiair!B16</f>
        <v>20510.023532290001</v>
      </c>
      <c r="C5" s="477">
        <f ca="1">tertiair!C16</f>
        <v>0</v>
      </c>
      <c r="D5" s="477">
        <f ca="1">tertiair!D16</f>
        <v>21389.015405446262</v>
      </c>
      <c r="E5" s="477">
        <f>tertiair!E16</f>
        <v>410.2181514661936</v>
      </c>
      <c r="F5" s="477">
        <f ca="1">tertiair!F16</f>
        <v>4903.1856164267429</v>
      </c>
      <c r="G5" s="477">
        <f>tertiair!G16</f>
        <v>0</v>
      </c>
      <c r="H5" s="477">
        <f>tertiair!H16</f>
        <v>0</v>
      </c>
      <c r="I5" s="477">
        <f>tertiair!I16</f>
        <v>0</v>
      </c>
      <c r="J5" s="477">
        <f>tertiair!J16</f>
        <v>0</v>
      </c>
      <c r="K5" s="477">
        <f>tertiair!K16</f>
        <v>0</v>
      </c>
      <c r="L5" s="477">
        <f ca="1">tertiair!L16</f>
        <v>0</v>
      </c>
      <c r="M5" s="477">
        <f>tertiair!M16</f>
        <v>0</v>
      </c>
      <c r="N5" s="477">
        <f ca="1">tertiair!N16</f>
        <v>2319.5526882904392</v>
      </c>
      <c r="O5" s="477">
        <f>tertiair!O16</f>
        <v>0</v>
      </c>
      <c r="P5" s="478">
        <f>tertiair!P16</f>
        <v>76.266666666666666</v>
      </c>
      <c r="Q5" s="476">
        <f t="shared" ref="Q5:Q14" ca="1" si="0">SUM(B5:P5)</f>
        <v>49608.262060586305</v>
      </c>
    </row>
    <row r="6" spans="1:17">
      <c r="A6" s="476" t="s">
        <v>194</v>
      </c>
      <c r="B6" s="477">
        <f>'openbare verlichting'!B8</f>
        <v>1526.9190000000001</v>
      </c>
      <c r="C6" s="477"/>
      <c r="D6" s="477"/>
      <c r="E6" s="477"/>
      <c r="F6" s="477"/>
      <c r="G6" s="477"/>
      <c r="H6" s="477"/>
      <c r="I6" s="477"/>
      <c r="J6" s="477"/>
      <c r="K6" s="477"/>
      <c r="L6" s="477"/>
      <c r="M6" s="477"/>
      <c r="N6" s="477"/>
      <c r="O6" s="477"/>
      <c r="P6" s="478"/>
      <c r="Q6" s="476">
        <f t="shared" si="0"/>
        <v>1526.9190000000001</v>
      </c>
    </row>
    <row r="7" spans="1:17">
      <c r="A7" s="476" t="s">
        <v>112</v>
      </c>
      <c r="B7" s="477">
        <f>landbouw!B8</f>
        <v>576.80844331000003</v>
      </c>
      <c r="C7" s="477">
        <f>landbouw!C8</f>
        <v>12947.142857142855</v>
      </c>
      <c r="D7" s="477">
        <f>landbouw!D8</f>
        <v>0</v>
      </c>
      <c r="E7" s="477">
        <f>landbouw!E8</f>
        <v>14.873675064593245</v>
      </c>
      <c r="F7" s="477">
        <f>landbouw!F8</f>
        <v>2108.3447081299846</v>
      </c>
      <c r="G7" s="477">
        <f>landbouw!G8</f>
        <v>0</v>
      </c>
      <c r="H7" s="477">
        <f>landbouw!H8</f>
        <v>0</v>
      </c>
      <c r="I7" s="477">
        <f>landbouw!I8</f>
        <v>0</v>
      </c>
      <c r="J7" s="477">
        <f>landbouw!J8</f>
        <v>83.039196982238494</v>
      </c>
      <c r="K7" s="477">
        <f>landbouw!K8</f>
        <v>0</v>
      </c>
      <c r="L7" s="477">
        <f>landbouw!L8</f>
        <v>0</v>
      </c>
      <c r="M7" s="477">
        <f>landbouw!M8</f>
        <v>0</v>
      </c>
      <c r="N7" s="477">
        <f>landbouw!N8</f>
        <v>0</v>
      </c>
      <c r="O7" s="477">
        <f>landbouw!O8</f>
        <v>0</v>
      </c>
      <c r="P7" s="478">
        <f>landbouw!P8</f>
        <v>0</v>
      </c>
      <c r="Q7" s="476">
        <f t="shared" si="0"/>
        <v>15730.208880629671</v>
      </c>
    </row>
    <row r="8" spans="1:17">
      <c r="A8" s="476" t="s">
        <v>638</v>
      </c>
      <c r="B8" s="477">
        <f>industrie!B18</f>
        <v>9650.174345170999</v>
      </c>
      <c r="C8" s="477">
        <f>industrie!C18</f>
        <v>0</v>
      </c>
      <c r="D8" s="477">
        <f>industrie!D18</f>
        <v>5908.7402965162</v>
      </c>
      <c r="E8" s="477">
        <f>industrie!E18</f>
        <v>670.14909017944979</v>
      </c>
      <c r="F8" s="477">
        <f>industrie!F18</f>
        <v>2578.9296872583873</v>
      </c>
      <c r="G8" s="477">
        <f>industrie!G18</f>
        <v>0</v>
      </c>
      <c r="H8" s="477">
        <f>industrie!H18</f>
        <v>0</v>
      </c>
      <c r="I8" s="477">
        <f>industrie!I18</f>
        <v>0</v>
      </c>
      <c r="J8" s="477">
        <f>industrie!J18</f>
        <v>109.7070258353796</v>
      </c>
      <c r="K8" s="477">
        <f>industrie!K18</f>
        <v>0</v>
      </c>
      <c r="L8" s="477">
        <f>industrie!L18</f>
        <v>0</v>
      </c>
      <c r="M8" s="477">
        <f>industrie!M18</f>
        <v>0</v>
      </c>
      <c r="N8" s="477">
        <f>industrie!N18</f>
        <v>3179.2397199129855</v>
      </c>
      <c r="O8" s="477">
        <f>industrie!O18</f>
        <v>0</v>
      </c>
      <c r="P8" s="478">
        <f>industrie!P18</f>
        <v>0</v>
      </c>
      <c r="Q8" s="476">
        <f t="shared" si="0"/>
        <v>22096.940164873398</v>
      </c>
    </row>
    <row r="9" spans="1:17" s="482" customFormat="1">
      <c r="A9" s="480" t="s">
        <v>564</v>
      </c>
      <c r="B9" s="481">
        <f>transport!B14</f>
        <v>27.756668540886057</v>
      </c>
      <c r="C9" s="481">
        <f>transport!C14</f>
        <v>0</v>
      </c>
      <c r="D9" s="481">
        <f>transport!D14</f>
        <v>68.470430588737344</v>
      </c>
      <c r="E9" s="481">
        <f>transport!E14</f>
        <v>266.19169375857251</v>
      </c>
      <c r="F9" s="481">
        <f>transport!F14</f>
        <v>0</v>
      </c>
      <c r="G9" s="481">
        <f>transport!G14</f>
        <v>79715.582510891603</v>
      </c>
      <c r="H9" s="481">
        <f>transport!H14</f>
        <v>18362.321654413168</v>
      </c>
      <c r="I9" s="481">
        <f>transport!I14</f>
        <v>0</v>
      </c>
      <c r="J9" s="481">
        <f>transport!J14</f>
        <v>0</v>
      </c>
      <c r="K9" s="481">
        <f>transport!K14</f>
        <v>0</v>
      </c>
      <c r="L9" s="481">
        <f>transport!L14</f>
        <v>0</v>
      </c>
      <c r="M9" s="481">
        <f>transport!M14</f>
        <v>3061.6889205766038</v>
      </c>
      <c r="N9" s="481">
        <f>transport!N14</f>
        <v>0</v>
      </c>
      <c r="O9" s="481">
        <f>transport!O14</f>
        <v>0</v>
      </c>
      <c r="P9" s="481">
        <f>transport!P14</f>
        <v>0</v>
      </c>
      <c r="Q9" s="480">
        <f>SUM(B9:P9)</f>
        <v>101502.01187876958</v>
      </c>
    </row>
    <row r="10" spans="1:17">
      <c r="A10" s="476" t="s">
        <v>554</v>
      </c>
      <c r="B10" s="477">
        <f>transport!B54</f>
        <v>0</v>
      </c>
      <c r="C10" s="477">
        <f>transport!C54</f>
        <v>0</v>
      </c>
      <c r="D10" s="477">
        <f>transport!D54</f>
        <v>0</v>
      </c>
      <c r="E10" s="477">
        <f>transport!E54</f>
        <v>0</v>
      </c>
      <c r="F10" s="477">
        <f>transport!F54</f>
        <v>0</v>
      </c>
      <c r="G10" s="477">
        <f>transport!G54</f>
        <v>4785.5876559352246</v>
      </c>
      <c r="H10" s="477">
        <f>transport!H54</f>
        <v>0</v>
      </c>
      <c r="I10" s="477">
        <f>transport!I54</f>
        <v>0</v>
      </c>
      <c r="J10" s="477">
        <f>transport!J54</f>
        <v>0</v>
      </c>
      <c r="K10" s="477">
        <f>transport!K54</f>
        <v>0</v>
      </c>
      <c r="L10" s="477">
        <f>transport!L54</f>
        <v>0</v>
      </c>
      <c r="M10" s="477">
        <f>transport!M54</f>
        <v>148.43822285612563</v>
      </c>
      <c r="N10" s="477">
        <f>transport!N54</f>
        <v>0</v>
      </c>
      <c r="O10" s="477">
        <f>transport!O54</f>
        <v>0</v>
      </c>
      <c r="P10" s="478">
        <f>transport!P54</f>
        <v>0</v>
      </c>
      <c r="Q10" s="476">
        <f t="shared" si="0"/>
        <v>4934.0258787913499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1175.3707089</v>
      </c>
      <c r="C14" s="484"/>
      <c r="D14" s="484">
        <f>'SEAP template'!E25</f>
        <v>2617.7154497000001</v>
      </c>
      <c r="E14" s="484"/>
      <c r="F14" s="484"/>
      <c r="G14" s="484"/>
      <c r="H14" s="484"/>
      <c r="I14" s="484"/>
      <c r="J14" s="484"/>
      <c r="K14" s="484"/>
      <c r="L14" s="484"/>
      <c r="M14" s="484"/>
      <c r="N14" s="484"/>
      <c r="O14" s="484"/>
      <c r="P14" s="485"/>
      <c r="Q14" s="476">
        <f t="shared" si="0"/>
        <v>3793.0861586000001</v>
      </c>
    </row>
    <row r="15" spans="1:17" s="486" customFormat="1">
      <c r="A15" s="1038" t="s">
        <v>558</v>
      </c>
      <c r="B15" s="978">
        <f ca="1">SUM(B4:B14)</f>
        <v>68994.873652273687</v>
      </c>
      <c r="C15" s="978">
        <f t="shared" ref="C15:Q15" ca="1" si="1">SUM(C4:C14)</f>
        <v>12947.142857142855</v>
      </c>
      <c r="D15" s="978">
        <f t="shared" ca="1" si="1"/>
        <v>111546.99994219921</v>
      </c>
      <c r="E15" s="978">
        <f t="shared" si="1"/>
        <v>6268.7904889639003</v>
      </c>
      <c r="F15" s="978">
        <f t="shared" ca="1" si="1"/>
        <v>31875.702125374675</v>
      </c>
      <c r="G15" s="978">
        <f t="shared" si="1"/>
        <v>84501.170166826822</v>
      </c>
      <c r="H15" s="978">
        <f t="shared" si="1"/>
        <v>18362.321654413168</v>
      </c>
      <c r="I15" s="978">
        <f t="shared" si="1"/>
        <v>0</v>
      </c>
      <c r="J15" s="978">
        <f t="shared" si="1"/>
        <v>192.7462228176181</v>
      </c>
      <c r="K15" s="978">
        <f t="shared" si="1"/>
        <v>0</v>
      </c>
      <c r="L15" s="978">
        <f t="shared" ca="1" si="1"/>
        <v>0</v>
      </c>
      <c r="M15" s="978">
        <f t="shared" si="1"/>
        <v>3210.1271434327296</v>
      </c>
      <c r="N15" s="978">
        <f t="shared" ca="1" si="1"/>
        <v>16045.877863549053</v>
      </c>
      <c r="O15" s="978">
        <f t="shared" si="1"/>
        <v>332.99</v>
      </c>
      <c r="P15" s="978">
        <f t="shared" si="1"/>
        <v>972.4</v>
      </c>
      <c r="Q15" s="978">
        <f t="shared" ca="1" si="1"/>
        <v>355251.14211699372</v>
      </c>
    </row>
    <row r="17" spans="1:17">
      <c r="A17" s="487" t="s">
        <v>559</v>
      </c>
      <c r="B17" s="786">
        <f ca="1">huishoudens!B10</f>
        <v>0.20905636921151255</v>
      </c>
      <c r="C17" s="786">
        <f ca="1">huishoudens!C10</f>
        <v>0.23764705882352938</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7427.3172546528585</v>
      </c>
      <c r="C22" s="477">
        <f t="shared" ref="C22:C32" ca="1" si="3">C4*$C$17</f>
        <v>0</v>
      </c>
      <c r="D22" s="477">
        <f t="shared" ref="D22:D32" si="4">D4*$D$17</f>
        <v>16475.737788709499</v>
      </c>
      <c r="E22" s="477">
        <f t="shared" ref="E22:E32" si="5">E4*$E$17</f>
        <v>1113.9702384183859</v>
      </c>
      <c r="F22" s="477">
        <f t="shared" ref="F22:F32" si="6">F4*$F$17</f>
        <v>5950.1596443204025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30967.184926101148</v>
      </c>
    </row>
    <row r="23" spans="1:17">
      <c r="A23" s="476" t="s">
        <v>156</v>
      </c>
      <c r="B23" s="477">
        <f t="shared" ca="1" si="2"/>
        <v>4287.7510521032291</v>
      </c>
      <c r="C23" s="477">
        <f t="shared" ca="1" si="3"/>
        <v>0</v>
      </c>
      <c r="D23" s="477">
        <f t="shared" ca="1" si="4"/>
        <v>4320.5811119001455</v>
      </c>
      <c r="E23" s="477">
        <f t="shared" si="5"/>
        <v>93.119520382825954</v>
      </c>
      <c r="F23" s="477">
        <f t="shared" ca="1" si="6"/>
        <v>1309.1505595859405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10010.602243972142</v>
      </c>
    </row>
    <row r="24" spans="1:17">
      <c r="A24" s="476" t="s">
        <v>194</v>
      </c>
      <c r="B24" s="477">
        <f t="shared" ca="1" si="2"/>
        <v>319.21214222007353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319.21214222007353</v>
      </c>
    </row>
    <row r="25" spans="1:17">
      <c r="A25" s="476" t="s">
        <v>112</v>
      </c>
      <c r="B25" s="477">
        <f t="shared" ca="1" si="2"/>
        <v>120.58547888893317</v>
      </c>
      <c r="C25" s="477">
        <f t="shared" ca="1" si="3"/>
        <v>3076.8504201680662</v>
      </c>
      <c r="D25" s="477">
        <f t="shared" si="4"/>
        <v>0</v>
      </c>
      <c r="E25" s="477">
        <f t="shared" si="5"/>
        <v>3.3763242396626669</v>
      </c>
      <c r="F25" s="477">
        <f t="shared" si="6"/>
        <v>562.92803707070595</v>
      </c>
      <c r="G25" s="477">
        <f t="shared" si="7"/>
        <v>0</v>
      </c>
      <c r="H25" s="477">
        <f t="shared" si="8"/>
        <v>0</v>
      </c>
      <c r="I25" s="477">
        <f t="shared" si="9"/>
        <v>0</v>
      </c>
      <c r="J25" s="477">
        <f t="shared" si="10"/>
        <v>29.395875731712426</v>
      </c>
      <c r="K25" s="477">
        <f t="shared" si="11"/>
        <v>0</v>
      </c>
      <c r="L25" s="477">
        <f t="shared" si="12"/>
        <v>0</v>
      </c>
      <c r="M25" s="477">
        <f t="shared" si="13"/>
        <v>0</v>
      </c>
      <c r="N25" s="477">
        <f t="shared" si="14"/>
        <v>0</v>
      </c>
      <c r="O25" s="477">
        <f t="shared" si="15"/>
        <v>0</v>
      </c>
      <c r="P25" s="478">
        <f t="shared" si="16"/>
        <v>0</v>
      </c>
      <c r="Q25" s="476">
        <f t="shared" ca="1" si="17"/>
        <v>3793.1361360990804</v>
      </c>
    </row>
    <row r="26" spans="1:17">
      <c r="A26" s="476" t="s">
        <v>638</v>
      </c>
      <c r="B26" s="477">
        <f t="shared" ca="1" si="2"/>
        <v>2017.4304108595347</v>
      </c>
      <c r="C26" s="477">
        <f t="shared" ca="1" si="3"/>
        <v>0</v>
      </c>
      <c r="D26" s="477">
        <f t="shared" si="4"/>
        <v>1193.5655398962724</v>
      </c>
      <c r="E26" s="477">
        <f t="shared" si="5"/>
        <v>152.1238434707351</v>
      </c>
      <c r="F26" s="477">
        <f t="shared" si="6"/>
        <v>688.57422649798946</v>
      </c>
      <c r="G26" s="477">
        <f t="shared" si="7"/>
        <v>0</v>
      </c>
      <c r="H26" s="477">
        <f t="shared" si="8"/>
        <v>0</v>
      </c>
      <c r="I26" s="477">
        <f t="shared" si="9"/>
        <v>0</v>
      </c>
      <c r="J26" s="477">
        <f t="shared" si="10"/>
        <v>38.836287145724377</v>
      </c>
      <c r="K26" s="477">
        <f t="shared" si="11"/>
        <v>0</v>
      </c>
      <c r="L26" s="477">
        <f t="shared" si="12"/>
        <v>0</v>
      </c>
      <c r="M26" s="477">
        <f t="shared" si="13"/>
        <v>0</v>
      </c>
      <c r="N26" s="477">
        <f t="shared" si="14"/>
        <v>0</v>
      </c>
      <c r="O26" s="477">
        <f t="shared" si="15"/>
        <v>0</v>
      </c>
      <c r="P26" s="478">
        <f t="shared" si="16"/>
        <v>0</v>
      </c>
      <c r="Q26" s="476">
        <f t="shared" ca="1" si="17"/>
        <v>4090.5303078702559</v>
      </c>
    </row>
    <row r="27" spans="1:17" s="482" customFormat="1">
      <c r="A27" s="480" t="s">
        <v>564</v>
      </c>
      <c r="B27" s="780">
        <f t="shared" ca="1" si="2"/>
        <v>5.8027083465650513</v>
      </c>
      <c r="C27" s="481">
        <f t="shared" ca="1" si="3"/>
        <v>0</v>
      </c>
      <c r="D27" s="481">
        <f t="shared" si="4"/>
        <v>13.831026978924944</v>
      </c>
      <c r="E27" s="481">
        <f t="shared" si="5"/>
        <v>60.425514483195961</v>
      </c>
      <c r="F27" s="481">
        <f t="shared" si="6"/>
        <v>0</v>
      </c>
      <c r="G27" s="481">
        <f t="shared" si="7"/>
        <v>21284.06053040806</v>
      </c>
      <c r="H27" s="481">
        <f t="shared" si="8"/>
        <v>4572.2180919488792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25936.337872165623</v>
      </c>
    </row>
    <row r="28" spans="1:17">
      <c r="A28" s="476" t="s">
        <v>554</v>
      </c>
      <c r="B28" s="477">
        <f t="shared" ca="1" si="2"/>
        <v>0</v>
      </c>
      <c r="C28" s="477">
        <f t="shared" ca="1" si="3"/>
        <v>0</v>
      </c>
      <c r="D28" s="477">
        <f t="shared" si="4"/>
        <v>0</v>
      </c>
      <c r="E28" s="477">
        <f t="shared" si="5"/>
        <v>0</v>
      </c>
      <c r="F28" s="477">
        <f t="shared" si="6"/>
        <v>0</v>
      </c>
      <c r="G28" s="477">
        <f t="shared" si="7"/>
        <v>1277.751904134705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1277.751904134705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245.71873288019563</v>
      </c>
      <c r="C32" s="477">
        <f t="shared" ca="1" si="3"/>
        <v>0</v>
      </c>
      <c r="D32" s="477">
        <f t="shared" si="4"/>
        <v>528.77852083940002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774.49725371959562</v>
      </c>
    </row>
    <row r="33" spans="1:17" s="486" customFormat="1">
      <c r="A33" s="1038" t="s">
        <v>558</v>
      </c>
      <c r="B33" s="978">
        <f ca="1">SUM(B22:B32)</f>
        <v>14423.817779951392</v>
      </c>
      <c r="C33" s="978">
        <f t="shared" ref="C33:Q33" ca="1" si="18">SUM(C22:C32)</f>
        <v>3076.8504201680662</v>
      </c>
      <c r="D33" s="978">
        <f t="shared" ca="1" si="18"/>
        <v>22532.493988324244</v>
      </c>
      <c r="E33" s="978">
        <f t="shared" si="18"/>
        <v>1423.0154409948054</v>
      </c>
      <c r="F33" s="978">
        <f t="shared" ca="1" si="18"/>
        <v>8510.8124674750379</v>
      </c>
      <c r="G33" s="978">
        <f t="shared" si="18"/>
        <v>22561.812434542764</v>
      </c>
      <c r="H33" s="978">
        <f t="shared" si="18"/>
        <v>4572.2180919488792</v>
      </c>
      <c r="I33" s="978">
        <f t="shared" si="18"/>
        <v>0</v>
      </c>
      <c r="J33" s="978">
        <f t="shared" si="18"/>
        <v>68.232162877436807</v>
      </c>
      <c r="K33" s="978">
        <f t="shared" si="18"/>
        <v>0</v>
      </c>
      <c r="L33" s="978">
        <f t="shared" ca="1" si="18"/>
        <v>0</v>
      </c>
      <c r="M33" s="978">
        <f t="shared" si="18"/>
        <v>0</v>
      </c>
      <c r="N33" s="978">
        <f t="shared" ca="1" si="18"/>
        <v>0</v>
      </c>
      <c r="O33" s="978">
        <f t="shared" si="18"/>
        <v>0</v>
      </c>
      <c r="P33" s="978">
        <f t="shared" si="18"/>
        <v>0</v>
      </c>
      <c r="Q33" s="978">
        <f t="shared" ca="1" si="18"/>
        <v>77169.252786282639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4411.4099154694368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9062.9999999999982</v>
      </c>
      <c r="D8" s="1055">
        <f>'SEAP template'!D76</f>
        <v>10662.352941176468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2153.7952941176468</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4411.4099154694368</v>
      </c>
      <c r="C10" s="1059">
        <f>SUM(C4:C9)</f>
        <v>9062.9999999999982</v>
      </c>
      <c r="D10" s="1059">
        <f t="shared" ref="D10:H10" si="0">SUM(D8:D9)</f>
        <v>10662.352941176468</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2153.7952941176468</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0.20905636921151255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12947.142857142855</v>
      </c>
      <c r="D17" s="1056">
        <f>'SEAP template'!D87</f>
        <v>15231.932773109238</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3076.8504201680662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12947.142857142855</v>
      </c>
      <c r="D20" s="1059">
        <f t="shared" ref="D20:H20" si="2">SUM(D17:D19)</f>
        <v>15231.932773109238</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3076.8504201680662</v>
      </c>
    </row>
    <row r="22" spans="1:16">
      <c r="A22" s="487" t="s">
        <v>871</v>
      </c>
      <c r="B22" s="786" t="s">
        <v>865</v>
      </c>
      <c r="C22" s="786">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0.20905636921151255</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0.20905636921151255</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0.20905636921151255</v>
      </c>
      <c r="C29" s="525">
        <f ca="1">'EF ele_warmte'!B22</f>
        <v>0.23764705882352938</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8339</v>
      </c>
      <c r="C9" s="342">
        <v>8302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1481.23</v>
      </c>
    </row>
    <row r="15" spans="1:6">
      <c r="A15" s="348" t="s">
        <v>184</v>
      </c>
      <c r="B15" s="334">
        <v>7</v>
      </c>
    </row>
    <row r="16" spans="1:6">
      <c r="A16" s="348" t="s">
        <v>6</v>
      </c>
      <c r="B16" s="334">
        <v>75</v>
      </c>
    </row>
    <row r="17" spans="1:6">
      <c r="A17" s="348" t="s">
        <v>7</v>
      </c>
      <c r="B17" s="334">
        <v>409</v>
      </c>
    </row>
    <row r="18" spans="1:6">
      <c r="A18" s="348" t="s">
        <v>8</v>
      </c>
      <c r="B18" s="334">
        <v>348</v>
      </c>
    </row>
    <row r="19" spans="1:6">
      <c r="A19" s="348" t="s">
        <v>9</v>
      </c>
      <c r="B19" s="334">
        <v>352</v>
      </c>
    </row>
    <row r="20" spans="1:6">
      <c r="A20" s="348" t="s">
        <v>10</v>
      </c>
      <c r="B20" s="334">
        <v>160</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2</v>
      </c>
    </row>
    <row r="26" spans="1:6">
      <c r="A26" s="348" t="s">
        <v>16</v>
      </c>
      <c r="B26" s="334">
        <v>226</v>
      </c>
    </row>
    <row r="27" spans="1:6">
      <c r="A27" s="348" t="s">
        <v>17</v>
      </c>
      <c r="B27" s="334">
        <v>12</v>
      </c>
    </row>
    <row r="28" spans="1:6" s="356" customFormat="1">
      <c r="A28" s="355" t="s">
        <v>18</v>
      </c>
      <c r="B28" s="355">
        <v>0</v>
      </c>
    </row>
    <row r="29" spans="1:6">
      <c r="A29" s="355" t="s">
        <v>884</v>
      </c>
      <c r="B29" s="355">
        <v>95</v>
      </c>
      <c r="C29" s="356"/>
      <c r="D29" s="356"/>
      <c r="E29" s="356"/>
      <c r="F29" s="356"/>
    </row>
    <row r="30" spans="1:6">
      <c r="A30" s="355" t="s">
        <v>885</v>
      </c>
      <c r="B30" s="341">
        <v>61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660318.84774</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98506.259590000001</v>
      </c>
    </row>
    <row r="39" spans="1:6">
      <c r="A39" s="348" t="s">
        <v>30</v>
      </c>
      <c r="B39" s="348" t="s">
        <v>31</v>
      </c>
      <c r="C39" s="334">
        <v>5544</v>
      </c>
      <c r="D39" s="334">
        <v>90424676.673999995</v>
      </c>
      <c r="E39" s="334">
        <v>8162</v>
      </c>
      <c r="F39" s="334">
        <v>31785566.57</v>
      </c>
    </row>
    <row r="40" spans="1:6">
      <c r="A40" s="348" t="s">
        <v>30</v>
      </c>
      <c r="B40" s="348" t="s">
        <v>29</v>
      </c>
      <c r="C40" s="334">
        <v>0</v>
      </c>
      <c r="D40" s="334">
        <v>0</v>
      </c>
      <c r="E40" s="334">
        <v>0</v>
      </c>
      <c r="F40" s="334">
        <v>0</v>
      </c>
    </row>
    <row r="41" spans="1:6">
      <c r="A41" s="348" t="s">
        <v>32</v>
      </c>
      <c r="B41" s="348" t="s">
        <v>33</v>
      </c>
      <c r="C41" s="334">
        <v>33</v>
      </c>
      <c r="D41" s="334">
        <v>835047.64110999997</v>
      </c>
      <c r="E41" s="334">
        <v>93</v>
      </c>
      <c r="F41" s="334">
        <v>925838.16163999995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55600.626041000003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113416.33329</v>
      </c>
      <c r="E47" s="334">
        <v>11</v>
      </c>
      <c r="F47" s="334">
        <v>689736.96455000003</v>
      </c>
    </row>
    <row r="48" spans="1:6">
      <c r="A48" s="348" t="s">
        <v>32</v>
      </c>
      <c r="B48" s="348" t="s">
        <v>29</v>
      </c>
      <c r="C48" s="334">
        <v>27</v>
      </c>
      <c r="D48" s="334">
        <v>5602245.8887</v>
      </c>
      <c r="E48" s="334">
        <v>31</v>
      </c>
      <c r="F48" s="334">
        <v>7836686.0210999995</v>
      </c>
    </row>
    <row r="49" spans="1:6">
      <c r="A49" s="348" t="s">
        <v>32</v>
      </c>
      <c r="B49" s="348" t="s">
        <v>40</v>
      </c>
      <c r="C49" s="334">
        <v>0</v>
      </c>
      <c r="D49" s="334">
        <v>0</v>
      </c>
      <c r="E49" s="334">
        <v>0</v>
      </c>
      <c r="F49" s="334">
        <v>0</v>
      </c>
    </row>
    <row r="50" spans="1:6">
      <c r="A50" s="348" t="s">
        <v>32</v>
      </c>
      <c r="B50" s="348" t="s">
        <v>41</v>
      </c>
      <c r="C50" s="334">
        <v>0</v>
      </c>
      <c r="D50" s="334">
        <v>0</v>
      </c>
      <c r="E50" s="334">
        <v>4</v>
      </c>
      <c r="F50" s="334">
        <v>142312.57183999999</v>
      </c>
    </row>
    <row r="51" spans="1:6">
      <c r="A51" s="348" t="s">
        <v>42</v>
      </c>
      <c r="B51" s="348" t="s">
        <v>43</v>
      </c>
      <c r="C51" s="334">
        <v>0</v>
      </c>
      <c r="D51" s="334">
        <v>0</v>
      </c>
      <c r="E51" s="334">
        <v>35</v>
      </c>
      <c r="F51" s="334">
        <v>340124.00098999997</v>
      </c>
    </row>
    <row r="52" spans="1:6">
      <c r="A52" s="348" t="s">
        <v>42</v>
      </c>
      <c r="B52" s="348" t="s">
        <v>29</v>
      </c>
      <c r="C52" s="334">
        <v>6</v>
      </c>
      <c r="D52" s="334">
        <v>21527979.607999999</v>
      </c>
      <c r="E52" s="334">
        <v>6</v>
      </c>
      <c r="F52" s="334">
        <v>236684.44232</v>
      </c>
    </row>
    <row r="53" spans="1:6">
      <c r="A53" s="348" t="s">
        <v>44</v>
      </c>
      <c r="B53" s="348" t="s">
        <v>45</v>
      </c>
      <c r="C53" s="334">
        <v>153</v>
      </c>
      <c r="D53" s="334">
        <v>2617715.4497000002</v>
      </c>
      <c r="E53" s="334">
        <v>264</v>
      </c>
      <c r="F53" s="334">
        <v>1175370.7089</v>
      </c>
    </row>
    <row r="54" spans="1:6">
      <c r="A54" s="348" t="s">
        <v>46</v>
      </c>
      <c r="B54" s="348" t="s">
        <v>47</v>
      </c>
      <c r="C54" s="334">
        <v>0</v>
      </c>
      <c r="D54" s="334">
        <v>0</v>
      </c>
      <c r="E54" s="334">
        <v>1</v>
      </c>
      <c r="F54" s="334">
        <v>1526919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2407904.0003</v>
      </c>
      <c r="E57" s="334">
        <v>131</v>
      </c>
      <c r="F57" s="334">
        <v>2594494.7398999999</v>
      </c>
    </row>
    <row r="58" spans="1:6">
      <c r="A58" s="348" t="s">
        <v>49</v>
      </c>
      <c r="B58" s="348" t="s">
        <v>51</v>
      </c>
      <c r="C58" s="334">
        <v>30</v>
      </c>
      <c r="D58" s="334">
        <v>948012.15156999999</v>
      </c>
      <c r="E58" s="334">
        <v>52</v>
      </c>
      <c r="F58" s="334">
        <v>760044.81165000005</v>
      </c>
    </row>
    <row r="59" spans="1:6">
      <c r="A59" s="348" t="s">
        <v>49</v>
      </c>
      <c r="B59" s="348" t="s">
        <v>52</v>
      </c>
      <c r="C59" s="334">
        <v>73</v>
      </c>
      <c r="D59" s="334">
        <v>4195921.2721999995</v>
      </c>
      <c r="E59" s="334">
        <v>182</v>
      </c>
      <c r="F59" s="334">
        <v>7930951.2470000004</v>
      </c>
    </row>
    <row r="60" spans="1:6">
      <c r="A60" s="348" t="s">
        <v>49</v>
      </c>
      <c r="B60" s="348" t="s">
        <v>53</v>
      </c>
      <c r="C60" s="334">
        <v>34</v>
      </c>
      <c r="D60" s="334">
        <v>1241448.4575</v>
      </c>
      <c r="E60" s="334">
        <v>56</v>
      </c>
      <c r="F60" s="334">
        <v>1229631.9321000001</v>
      </c>
    </row>
    <row r="61" spans="1:6">
      <c r="A61" s="348" t="s">
        <v>49</v>
      </c>
      <c r="B61" s="348" t="s">
        <v>54</v>
      </c>
      <c r="C61" s="334">
        <v>188</v>
      </c>
      <c r="D61" s="334">
        <v>6174353.9049000004</v>
      </c>
      <c r="E61" s="334">
        <v>373</v>
      </c>
      <c r="F61" s="334">
        <v>4948997.4753999999</v>
      </c>
    </row>
    <row r="62" spans="1:6">
      <c r="A62" s="348" t="s">
        <v>49</v>
      </c>
      <c r="B62" s="348" t="s">
        <v>55</v>
      </c>
      <c r="C62" s="334">
        <v>13</v>
      </c>
      <c r="D62" s="334">
        <v>498317.06756</v>
      </c>
      <c r="E62" s="334">
        <v>22</v>
      </c>
      <c r="F62" s="334">
        <v>202149.72044</v>
      </c>
    </row>
    <row r="63" spans="1:6">
      <c r="A63" s="348" t="s">
        <v>49</v>
      </c>
      <c r="B63" s="348" t="s">
        <v>29</v>
      </c>
      <c r="C63" s="334">
        <v>97</v>
      </c>
      <c r="D63" s="334">
        <v>8246920.5356000001</v>
      </c>
      <c r="E63" s="334">
        <v>78</v>
      </c>
      <c r="F63" s="334">
        <v>2843753.6058</v>
      </c>
    </row>
    <row r="64" spans="1:6">
      <c r="A64" s="348" t="s">
        <v>56</v>
      </c>
      <c r="B64" s="348" t="s">
        <v>57</v>
      </c>
      <c r="C64" s="334">
        <v>0</v>
      </c>
      <c r="D64" s="334">
        <v>0</v>
      </c>
      <c r="E64" s="334">
        <v>0</v>
      </c>
      <c r="F64" s="334">
        <v>0</v>
      </c>
    </row>
    <row r="65" spans="1:6">
      <c r="A65" s="348" t="s">
        <v>56</v>
      </c>
      <c r="B65" s="348" t="s">
        <v>29</v>
      </c>
      <c r="C65" s="334">
        <v>4</v>
      </c>
      <c r="D65" s="334">
        <v>93275.466786999998</v>
      </c>
      <c r="E65" s="334">
        <v>2</v>
      </c>
      <c r="F65" s="334">
        <v>7561.6242147000003</v>
      </c>
    </row>
    <row r="66" spans="1:6">
      <c r="A66" s="348" t="s">
        <v>56</v>
      </c>
      <c r="B66" s="348" t="s">
        <v>58</v>
      </c>
      <c r="C66" s="334">
        <v>0</v>
      </c>
      <c r="D66" s="334">
        <v>0</v>
      </c>
      <c r="E66" s="334">
        <v>16</v>
      </c>
      <c r="F66" s="334">
        <v>653037.86529999995</v>
      </c>
    </row>
    <row r="67" spans="1:6">
      <c r="A67" s="355" t="s">
        <v>56</v>
      </c>
      <c r="B67" s="355" t="s">
        <v>59</v>
      </c>
      <c r="C67" s="334">
        <v>0</v>
      </c>
      <c r="D67" s="334">
        <v>0</v>
      </c>
      <c r="E67" s="334">
        <v>0</v>
      </c>
      <c r="F67" s="334">
        <v>0</v>
      </c>
    </row>
    <row r="68" spans="1:6">
      <c r="A68" s="341" t="s">
        <v>56</v>
      </c>
      <c r="B68" s="341" t="s">
        <v>60</v>
      </c>
      <c r="C68" s="334">
        <v>0</v>
      </c>
      <c r="D68" s="334">
        <v>0</v>
      </c>
      <c r="E68" s="334">
        <v>7</v>
      </c>
      <c r="F68" s="334">
        <v>147324.58974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70167947</v>
      </c>
      <c r="E73" s="475">
        <v>84235224.039565235</v>
      </c>
    </row>
    <row r="74" spans="1:6">
      <c r="A74" s="348" t="s">
        <v>64</v>
      </c>
      <c r="B74" s="348" t="s">
        <v>667</v>
      </c>
      <c r="C74" s="1294" t="s">
        <v>669</v>
      </c>
      <c r="D74" s="475">
        <v>4792953.9574826341</v>
      </c>
      <c r="E74" s="475">
        <v>4734153.7518363502</v>
      </c>
    </row>
    <row r="75" spans="1:6">
      <c r="A75" s="348" t="s">
        <v>65</v>
      </c>
      <c r="B75" s="348" t="s">
        <v>666</v>
      </c>
      <c r="C75" s="1294" t="s">
        <v>670</v>
      </c>
      <c r="D75" s="475">
        <v>36390859</v>
      </c>
      <c r="E75" s="475">
        <v>41581086.768447995</v>
      </c>
    </row>
    <row r="76" spans="1:6">
      <c r="A76" s="348" t="s">
        <v>65</v>
      </c>
      <c r="B76" s="348" t="s">
        <v>667</v>
      </c>
      <c r="C76" s="1294" t="s">
        <v>671</v>
      </c>
      <c r="D76" s="475">
        <v>905411.95748263388</v>
      </c>
      <c r="E76" s="475">
        <v>881747.74349641427</v>
      </c>
    </row>
    <row r="77" spans="1:6">
      <c r="A77" s="348" t="s">
        <v>66</v>
      </c>
      <c r="B77" s="348" t="s">
        <v>666</v>
      </c>
      <c r="C77" s="1294" t="s">
        <v>672</v>
      </c>
      <c r="D77" s="475">
        <v>11889739</v>
      </c>
      <c r="E77" s="475">
        <v>12304194.090355985</v>
      </c>
    </row>
    <row r="78" spans="1:6">
      <c r="A78" s="341" t="s">
        <v>66</v>
      </c>
      <c r="B78" s="341" t="s">
        <v>667</v>
      </c>
      <c r="C78" s="341" t="s">
        <v>673</v>
      </c>
      <c r="D78" s="1295">
        <v>1185199</v>
      </c>
      <c r="E78" s="1295">
        <v>1277328.9660605199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1325212.0850347322</v>
      </c>
      <c r="C83" s="475">
        <v>1325212.0850347322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3742.2543840618155</v>
      </c>
    </row>
    <row r="92" spans="1:6">
      <c r="A92" s="341" t="s">
        <v>69</v>
      </c>
      <c r="B92" s="342">
        <v>669.15553140762108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3149</v>
      </c>
    </row>
    <row r="98" spans="1:6">
      <c r="A98" s="348" t="s">
        <v>72</v>
      </c>
      <c r="B98" s="334">
        <v>2</v>
      </c>
    </row>
    <row r="99" spans="1:6">
      <c r="A99" s="348" t="s">
        <v>73</v>
      </c>
      <c r="B99" s="334">
        <v>74</v>
      </c>
    </row>
    <row r="100" spans="1:6">
      <c r="A100" s="348" t="s">
        <v>74</v>
      </c>
      <c r="B100" s="334">
        <v>495</v>
      </c>
    </row>
    <row r="101" spans="1:6">
      <c r="A101" s="348" t="s">
        <v>75</v>
      </c>
      <c r="B101" s="334">
        <v>56</v>
      </c>
    </row>
    <row r="102" spans="1:6">
      <c r="A102" s="348" t="s">
        <v>76</v>
      </c>
      <c r="B102" s="334">
        <v>86</v>
      </c>
    </row>
    <row r="103" spans="1:6">
      <c r="A103" s="348" t="s">
        <v>77</v>
      </c>
      <c r="B103" s="334">
        <v>107</v>
      </c>
    </row>
    <row r="104" spans="1:6">
      <c r="A104" s="348" t="s">
        <v>78</v>
      </c>
      <c r="B104" s="334">
        <v>3071</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177</v>
      </c>
    </row>
    <row r="130" spans="1:6">
      <c r="A130" s="348" t="s">
        <v>295</v>
      </c>
      <c r="B130" s="334">
        <v>0</v>
      </c>
    </row>
    <row r="131" spans="1:6">
      <c r="A131" s="348" t="s">
        <v>296</v>
      </c>
      <c r="B131" s="334">
        <v>4</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68994.873652273687</v>
      </c>
      <c r="C3" s="43" t="s">
        <v>170</v>
      </c>
      <c r="D3" s="43"/>
      <c r="E3" s="154"/>
      <c r="F3" s="43"/>
      <c r="G3" s="43"/>
      <c r="H3" s="43"/>
      <c r="I3" s="43"/>
      <c r="J3" s="43"/>
      <c r="K3" s="96"/>
    </row>
    <row r="4" spans="1:11">
      <c r="A4" s="383" t="s">
        <v>171</v>
      </c>
      <c r="B4" s="49">
        <f>IF(ISERROR('SEAP template'!B78+'SEAP template'!C78),0,'SEAP template'!B78+'SEAP template'!C78)</f>
        <v>13474.409915469434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2153.7952941176468</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0.20905636921151255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3076.8504201680662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12947.142857142855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1526.9190000000001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1526.9190000000001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0.20905636921151255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319.21214222007353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31785.566569999999</v>
      </c>
      <c r="C5" s="17">
        <f>IF(ISERROR('Eigen informatie GS &amp; warmtenet'!B57),0,'Eigen informatie GS &amp; warmtenet'!B57)</f>
        <v>0</v>
      </c>
      <c r="D5" s="30">
        <f>(SUM(HH_hh_gas_kWh,HH_rest_gas_kWh)/1000)*0.902</f>
        <v>81563.058359948001</v>
      </c>
      <c r="E5" s="17">
        <f>B46*B57</f>
        <v>4907.3578784950914</v>
      </c>
      <c r="F5" s="17">
        <f>B51*B62</f>
        <v>22285.242113559558</v>
      </c>
      <c r="G5" s="18"/>
      <c r="H5" s="17"/>
      <c r="I5" s="17"/>
      <c r="J5" s="17">
        <f>B50*B61+C50*C61</f>
        <v>0</v>
      </c>
      <c r="K5" s="17"/>
      <c r="L5" s="17"/>
      <c r="M5" s="17"/>
      <c r="N5" s="17">
        <f>B48*B59+C48*C59</f>
        <v>10547.085455345627</v>
      </c>
      <c r="O5" s="17">
        <f>B69*B70*B71</f>
        <v>332.99</v>
      </c>
      <c r="P5" s="17">
        <f>B77*B78*B79/1000-B77*B78*B79/1000/B80</f>
        <v>896.13333333333333</v>
      </c>
    </row>
    <row r="6" spans="1:16">
      <c r="A6" s="16" t="s">
        <v>624</v>
      </c>
      <c r="B6" s="788">
        <f>kWh_PV_kleiner_dan_10kW</f>
        <v>3742.2543840618155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35527.820954061812</v>
      </c>
      <c r="C8" s="21">
        <f>C5</f>
        <v>0</v>
      </c>
      <c r="D8" s="21">
        <f>D5</f>
        <v>81563.058359948001</v>
      </c>
      <c r="E8" s="21">
        <f>E5</f>
        <v>4907.3578784950914</v>
      </c>
      <c r="F8" s="21">
        <f>F5</f>
        <v>22285.242113559558</v>
      </c>
      <c r="G8" s="21"/>
      <c r="H8" s="21"/>
      <c r="I8" s="21"/>
      <c r="J8" s="21">
        <f>J5</f>
        <v>0</v>
      </c>
      <c r="K8" s="21"/>
      <c r="L8" s="21">
        <f>L5</f>
        <v>0</v>
      </c>
      <c r="M8" s="21">
        <f>M5</f>
        <v>0</v>
      </c>
      <c r="N8" s="21">
        <f>N5</f>
        <v>10547.085455345627</v>
      </c>
      <c r="O8" s="21">
        <f>O5</f>
        <v>332.99</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0.20905636921151255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7427.3172546528585</v>
      </c>
      <c r="C12" s="23">
        <f ca="1">C10*C8</f>
        <v>0</v>
      </c>
      <c r="D12" s="23">
        <f>D8*D10</f>
        <v>16475.737788709499</v>
      </c>
      <c r="E12" s="23">
        <f>E10*E8</f>
        <v>1113.9702384183859</v>
      </c>
      <c r="F12" s="23">
        <f>F10*F8</f>
        <v>5950.1596443204025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3149</v>
      </c>
      <c r="C18" s="166" t="s">
        <v>111</v>
      </c>
      <c r="D18" s="228"/>
      <c r="E18" s="15"/>
    </row>
    <row r="19" spans="1:7">
      <c r="A19" s="171" t="s">
        <v>72</v>
      </c>
      <c r="B19" s="37">
        <f>aantalw2001_ander</f>
        <v>2</v>
      </c>
      <c r="C19" s="166" t="s">
        <v>111</v>
      </c>
      <c r="D19" s="229"/>
      <c r="E19" s="15"/>
    </row>
    <row r="20" spans="1:7">
      <c r="A20" s="171" t="s">
        <v>73</v>
      </c>
      <c r="B20" s="37">
        <f>aantalw2001_propaan</f>
        <v>74</v>
      </c>
      <c r="C20" s="167">
        <f>IF(ISERROR(B20/SUM($B$20,$B$21,$B$22)*100),0,B20/SUM($B$20,$B$21,$B$22)*100)</f>
        <v>11.84</v>
      </c>
      <c r="D20" s="229"/>
      <c r="E20" s="15"/>
    </row>
    <row r="21" spans="1:7">
      <c r="A21" s="171" t="s">
        <v>74</v>
      </c>
      <c r="B21" s="37">
        <f>aantalw2001_elektriciteit</f>
        <v>495</v>
      </c>
      <c r="C21" s="167">
        <f>IF(ISERROR(B21/SUM($B$20,$B$21,$B$22)*100),0,B21/SUM($B$20,$B$21,$B$22)*100)</f>
        <v>79.2</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86</v>
      </c>
      <c r="C23" s="166" t="s">
        <v>111</v>
      </c>
      <c r="D23" s="228"/>
      <c r="E23" s="15"/>
    </row>
    <row r="24" spans="1:7">
      <c r="A24" s="171" t="s">
        <v>77</v>
      </c>
      <c r="B24" s="37">
        <f>aantalw2001_steenkool</f>
        <v>107</v>
      </c>
      <c r="C24" s="166" t="s">
        <v>111</v>
      </c>
      <c r="D24" s="229"/>
      <c r="E24" s="15"/>
    </row>
    <row r="25" spans="1:7">
      <c r="A25" s="171" t="s">
        <v>78</v>
      </c>
      <c r="B25" s="37">
        <f>aantalw2001_stookolie</f>
        <v>3071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8339</v>
      </c>
      <c r="C28" s="36"/>
      <c r="D28" s="228"/>
    </row>
    <row r="29" spans="1:7" s="15" customFormat="1">
      <c r="A29" s="230" t="s">
        <v>699</v>
      </c>
      <c r="B29" s="37">
        <f>SUM(HH_hh_gas_aantal,HH_rest_gas_aantal)</f>
        <v>5544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5544</v>
      </c>
      <c r="C32" s="167">
        <f>IF(ISERROR(B32/SUM($B$32,$B$34,$B$35,$B$36,$B$38,$B$39)*100),0,B32/SUM($B$32,$B$34,$B$35,$B$36,$B$38,$B$39)*100)</f>
        <v>66.859623733719246</v>
      </c>
      <c r="D32" s="233"/>
      <c r="G32" s="15"/>
    </row>
    <row r="33" spans="1:7">
      <c r="A33" s="171" t="s">
        <v>72</v>
      </c>
      <c r="B33" s="34" t="s">
        <v>111</v>
      </c>
      <c r="C33" s="167"/>
      <c r="D33" s="233"/>
      <c r="G33" s="15"/>
    </row>
    <row r="34" spans="1:7">
      <c r="A34" s="171" t="s">
        <v>73</v>
      </c>
      <c r="B34" s="33">
        <f>IF((($B$28-$B$32-$B$39-$B$77-$B$38)*C20/100)&lt;0,0,($B$28-$B$32-$B$39-$B$77-$B$38)*C20/100)</f>
        <v>216.96799999999999</v>
      </c>
      <c r="C34" s="167">
        <f>IF(ISERROR(B34/SUM($B$32,$B$34,$B$35,$B$36,$B$38,$B$39)*100),0,B34/SUM($B$32,$B$34,$B$35,$B$36,$B$38,$B$39)*100)</f>
        <v>2.6165943077665217</v>
      </c>
      <c r="D34" s="233"/>
      <c r="G34" s="15"/>
    </row>
    <row r="35" spans="1:7">
      <c r="A35" s="171" t="s">
        <v>74</v>
      </c>
      <c r="B35" s="33">
        <f>IF((($B$28-$B$32-$B$39-$B$77-$B$38)*C21/100)&lt;0,0,($B$28-$B$32-$B$39-$B$77-$B$38)*C21/100)</f>
        <v>1451.34</v>
      </c>
      <c r="C35" s="167">
        <f>IF(ISERROR(B35/SUM($B$32,$B$34,$B$35,$B$36,$B$38,$B$39)*100),0,B35/SUM($B$32,$B$34,$B$35,$B$36,$B$38,$B$39)*100)</f>
        <v>17.50289435600579</v>
      </c>
      <c r="D35" s="233"/>
      <c r="G35" s="15"/>
    </row>
    <row r="36" spans="1:7">
      <c r="A36" s="171" t="s">
        <v>75</v>
      </c>
      <c r="B36" s="33">
        <f>IF((($B$28-$B$32-$B$39-$B$77-$B$38)*C22/100)&lt;0,0,($B$28-$B$32-$B$39-$B$77-$B$38)*C22/100)</f>
        <v>164.19199999999998</v>
      </c>
      <c r="C36" s="167">
        <f>IF(ISERROR(B36/SUM($B$32,$B$34,$B$35,$B$36,$B$38,$B$39)*100),0,B36/SUM($B$32,$B$34,$B$35,$B$36,$B$38,$B$39)*100)</f>
        <v>1.980125422093584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915.5</v>
      </c>
      <c r="C39" s="167">
        <f>IF(ISERROR(B39/SUM($B$32,$B$34,$B$35,$B$36,$B$38,$B$39)*100),0,B39/SUM($B$32,$B$34,$B$35,$B$36,$B$38,$B$39)*100)</f>
        <v>11.040762180414857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5544</v>
      </c>
      <c r="C44" s="34" t="s">
        <v>111</v>
      </c>
      <c r="D44" s="174"/>
    </row>
    <row r="45" spans="1:7">
      <c r="A45" s="171" t="s">
        <v>72</v>
      </c>
      <c r="B45" s="33" t="str">
        <f t="shared" si="0"/>
        <v>-</v>
      </c>
      <c r="C45" s="34" t="s">
        <v>111</v>
      </c>
      <c r="D45" s="174"/>
    </row>
    <row r="46" spans="1:7">
      <c r="A46" s="171" t="s">
        <v>73</v>
      </c>
      <c r="B46" s="33">
        <f t="shared" si="0"/>
        <v>216.96799999999999</v>
      </c>
      <c r="C46" s="34" t="s">
        <v>111</v>
      </c>
      <c r="D46" s="174"/>
    </row>
    <row r="47" spans="1:7">
      <c r="A47" s="171" t="s">
        <v>74</v>
      </c>
      <c r="B47" s="33">
        <f t="shared" si="0"/>
        <v>1451.34</v>
      </c>
      <c r="C47" s="34" t="s">
        <v>111</v>
      </c>
      <c r="D47" s="174"/>
    </row>
    <row r="48" spans="1:7">
      <c r="A48" s="171" t="s">
        <v>75</v>
      </c>
      <c r="B48" s="33">
        <f t="shared" si="0"/>
        <v>164.19199999999998</v>
      </c>
      <c r="C48" s="33">
        <f>B48*10</f>
        <v>1641.9199999999998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915.5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20510.023532290001</v>
      </c>
      <c r="C5" s="17">
        <f>IF(ISERROR('Eigen informatie GS &amp; warmtenet'!B58),0,'Eigen informatie GS &amp; warmtenet'!B58)</f>
        <v>0</v>
      </c>
      <c r="D5" s="30">
        <f>SUM(D6:D12)</f>
        <v>21389.015405446262</v>
      </c>
      <c r="E5" s="17">
        <f>SUM(E6:E12)</f>
        <v>410.2181514661936</v>
      </c>
      <c r="F5" s="17">
        <f>SUM(F6:F12)</f>
        <v>4903.1856164267429</v>
      </c>
      <c r="G5" s="18"/>
      <c r="H5" s="17"/>
      <c r="I5" s="17"/>
      <c r="J5" s="17">
        <f>SUM(J6:J12)</f>
        <v>0</v>
      </c>
      <c r="K5" s="17"/>
      <c r="L5" s="17"/>
      <c r="M5" s="17"/>
      <c r="N5" s="17">
        <f>SUM(N6:N12)</f>
        <v>2319.5526882904392</v>
      </c>
      <c r="O5" s="17">
        <f>B38*B39*B40</f>
        <v>0</v>
      </c>
      <c r="P5" s="17">
        <f>B46*B47*B48/1000-B46*B47*B48/1000/B49</f>
        <v>76.266666666666666</v>
      </c>
      <c r="R5" s="32"/>
    </row>
    <row r="6" spans="1:18">
      <c r="A6" s="32" t="s">
        <v>54</v>
      </c>
      <c r="B6" s="37">
        <f>B26</f>
        <v>4948.9974753999995</v>
      </c>
      <c r="C6" s="33"/>
      <c r="D6" s="37">
        <f>IF(ISERROR(TER_kantoor_gas_kWh/1000),0,TER_kantoor_gas_kWh/1000)*0.902</f>
        <v>5569.2672222197998</v>
      </c>
      <c r="E6" s="33">
        <f>$C$26*'E Balans VL '!I12/100/3.6*1000000</f>
        <v>64.788473233890429</v>
      </c>
      <c r="F6" s="33">
        <f>$C$26*('E Balans VL '!L12+'E Balans VL '!N12)/100/3.6*1000000</f>
        <v>1261.9432151974572</v>
      </c>
      <c r="G6" s="34"/>
      <c r="H6" s="33"/>
      <c r="I6" s="33"/>
      <c r="J6" s="33">
        <f>$C$26*('E Balans VL '!D12+'E Balans VL '!E12)/100/3.6*1000000</f>
        <v>0</v>
      </c>
      <c r="K6" s="33"/>
      <c r="L6" s="33"/>
      <c r="M6" s="33"/>
      <c r="N6" s="33">
        <f>$C$26*'E Balans VL '!Y12/100/3.6*1000000</f>
        <v>4.9656629593162016</v>
      </c>
      <c r="O6" s="33"/>
      <c r="P6" s="33"/>
      <c r="R6" s="32"/>
    </row>
    <row r="7" spans="1:18">
      <c r="A7" s="32" t="s">
        <v>53</v>
      </c>
      <c r="B7" s="37">
        <f t="shared" ref="B7:B12" si="0">B27</f>
        <v>1229.6319321000001</v>
      </c>
      <c r="C7" s="33"/>
      <c r="D7" s="37">
        <f>IF(ISERROR(TER_horeca_gas_kWh/1000),0,TER_horeca_gas_kWh/1000)*0.902</f>
        <v>1119.7865086650002</v>
      </c>
      <c r="E7" s="33">
        <f>$C$27*'E Balans VL '!I9/100/3.6*1000000</f>
        <v>40.69333735237727</v>
      </c>
      <c r="F7" s="33">
        <f>$C$27*('E Balans VL '!L9+'E Balans VL '!N9)/100/3.6*1000000</f>
        <v>528.73701828261699</v>
      </c>
      <c r="G7" s="34"/>
      <c r="H7" s="33"/>
      <c r="I7" s="33"/>
      <c r="J7" s="33">
        <f>$C$27*('E Balans VL '!D9+'E Balans VL '!E9)/100/3.6*1000000</f>
        <v>0</v>
      </c>
      <c r="K7" s="33"/>
      <c r="L7" s="33"/>
      <c r="M7" s="33"/>
      <c r="N7" s="33">
        <f>$C$27*'E Balans VL '!Y9/100/3.6*1000000</f>
        <v>0.29599026227168101</v>
      </c>
      <c r="O7" s="33"/>
      <c r="P7" s="33"/>
      <c r="R7" s="32"/>
    </row>
    <row r="8" spans="1:18">
      <c r="A8" s="6" t="s">
        <v>52</v>
      </c>
      <c r="B8" s="37">
        <f t="shared" si="0"/>
        <v>7930.9512470000009</v>
      </c>
      <c r="C8" s="33"/>
      <c r="D8" s="37">
        <f>IF(ISERROR(TER_handel_gas_kWh/1000),0,TER_handel_gas_kWh/1000)*0.902</f>
        <v>3784.7209875243993</v>
      </c>
      <c r="E8" s="33">
        <f>$C$28*'E Balans VL '!I13/100/3.6*1000000</f>
        <v>250.31293948810995</v>
      </c>
      <c r="F8" s="33">
        <f>$C$28*('E Balans VL '!L13+'E Balans VL '!N13)/100/3.6*1000000</f>
        <v>1555.399194917585</v>
      </c>
      <c r="G8" s="34"/>
      <c r="H8" s="33"/>
      <c r="I8" s="33"/>
      <c r="J8" s="33">
        <f>$C$28*('E Balans VL '!D13+'E Balans VL '!E13)/100/3.6*1000000</f>
        <v>0</v>
      </c>
      <c r="K8" s="33"/>
      <c r="L8" s="33"/>
      <c r="M8" s="33"/>
      <c r="N8" s="33">
        <f>$C$28*'E Balans VL '!Y13/100/3.6*1000000</f>
        <v>9.4124993549073928</v>
      </c>
      <c r="O8" s="33"/>
      <c r="P8" s="33"/>
      <c r="R8" s="32"/>
    </row>
    <row r="9" spans="1:18">
      <c r="A9" s="32" t="s">
        <v>51</v>
      </c>
      <c r="B9" s="37">
        <f t="shared" si="0"/>
        <v>760.04481165000004</v>
      </c>
      <c r="C9" s="33"/>
      <c r="D9" s="37">
        <f>IF(ISERROR(TER_gezond_gas_kWh/1000),0,TER_gezond_gas_kWh/1000)*0.902</f>
        <v>855.10696071614007</v>
      </c>
      <c r="E9" s="33">
        <f>$C$29*'E Balans VL '!I10/100/3.6*1000000</f>
        <v>9.7307970508820368E-2</v>
      </c>
      <c r="F9" s="33">
        <f>$C$29*('E Balans VL '!L10+'E Balans VL '!N10)/100/3.6*1000000</f>
        <v>158.3491906641793</v>
      </c>
      <c r="G9" s="34"/>
      <c r="H9" s="33"/>
      <c r="I9" s="33"/>
      <c r="J9" s="33">
        <f>$C$29*('E Balans VL '!D10+'E Balans VL '!E10)/100/3.6*1000000</f>
        <v>0</v>
      </c>
      <c r="K9" s="33"/>
      <c r="L9" s="33"/>
      <c r="M9" s="33"/>
      <c r="N9" s="33">
        <f>$C$29*'E Balans VL '!Y10/100/3.6*1000000</f>
        <v>8.927085557235598</v>
      </c>
      <c r="O9" s="33"/>
      <c r="P9" s="33"/>
      <c r="R9" s="32"/>
    </row>
    <row r="10" spans="1:18">
      <c r="A10" s="32" t="s">
        <v>50</v>
      </c>
      <c r="B10" s="37">
        <f t="shared" si="0"/>
        <v>2594.4947398999998</v>
      </c>
      <c r="C10" s="33"/>
      <c r="D10" s="37">
        <f>IF(ISERROR(TER_ander_gas_kWh/1000),0,TER_ander_gas_kWh/1000)*0.902</f>
        <v>2171.9294082706001</v>
      </c>
      <c r="E10" s="33">
        <f>$C$30*'E Balans VL '!I14/100/3.6*1000000</f>
        <v>3.9015099529287331</v>
      </c>
      <c r="F10" s="33">
        <f>$C$30*('E Balans VL '!L14+'E Balans VL '!N14)/100/3.6*1000000</f>
        <v>572.78080607759296</v>
      </c>
      <c r="G10" s="34"/>
      <c r="H10" s="33"/>
      <c r="I10" s="33"/>
      <c r="J10" s="33">
        <f>$C$30*('E Balans VL '!D14+'E Balans VL '!E14)/100/3.6*1000000</f>
        <v>0</v>
      </c>
      <c r="K10" s="33"/>
      <c r="L10" s="33"/>
      <c r="M10" s="33"/>
      <c r="N10" s="33">
        <f>$C$30*'E Balans VL '!Y14/100/3.6*1000000</f>
        <v>2044.6364579540095</v>
      </c>
      <c r="O10" s="33"/>
      <c r="P10" s="33"/>
      <c r="R10" s="32"/>
    </row>
    <row r="11" spans="1:18">
      <c r="A11" s="32" t="s">
        <v>55</v>
      </c>
      <c r="B11" s="37">
        <f t="shared" si="0"/>
        <v>202.14972044000001</v>
      </c>
      <c r="C11" s="33"/>
      <c r="D11" s="37">
        <f>IF(ISERROR(TER_onderwijs_gas_kWh/1000),0,TER_onderwijs_gas_kWh/1000)*0.902</f>
        <v>449.48199493912</v>
      </c>
      <c r="E11" s="33">
        <f>$C$31*'E Balans VL '!I11/100/3.6*1000000</f>
        <v>0.35600259778285714</v>
      </c>
      <c r="F11" s="33">
        <f>$C$31*('E Balans VL '!L11+'E Balans VL '!N11)/100/3.6*1000000</f>
        <v>93.336183820289477</v>
      </c>
      <c r="G11" s="34"/>
      <c r="H11" s="33"/>
      <c r="I11" s="33"/>
      <c r="J11" s="33">
        <f>$C$31*('E Balans VL '!D11+'E Balans VL '!E11)/100/3.6*1000000</f>
        <v>0</v>
      </c>
      <c r="K11" s="33"/>
      <c r="L11" s="33"/>
      <c r="M11" s="33"/>
      <c r="N11" s="33">
        <f>$C$31*'E Balans VL '!Y11/100/3.6*1000000</f>
        <v>0.37660772466347042</v>
      </c>
      <c r="O11" s="33"/>
      <c r="P11" s="33"/>
      <c r="R11" s="32"/>
    </row>
    <row r="12" spans="1:18">
      <c r="A12" s="32" t="s">
        <v>260</v>
      </c>
      <c r="B12" s="37">
        <f t="shared" si="0"/>
        <v>2843.7536058000001</v>
      </c>
      <c r="C12" s="33"/>
      <c r="D12" s="37">
        <f>IF(ISERROR(TER_rest_gas_kWh/1000),0,TER_rest_gas_kWh/1000)*0.902</f>
        <v>7438.7223231112002</v>
      </c>
      <c r="E12" s="33">
        <f>$C$32*'E Balans VL '!I8/100/3.6*1000000</f>
        <v>50.068580870595554</v>
      </c>
      <c r="F12" s="33">
        <f>$C$32*('E Balans VL '!L8+'E Balans VL '!N8)/100/3.6*1000000</f>
        <v>732.64000746702163</v>
      </c>
      <c r="G12" s="34"/>
      <c r="H12" s="33"/>
      <c r="I12" s="33"/>
      <c r="J12" s="33">
        <f>$C$32*('E Balans VL '!D8+'E Balans VL '!E8)/100/3.6*1000000</f>
        <v>0</v>
      </c>
      <c r="K12" s="33"/>
      <c r="L12" s="33"/>
      <c r="M12" s="33"/>
      <c r="N12" s="33">
        <f>$C$32*'E Balans VL '!Y8/100/3.6*1000000</f>
        <v>250.93838447803543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20510.023532290001</v>
      </c>
      <c r="C16" s="21">
        <f t="shared" ca="1" si="1"/>
        <v>0</v>
      </c>
      <c r="D16" s="21">
        <f t="shared" ca="1" si="1"/>
        <v>21389.015405446262</v>
      </c>
      <c r="E16" s="21">
        <f t="shared" si="1"/>
        <v>410.2181514661936</v>
      </c>
      <c r="F16" s="21">
        <f t="shared" ca="1" si="1"/>
        <v>4903.1856164267429</v>
      </c>
      <c r="G16" s="21">
        <f t="shared" si="1"/>
        <v>0</v>
      </c>
      <c r="H16" s="21">
        <f t="shared" si="1"/>
        <v>0</v>
      </c>
      <c r="I16" s="21">
        <f t="shared" si="1"/>
        <v>0</v>
      </c>
      <c r="J16" s="21">
        <f t="shared" si="1"/>
        <v>0</v>
      </c>
      <c r="K16" s="21">
        <f t="shared" si="1"/>
        <v>0</v>
      </c>
      <c r="L16" s="21">
        <f t="shared" ca="1" si="1"/>
        <v>0</v>
      </c>
      <c r="M16" s="21">
        <f t="shared" si="1"/>
        <v>0</v>
      </c>
      <c r="N16" s="21">
        <f t="shared" ca="1" si="1"/>
        <v>2319.5526882904392</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0.20905636921151255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4287.7510521032291</v>
      </c>
      <c r="C20" s="23">
        <f t="shared" ref="C20:P20" ca="1" si="2">C16*C18</f>
        <v>0</v>
      </c>
      <c r="D20" s="23">
        <f t="shared" ca="1" si="2"/>
        <v>4320.5811119001455</v>
      </c>
      <c r="E20" s="23">
        <f t="shared" si="2"/>
        <v>93.119520382825954</v>
      </c>
      <c r="F20" s="23">
        <f t="shared" ca="1" si="2"/>
        <v>1309.1505595859405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4948.9974753999995</v>
      </c>
      <c r="C26" s="39">
        <f>IF(ISERROR(B26*3.6/1000000/'E Balans VL '!Z12*100),0,B26*3.6/1000000/'E Balans VL '!Z12*100)</f>
        <v>0.1060113706494948</v>
      </c>
      <c r="D26" s="237" t="s">
        <v>660</v>
      </c>
      <c r="F26" s="6"/>
    </row>
    <row r="27" spans="1:18">
      <c r="A27" s="231" t="s">
        <v>53</v>
      </c>
      <c r="B27" s="33">
        <f>IF(ISERROR(TER_horeca_ele_kWh/1000),0,TER_horeca_ele_kWh/1000)</f>
        <v>1229.6319321000001</v>
      </c>
      <c r="C27" s="39">
        <f>IF(ISERROR(B27*3.6/1000000/'E Balans VL '!Z9*100),0,B27*3.6/1000000/'E Balans VL '!Z9*100)</f>
        <v>9.8673688394056075E-2</v>
      </c>
      <c r="D27" s="237" t="s">
        <v>660</v>
      </c>
      <c r="F27" s="6"/>
    </row>
    <row r="28" spans="1:18">
      <c r="A28" s="171" t="s">
        <v>52</v>
      </c>
      <c r="B28" s="33">
        <f>IF(ISERROR(TER_handel_ele_kWh/1000),0,TER_handel_ele_kWh/1000)</f>
        <v>7930.9512470000009</v>
      </c>
      <c r="C28" s="39">
        <f>IF(ISERROR(B28*3.6/1000000/'E Balans VL '!Z13*100),0,B28*3.6/1000000/'E Balans VL '!Z13*100)</f>
        <v>0.23391757166460078</v>
      </c>
      <c r="D28" s="237" t="s">
        <v>660</v>
      </c>
      <c r="F28" s="6"/>
    </row>
    <row r="29" spans="1:18">
      <c r="A29" s="231" t="s">
        <v>51</v>
      </c>
      <c r="B29" s="33">
        <f>IF(ISERROR(TER_gezond_ele_kWh/1000),0,TER_gezond_ele_kWh/1000)</f>
        <v>760.04481165000004</v>
      </c>
      <c r="C29" s="39">
        <f>IF(ISERROR(B29*3.6/1000000/'E Balans VL '!Z10*100),0,B29*3.6/1000000/'E Balans VL '!Z10*100)</f>
        <v>8.1152408318667255E-2</v>
      </c>
      <c r="D29" s="237" t="s">
        <v>660</v>
      </c>
      <c r="F29" s="6"/>
    </row>
    <row r="30" spans="1:18">
      <c r="A30" s="231" t="s">
        <v>50</v>
      </c>
      <c r="B30" s="33">
        <f>IF(ISERROR(TER_ander_ele_kWh/1000),0,TER_ander_ele_kWh/1000)</f>
        <v>2594.4947398999998</v>
      </c>
      <c r="C30" s="39">
        <f>IF(ISERROR(B30*3.6/1000000/'E Balans VL '!Z14*100),0,B30*3.6/1000000/'E Balans VL '!Z14*100)</f>
        <v>0.19597237587453364</v>
      </c>
      <c r="D30" s="237" t="s">
        <v>660</v>
      </c>
      <c r="F30" s="6"/>
    </row>
    <row r="31" spans="1:18">
      <c r="A31" s="231" t="s">
        <v>55</v>
      </c>
      <c r="B31" s="33">
        <f>IF(ISERROR(TER_onderwijs_ele_kWh/1000),0,TER_onderwijs_ele_kWh/1000)</f>
        <v>202.14972044000001</v>
      </c>
      <c r="C31" s="39">
        <f>IF(ISERROR(B31*3.6/1000000/'E Balans VL '!Z11*100),0,B31*3.6/1000000/'E Balans VL '!Z11*100)</f>
        <v>4.0820776835837264E-2</v>
      </c>
      <c r="D31" s="237" t="s">
        <v>660</v>
      </c>
    </row>
    <row r="32" spans="1:18">
      <c r="A32" s="231" t="s">
        <v>260</v>
      </c>
      <c r="B32" s="33">
        <f>IF(ISERROR(TER_rest_ele_kWh/1000),0,TER_rest_ele_kWh/1000)</f>
        <v>2843.7536058000001</v>
      </c>
      <c r="C32" s="39">
        <f>IF(ISERROR(B32*3.6/1000000/'E Balans VL '!Z8*100),0,B32*3.6/1000000/'E Balans VL '!Z8*100)</f>
        <v>2.3578677290410896E-2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9650.174345170999</v>
      </c>
      <c r="C5" s="17">
        <f>IF(ISERROR('Eigen informatie GS &amp; warmtenet'!B59),0,'Eigen informatie GS &amp; warmtenet'!B59)</f>
        <v>0</v>
      </c>
      <c r="D5" s="30">
        <f>SUM(D6:D15)</f>
        <v>5908.7402965162</v>
      </c>
      <c r="E5" s="17">
        <f>SUM(E6:E15)</f>
        <v>670.14909017944979</v>
      </c>
      <c r="F5" s="17">
        <f>SUM(F6:F15)</f>
        <v>2578.9296872583873</v>
      </c>
      <c r="G5" s="18"/>
      <c r="H5" s="17"/>
      <c r="I5" s="17"/>
      <c r="J5" s="17">
        <f>SUM(J6:J15)</f>
        <v>109.7070258353796</v>
      </c>
      <c r="K5" s="17"/>
      <c r="L5" s="17"/>
      <c r="M5" s="17"/>
      <c r="N5" s="17">
        <f>SUM(N6:N15)</f>
        <v>3179.2397199129855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55.600626041000005</v>
      </c>
      <c r="C8" s="33"/>
      <c r="D8" s="37">
        <f>IF( ISERROR(IND_metaal_Gas_kWH/1000),0,IND_metaal_Gas_kWH/1000)*0.902</f>
        <v>0</v>
      </c>
      <c r="E8" s="33">
        <f>C30*'E Balans VL '!I18/100/3.6*1000000</f>
        <v>2.0006787282511205</v>
      </c>
      <c r="F8" s="33">
        <f>C30*'E Balans VL '!L18/100/3.6*1000000+C30*'E Balans VL '!N18/100/3.6*1000000</f>
        <v>24.278991013726117</v>
      </c>
      <c r="G8" s="34"/>
      <c r="H8" s="33"/>
      <c r="I8" s="33"/>
      <c r="J8" s="40">
        <f>C30*'E Balans VL '!D18/100/3.6*1000000+C30*'E Balans VL '!E18/100/3.6*1000000</f>
        <v>0</v>
      </c>
      <c r="K8" s="33"/>
      <c r="L8" s="33"/>
      <c r="M8" s="33"/>
      <c r="N8" s="33">
        <f>C30*'E Balans VL '!Y18/100/3.6*1000000</f>
        <v>2.7866655925458814</v>
      </c>
      <c r="O8" s="33"/>
      <c r="P8" s="33"/>
      <c r="R8" s="32"/>
    </row>
    <row r="9" spans="1:18">
      <c r="A9" s="6" t="s">
        <v>33</v>
      </c>
      <c r="B9" s="37">
        <f t="shared" si="0"/>
        <v>925.83816163999995</v>
      </c>
      <c r="C9" s="33"/>
      <c r="D9" s="37">
        <f>IF( ISERROR(IND_andere_gas_kWh/1000),0,IND_andere_gas_kWh/1000)*0.902</f>
        <v>753.21297228122</v>
      </c>
      <c r="E9" s="33">
        <f>C31*'E Balans VL '!I19/100/3.6*1000000</f>
        <v>236.25295117539835</v>
      </c>
      <c r="F9" s="33">
        <f>C31*'E Balans VL '!L19/100/3.6*1000000+C31*'E Balans VL '!N19/100/3.6*1000000</f>
        <v>797.07706847043482</v>
      </c>
      <c r="G9" s="34"/>
      <c r="H9" s="33"/>
      <c r="I9" s="33"/>
      <c r="J9" s="40">
        <f>C31*'E Balans VL '!D19/100/3.6*1000000+C31*'E Balans VL '!E19/100/3.6*1000000</f>
        <v>0</v>
      </c>
      <c r="K9" s="33"/>
      <c r="L9" s="33"/>
      <c r="M9" s="33"/>
      <c r="N9" s="33">
        <f>C31*'E Balans VL '!Y19/100/3.6*1000000</f>
        <v>289.54129979046081</v>
      </c>
      <c r="O9" s="33"/>
      <c r="P9" s="33"/>
      <c r="R9" s="32"/>
    </row>
    <row r="10" spans="1:18">
      <c r="A10" s="6" t="s">
        <v>41</v>
      </c>
      <c r="B10" s="37">
        <f t="shared" si="0"/>
        <v>142.31257183999998</v>
      </c>
      <c r="C10" s="33"/>
      <c r="D10" s="37">
        <f>IF( ISERROR(IND_voed_gas_kWh/1000),0,IND_voed_gas_kWh/1000)*0.902</f>
        <v>0</v>
      </c>
      <c r="E10" s="33">
        <f>C32*'E Balans VL '!I20/100/3.6*1000000</f>
        <v>3.617780987347551</v>
      </c>
      <c r="F10" s="33">
        <f>C32*'E Balans VL '!L20/100/3.6*1000000+C32*'E Balans VL '!N20/100/3.6*1000000</f>
        <v>32.203198711454398</v>
      </c>
      <c r="G10" s="34"/>
      <c r="H10" s="33"/>
      <c r="I10" s="33"/>
      <c r="J10" s="40">
        <f>C32*'E Balans VL '!D20/100/3.6*1000000+C32*'E Balans VL '!E20/100/3.6*1000000</f>
        <v>0</v>
      </c>
      <c r="K10" s="33"/>
      <c r="L10" s="33"/>
      <c r="M10" s="33"/>
      <c r="N10" s="33">
        <f>C32*'E Balans VL '!Y20/100/3.6*1000000</f>
        <v>53.371071973990645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689.73696455000004</v>
      </c>
      <c r="C13" s="33"/>
      <c r="D13" s="37">
        <f>IF( ISERROR(IND_papier_gas_kWh/1000),0,IND_papier_gas_kWh/1000)*0.902</f>
        <v>102.30153262758</v>
      </c>
      <c r="E13" s="33">
        <f>C35*'E Balans VL '!I23/100/3.6*1000000</f>
        <v>2.9580811842059762</v>
      </c>
      <c r="F13" s="33">
        <f>C35*'E Balans VL '!L23/100/3.6*1000000+C35*'E Balans VL '!N23/100/3.6*1000000</f>
        <v>17.335230726395586</v>
      </c>
      <c r="G13" s="34"/>
      <c r="H13" s="33"/>
      <c r="I13" s="33"/>
      <c r="J13" s="40">
        <f>C35*'E Balans VL '!D23/100/3.6*1000000+C35*'E Balans VL '!E23/100/3.6*1000000</f>
        <v>46.174106724991404</v>
      </c>
      <c r="K13" s="33"/>
      <c r="L13" s="33"/>
      <c r="M13" s="33"/>
      <c r="N13" s="33">
        <f>C35*'E Balans VL '!Y23/100/3.6*1000000</f>
        <v>1255.4853011891394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7836.6860210999994</v>
      </c>
      <c r="C15" s="33"/>
      <c r="D15" s="37">
        <f>IF( ISERROR(IND_rest_gas_kWh/1000),0,IND_rest_gas_kWh/1000)*0.902</f>
        <v>5053.2257916074004</v>
      </c>
      <c r="E15" s="33">
        <f>C37*'E Balans VL '!I15/100/3.6*1000000</f>
        <v>425.31959810424672</v>
      </c>
      <c r="F15" s="33">
        <f>C37*'E Balans VL '!L15/100/3.6*1000000+C37*'E Balans VL '!N15/100/3.6*1000000</f>
        <v>1708.0351983363764</v>
      </c>
      <c r="G15" s="34"/>
      <c r="H15" s="33"/>
      <c r="I15" s="33"/>
      <c r="J15" s="40">
        <f>C37*'E Balans VL '!D15/100/3.6*1000000+C37*'E Balans VL '!E15/100/3.6*1000000</f>
        <v>63.532919110388185</v>
      </c>
      <c r="K15" s="33"/>
      <c r="L15" s="33"/>
      <c r="M15" s="33"/>
      <c r="N15" s="33">
        <f>C37*'E Balans VL '!Y15/100/3.6*1000000</f>
        <v>1578.0553813668487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9650.174345170999</v>
      </c>
      <c r="C18" s="21">
        <f>C5+C16</f>
        <v>0</v>
      </c>
      <c r="D18" s="21">
        <f>MAX((D5+D16),0)</f>
        <v>5908.7402965162</v>
      </c>
      <c r="E18" s="21">
        <f>MAX((E5+E16),0)</f>
        <v>670.14909017944979</v>
      </c>
      <c r="F18" s="21">
        <f>MAX((F5+F16),0)</f>
        <v>2578.9296872583873</v>
      </c>
      <c r="G18" s="21"/>
      <c r="H18" s="21"/>
      <c r="I18" s="21"/>
      <c r="J18" s="21">
        <f>MAX((J5+J16),0)</f>
        <v>109.7070258353796</v>
      </c>
      <c r="K18" s="21"/>
      <c r="L18" s="21">
        <f>MAX((L5+L16),0)</f>
        <v>0</v>
      </c>
      <c r="M18" s="21"/>
      <c r="N18" s="21">
        <f>MAX((N5+N16),0)</f>
        <v>3179.2397199129855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0.20905636921151255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2017.4304108595347</v>
      </c>
      <c r="C22" s="23">
        <f ca="1">C18*C20</f>
        <v>0</v>
      </c>
      <c r="D22" s="23">
        <f>D18*D20</f>
        <v>1193.5655398962724</v>
      </c>
      <c r="E22" s="23">
        <f>E18*E20</f>
        <v>152.1238434707351</v>
      </c>
      <c r="F22" s="23">
        <f>F18*F20</f>
        <v>688.57422649798946</v>
      </c>
      <c r="G22" s="23"/>
      <c r="H22" s="23"/>
      <c r="I22" s="23"/>
      <c r="J22" s="23">
        <f>J18*J20</f>
        <v>38.836287145724377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55.600626041000005</v>
      </c>
      <c r="C30" s="39">
        <f>IF(ISERROR(B30*3.6/1000000/'E Balans VL '!Z18*100),0,B30*3.6/1000000/'E Balans VL '!Z18*100)</f>
        <v>1.1780580612082602E-2</v>
      </c>
      <c r="D30" s="237" t="s">
        <v>660</v>
      </c>
    </row>
    <row r="31" spans="1:18">
      <c r="A31" s="6" t="s">
        <v>33</v>
      </c>
      <c r="B31" s="37">
        <f>IF( ISERROR(IND_ander_ele_kWh/1000),0,IND_ander_ele_kWh/1000)</f>
        <v>925.83816163999995</v>
      </c>
      <c r="C31" s="39">
        <f>IF(ISERROR(B31*3.6/1000000/'E Balans VL '!Z19*100),0,B31*3.6/1000000/'E Balans VL '!Z19*100)</f>
        <v>3.8970630491863001E-2</v>
      </c>
      <c r="D31" s="237" t="s">
        <v>660</v>
      </c>
    </row>
    <row r="32" spans="1:18">
      <c r="A32" s="171" t="s">
        <v>41</v>
      </c>
      <c r="B32" s="37">
        <f>IF( ISERROR(IND_voed_ele_kWh/1000),0,IND_voed_ele_kWh/1000)</f>
        <v>142.31257183999998</v>
      </c>
      <c r="C32" s="39">
        <f>IF(ISERROR(B32*3.6/1000000/'E Balans VL '!Z20*100),0,B32*3.6/1000000/'E Balans VL '!Z20*100)</f>
        <v>2.3774925281881194E-2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689.73696455000004</v>
      </c>
      <c r="C35" s="39">
        <f>IF(ISERROR(B35*3.6/1000000/'E Balans VL '!Z22*100),0,B35*3.6/1000000/'E Balans VL '!Z22*100)</f>
        <v>8.7427879997176217E-2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7836.6860210999994</v>
      </c>
      <c r="C37" s="39">
        <f>IF(ISERROR(B37*3.6/1000000/'E Balans VL '!Z15*100),0,B37*3.6/1000000/'E Balans VL '!Z15*100)</f>
        <v>6.3268600752250354E-2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576.80844331000003</v>
      </c>
      <c r="C5" s="17">
        <f>'Eigen informatie GS &amp; warmtenet'!B60</f>
        <v>0</v>
      </c>
      <c r="D5" s="30">
        <f>IF(ISERROR(SUM(LB_lb_gas_kWh,LB_rest_gas_kWh)/1000),0,SUM(LB_lb_gas_kWh,LB_rest_gas_kWh)/1000)*0.902</f>
        <v>19418.237606415998</v>
      </c>
      <c r="E5" s="17">
        <f>B17*'E Balans VL '!I25/3.6*1000000/100</f>
        <v>14.873675064593245</v>
      </c>
      <c r="F5" s="17">
        <f>B17*('E Balans VL '!L25/3.6*1000000+'E Balans VL '!N25/3.6*1000000)/100</f>
        <v>2108.3447081299846</v>
      </c>
      <c r="G5" s="18"/>
      <c r="H5" s="17"/>
      <c r="I5" s="17"/>
      <c r="J5" s="17">
        <f>('E Balans VL '!D25+'E Balans VL '!E25)/3.6*1000000*landbouw!B17/100</f>
        <v>83.039196982238494</v>
      </c>
      <c r="K5" s="17"/>
      <c r="L5" s="17">
        <f>L6*(-1)</f>
        <v>0</v>
      </c>
      <c r="M5" s="17"/>
      <c r="N5" s="17">
        <f>N6*(-1)</f>
        <v>0</v>
      </c>
      <c r="O5" s="17"/>
      <c r="P5" s="17"/>
      <c r="R5" s="32"/>
    </row>
    <row r="6" spans="1:18">
      <c r="A6" s="16" t="s">
        <v>491</v>
      </c>
      <c r="B6" s="17" t="s">
        <v>211</v>
      </c>
      <c r="C6" s="17">
        <f>'lokale energieproductie'!O92+'lokale energieproductie'!O61</f>
        <v>12947.142857142855</v>
      </c>
      <c r="D6" s="310">
        <f>('lokale energieproductie'!P61+'lokale energieproductie'!P92)*(-1)</f>
        <v>-25894.28571428571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576.80844331000003</v>
      </c>
      <c r="C8" s="21">
        <f>C5+C6</f>
        <v>12947.142857142855</v>
      </c>
      <c r="D8" s="21">
        <f>MAX((D5+D6),0)</f>
        <v>0</v>
      </c>
      <c r="E8" s="21">
        <f>MAX((E5+E6),0)</f>
        <v>14.873675064593245</v>
      </c>
      <c r="F8" s="21">
        <f>MAX((F5+F6),0)</f>
        <v>2108.3447081299846</v>
      </c>
      <c r="G8" s="21"/>
      <c r="H8" s="21"/>
      <c r="I8" s="21"/>
      <c r="J8" s="21">
        <f>MAX((J5+J6),0)</f>
        <v>83.039196982238494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0.20905636921151255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120.58547888893317</v>
      </c>
      <c r="C12" s="23">
        <f ca="1">C8*C10</f>
        <v>3076.8504201680662</v>
      </c>
      <c r="D12" s="23">
        <f>D8*D10</f>
        <v>0</v>
      </c>
      <c r="E12" s="23">
        <f>E8*E10</f>
        <v>3.3763242396626669</v>
      </c>
      <c r="F12" s="23">
        <f>F8*F10</f>
        <v>562.92803707070595</v>
      </c>
      <c r="G12" s="23"/>
      <c r="H12" s="23"/>
      <c r="I12" s="23"/>
      <c r="J12" s="23">
        <f>J8*J10</f>
        <v>29.395875731712426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8.1333811200167555E-2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89.485214577775608</v>
      </c>
      <c r="C26" s="247">
        <f>B26*'GWP N2O_CH4'!B5</f>
        <v>1879.1895061332878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6.9813618915817379</v>
      </c>
      <c r="C27" s="247">
        <f>B27*'GWP N2O_CH4'!B5</f>
        <v>146.60859972321649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1.2307999115949035</v>
      </c>
      <c r="C28" s="247">
        <f>B28*'GWP N2O_CH4'!B4</f>
        <v>381.54797259442012</v>
      </c>
      <c r="D28" s="50"/>
    </row>
    <row r="29" spans="1:4">
      <c r="A29" s="41" t="s">
        <v>277</v>
      </c>
      <c r="B29" s="247">
        <f>B34*'ha_N2O bodem landbouw'!B4</f>
        <v>9.7717937206432577</v>
      </c>
      <c r="C29" s="247">
        <f>B29*'GWP N2O_CH4'!B4</f>
        <v>3029.2560533994097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2.1991846018624096E-3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9.9924006747189803E-5</v>
      </c>
      <c r="C5" s="463" t="s">
        <v>211</v>
      </c>
      <c r="D5" s="448">
        <f>SUM(D6:D11)</f>
        <v>2.4649355011945441E-4</v>
      </c>
      <c r="E5" s="448">
        <f>SUM(E6:E11)</f>
        <v>9.5829009753086098E-4</v>
      </c>
      <c r="F5" s="461" t="s">
        <v>211</v>
      </c>
      <c r="G5" s="448">
        <f>SUM(G6:G11)</f>
        <v>0.28697609703920979</v>
      </c>
      <c r="H5" s="448">
        <f>SUM(H6:H11)</f>
        <v>6.6104357955887399E-2</v>
      </c>
      <c r="I5" s="463" t="s">
        <v>211</v>
      </c>
      <c r="J5" s="463" t="s">
        <v>211</v>
      </c>
      <c r="K5" s="463" t="s">
        <v>211</v>
      </c>
      <c r="L5" s="463" t="s">
        <v>211</v>
      </c>
      <c r="M5" s="448">
        <f>SUM(M6:M11)</f>
        <v>1.1022080114075775E-2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5.9194162405831638E-5</v>
      </c>
      <c r="C6" s="449"/>
      <c r="D6" s="892">
        <f>vkm_2011_GW_PW*SUMIFS(TableVerdeelsleutelVkm[CNG],TableVerdeelsleutelVkm[Voertuigtype],"Lichte voertuigen")*SUMIFS(TableECFTransport[EnergieConsumptieFactor (PJ per km)],TableECFTransport[Index],CONCATENATE($A6,"_CNG_CNG"))</f>
        <v>1.1761983757697316E-4</v>
      </c>
      <c r="E6" s="892">
        <f>vkm_2011_GW_PW*SUMIFS(TableVerdeelsleutelVkm[LPG],TableVerdeelsleutelVkm[Voertuigtype],"Lichte voertuigen")*SUMIFS(TableECFTransport[EnergieConsumptieFactor (PJ per km)],TableECFTransport[Index],CONCATENATE($A6,"_LPG_LPG"))</f>
        <v>4.6287622441639262E-4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0.11005608395683987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3.1843228546671036E-2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4.4217136093503955E-3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4.5927032313853991E-2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1.4836393142027005E-5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1.4470905163566201E-3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3.0699578793914549E-5</v>
      </c>
      <c r="C8" s="449"/>
      <c r="D8" s="451">
        <f>vkm_2011_NGW_PW*SUMIFS(TableVerdeelsleutelVkm[CNG],TableVerdeelsleutelVkm[Voertuigtype],"Lichte voertuigen")*SUMIFS(TableECFTransport[EnergieConsumptieFactor (PJ per km)],TableECFTransport[Index],CONCATENATE($A8,"_CNG_CNG"))</f>
        <v>1.0800981161333757E-4</v>
      </c>
      <c r="E8" s="451">
        <f>vkm_2011_NGW_PW*SUMIFS(TableVerdeelsleutelVkm[LPG],TableVerdeelsleutelVkm[Voertuigtype],"Lichte voertuigen")*SUMIFS(TableECFTransport[EnergieConsumptieFactor (PJ per km)],TableECFTransport[Index],CONCATENATE($A8,"_LPG_LPG"))</f>
        <v>3.9310293510663171E-4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8.7279902119502858E-2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2.8354157171933327E-2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3.599643144170083E-3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1.1073860767981005E-2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3.3831583610503024E-6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3.4891458511502227E-4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1.0030265547443625E-5</v>
      </c>
      <c r="C10" s="449"/>
      <c r="D10" s="451">
        <f>vkm_2011_SW_PW*SUMIFS(TableVerdeelsleutelVkm[CNG],TableVerdeelsleutelVkm[Voertuigtype],"Lichte voertuigen")*SUMIFS(TableECFTransport[EnergieConsumptieFactor (PJ per km)],TableECFTransport[Index],CONCATENATE($A10,"_CNG_CNG"))</f>
        <v>2.0863900929143686E-5</v>
      </c>
      <c r="E10" s="451">
        <f>vkm_2011_SW_PW*SUMIFS(TableVerdeelsleutelVkm[LPG],TableVerdeelsleutelVkm[Voertuigtype],"Lichte voertuigen")*SUMIFS(TableECFTransport[EnergieConsumptieFactor (PJ per km)],TableECFTransport[Index],CONCATENATE($A10,"_LPG_LPG"))</f>
        <v>1.0231093800783662E-4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2.1791055099974432E-2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5.8849768906234275E-3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8.6290110894867008E-4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1.0848162781057638E-2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3.7757951565339041E-6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3.4181715013498171E-4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27.756668540886057</v>
      </c>
      <c r="C14" s="21"/>
      <c r="D14" s="21">
        <f t="shared" ref="D14:M14" si="0">((D5)*10^9/3600)+D12</f>
        <v>68.470430588737344</v>
      </c>
      <c r="E14" s="21">
        <f t="shared" si="0"/>
        <v>266.19169375857251</v>
      </c>
      <c r="F14" s="21"/>
      <c r="G14" s="21">
        <f t="shared" si="0"/>
        <v>79715.582510891603</v>
      </c>
      <c r="H14" s="21">
        <f t="shared" si="0"/>
        <v>18362.321654413168</v>
      </c>
      <c r="I14" s="21"/>
      <c r="J14" s="21"/>
      <c r="K14" s="21"/>
      <c r="L14" s="21"/>
      <c r="M14" s="21">
        <f t="shared" si="0"/>
        <v>3061.6889205766038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0.20905636921151255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5.8027083465650513</v>
      </c>
      <c r="C18" s="23"/>
      <c r="D18" s="23">
        <f t="shared" ref="D18:M18" si="1">D14*D16</f>
        <v>13.831026978924944</v>
      </c>
      <c r="E18" s="23">
        <f t="shared" si="1"/>
        <v>60.425514483195961</v>
      </c>
      <c r="F18" s="23"/>
      <c r="G18" s="23">
        <f t="shared" si="1"/>
        <v>21284.06053040806</v>
      </c>
      <c r="H18" s="23">
        <f t="shared" si="1"/>
        <v>4572.2180919488792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1.7228115561366806E-2</v>
      </c>
      <c r="H50" s="321">
        <f t="shared" si="2"/>
        <v>0</v>
      </c>
      <c r="I50" s="321">
        <f t="shared" si="2"/>
        <v>0</v>
      </c>
      <c r="J50" s="321">
        <f t="shared" si="2"/>
        <v>0</v>
      </c>
      <c r="K50" s="321">
        <f t="shared" si="2"/>
        <v>0</v>
      </c>
      <c r="L50" s="321">
        <f t="shared" si="2"/>
        <v>0</v>
      </c>
      <c r="M50" s="321">
        <f t="shared" si="2"/>
        <v>5.343776022820523E-4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1.7228115561366806E-2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5.343776022820523E-4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4785.5876559352246</v>
      </c>
      <c r="H54" s="21">
        <f t="shared" si="3"/>
        <v>0</v>
      </c>
      <c r="I54" s="21">
        <f t="shared" si="3"/>
        <v>0</v>
      </c>
      <c r="J54" s="21">
        <f t="shared" si="3"/>
        <v>0</v>
      </c>
      <c r="K54" s="21">
        <f t="shared" si="3"/>
        <v>0</v>
      </c>
      <c r="L54" s="21">
        <f t="shared" si="3"/>
        <v>0</v>
      </c>
      <c r="M54" s="21">
        <f t="shared" si="3"/>
        <v>148.43822285612563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0.20905636921151255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1277.751904134705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4411.4099154694368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9062.9999999999982</v>
      </c>
      <c r="C8" s="570">
        <f>B101</f>
        <v>10662.352941176468</v>
      </c>
      <c r="D8" s="1043"/>
      <c r="E8" s="1043">
        <f>E101</f>
        <v>0</v>
      </c>
      <c r="F8" s="1044"/>
      <c r="G8" s="571"/>
      <c r="H8" s="1043">
        <f>I101</f>
        <v>0</v>
      </c>
      <c r="I8" s="1043">
        <f>G101+F101</f>
        <v>0</v>
      </c>
      <c r="J8" s="1043">
        <f>H101+D101+C101</f>
        <v>0</v>
      </c>
      <c r="K8" s="1043"/>
      <c r="L8" s="1043"/>
      <c r="M8" s="1043"/>
      <c r="N8" s="572"/>
      <c r="O8" s="573">
        <f>C8*$C$12+D8*$D$12+E8*$E$12+F8*$F$12+G8*$G$12+H8*$H$12+I8*$I$12+J8*$J$12</f>
        <v>2153.7952941176468</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13474.409915469434</v>
      </c>
      <c r="C10" s="583">
        <f t="shared" ref="C10:L10" si="0">SUM(C8:C9)</f>
        <v>10662.352941176468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2153.7952941176468</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12947.142857142855</v>
      </c>
      <c r="C17" s="595">
        <f>B102</f>
        <v>15231.932773109238</v>
      </c>
      <c r="D17" s="596"/>
      <c r="E17" s="596">
        <f>E102</f>
        <v>0</v>
      </c>
      <c r="F17" s="1049"/>
      <c r="G17" s="597"/>
      <c r="H17" s="595">
        <f>I102</f>
        <v>0</v>
      </c>
      <c r="I17" s="596">
        <f>G102+F102</f>
        <v>0</v>
      </c>
      <c r="J17" s="596">
        <f>H102+D102+C102</f>
        <v>0</v>
      </c>
      <c r="K17" s="596"/>
      <c r="L17" s="596"/>
      <c r="M17" s="596"/>
      <c r="N17" s="1050"/>
      <c r="O17" s="598">
        <f>C17*$C$22+E17*$E$22+H17*$H$22+I17*$I$22+J17*$J$22+D17*$D$22+F17*$F$22+G17*$G$22+K17*$K$22+L17*$L$22</f>
        <v>3076.8504201680662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12947.142857142855</v>
      </c>
      <c r="C20" s="582">
        <f>SUM(C17:C19)</f>
        <v>15231.932773109238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3076.8504201680662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24038</v>
      </c>
      <c r="C28" s="796">
        <v>3020</v>
      </c>
      <c r="D28" s="653" t="s">
        <v>890</v>
      </c>
      <c r="E28" s="652" t="s">
        <v>891</v>
      </c>
      <c r="F28" s="652" t="s">
        <v>892</v>
      </c>
      <c r="G28" s="652" t="s">
        <v>893</v>
      </c>
      <c r="H28" s="652" t="s">
        <v>894</v>
      </c>
      <c r="I28" s="652" t="s">
        <v>891</v>
      </c>
      <c r="J28" s="795">
        <v>40091</v>
      </c>
      <c r="K28" s="795">
        <v>40091</v>
      </c>
      <c r="L28" s="652" t="s">
        <v>895</v>
      </c>
      <c r="M28" s="652">
        <v>2014</v>
      </c>
      <c r="N28" s="652">
        <v>9062.9999999999982</v>
      </c>
      <c r="O28" s="652">
        <v>12947.142857142855</v>
      </c>
      <c r="P28" s="652">
        <v>25894.28571428571</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2014</v>
      </c>
      <c r="N58" s="610">
        <f>SUM(N28:N57)</f>
        <v>9062.9999999999982</v>
      </c>
      <c r="O58" s="610">
        <f t="shared" ref="O58:W58" si="2">SUM(O28:O57)</f>
        <v>12947.142857142855</v>
      </c>
      <c r="P58" s="610">
        <f t="shared" si="2"/>
        <v>25894.28571428571</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2014</v>
      </c>
      <c r="N61" s="615">
        <f t="shared" si="4"/>
        <v>9062.9999999999982</v>
      </c>
      <c r="O61" s="615">
        <f t="shared" si="4"/>
        <v>12947.142857142855</v>
      </c>
      <c r="P61" s="615">
        <f t="shared" si="4"/>
        <v>25894.28571428571</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10662.352941176468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15231.932773109238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2019-08-12T08:23:47Z</dcterms:modified>
</cp:coreProperties>
</file>