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<sst xmlns="http://schemas.openxmlformats.org/spreadsheetml/2006/main" count="2392" uniqueCount="890">
  <si>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</si>
  <si>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</si>
  <si>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</si>
  <si>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</si>
  <si>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</si>
  <si>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</si>
  <si>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</si>
  <si>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</si>
  <si>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</si>
  <si>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</si>
  <si>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</si>
  <si>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</si>
  <si>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</si>
  <si>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</si>
  <si>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</si>
  <si>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</si>
  <si>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</si>
  <si>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</si>
  <si>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</si>
  <si>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</si>
  <si>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</si>
  <si>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</si>
  <si>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</si>
  <si>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</si>
  <si>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</si>
  <si>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</si>
  <si>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</si>
  <si>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</si>
  <si>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</si>
  <si>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</si>
  <si>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</si>
  <si>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</si>
  <si>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</si>
  <si>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</si>
  <si>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</si>
  <si>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</si>
  <si>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</si>
  <si>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</si>
  <si>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</si>
  <si>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</si>
  <si>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</si>
  <si>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</si>
  <si>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</si>
  <si>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</si>
  <si>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</si>
  <si>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</si>
  <si>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</si>
  <si>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</si>
  <si>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</si>
  <si>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</si>
  <si>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</si>
  <si>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</si>
  <si>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</si>
  <si>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</si>
  <si>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</si>
  <si>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</si>
  <si>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</si>
  <si>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</si>
  <si>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</si>
  <si>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</si>
  <si>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</si>
  <si>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</si>
  <si>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</si>
  <si>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</si>
  <si>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</si>
  <si>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</si>
  <si>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</si>
  <si>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</si>
  <si>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</si>
  <si>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</si>
  <si>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</si>
  <si>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</si>
  <si>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</si>
  <si>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</si>
  <si>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</si>
  <si>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</si>
  <si>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</si>
  <si>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</si>
  <si>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</si>
  <si>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</si>
  <si>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</si>
  <si>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</si>
  <si>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</si>
  <si>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</si>
  <si>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</si>
  <si>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</si>
  <si>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</si>
  <si>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</si>
  <si>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</si>
  <si>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</si>
  <si>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</si>
  <si>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</si>
  <si>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</si>
  <si>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</si>
  <si>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</si>
  <si>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</si>
  <si>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</si>
  <si>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</si>
  <si>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</si>
  <si>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</si>
  <si>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</si>
  <si>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</si>
  <si>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</si>
  <si>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</si>
  <si>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</si>
  <si>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</si>
  <si>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</si>
  <si>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</si>
  <si>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</si>
  <si>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</si>
  <si>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</si>
  <si>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</si>
  <si>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</si>
  <si>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</si>
  <si>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</si>
  <si>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</si>
  <si>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</si>
  <si>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</si>
  <si>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</si>
  <si>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</si>
  <si>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</si>
  <si>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</si>
  <si>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</si>
  <si>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</si>
  <si>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</si>
  <si>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</si>
  <si>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</si>
  <si>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</si>
  <si>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</si>
  <si>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</si>
  <si>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</si>
  <si>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</si>
  <si>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</si>
  <si>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</si>
  <si>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</si>
  <si>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</si>
  <si>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</si>
  <si>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</si>
  <si>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</si>
  <si>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</si>
  <si>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</si>
  <si>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</si>
  <si>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</si>
  <si>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</si>
  <si>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</si>
  <si>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</si>
  <si>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</si>
  <si>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</si>
  <si>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</si>
  <si>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</si>
  <si>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</si>
  <si>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</si>
  <si>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</si>
  <si>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</si>
  <si>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</si>
  <si>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</si>
  <si>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</si>
  <si>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</si>
  <si>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</si>
  <si>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</si>
  <si>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</si>
  <si>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</si>
  <si>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</si>
  <si>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</si>
  <si>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</si>
  <si>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</si>
  <si>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</si>
  <si>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</si>
  <si>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</si>
  <si>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</si>
  <si>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</si>
  <si>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</si>
  <si>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</si>
  <si>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</si>
  <si>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</si>
  <si>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</si>
  <si>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</si>
  <si>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</si>
  <si>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</si>
  <si>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</si>
  <si>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</si>
  <si>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</si>
  <si>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</si>
  <si>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</si>
  <si>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</si>
  <si>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</si>
  <si>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</si>
  <si>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</si>
  <si>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</si>
  <si>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</si>
  <si>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</si>
  <si>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</si>
  <si>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</si>
  <si>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</si>
  <si>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</si>
  <si>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</si>
  <si>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</si>
  <si>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</si>
  <si>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</si>
  <si>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</si>
  <si>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</si>
  <si>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</si>
  <si>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</si>
  <si>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</si>
  <si>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</si>
  <si>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</si>
  <si>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</si>
  <si>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</si>
  <si>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</si>
  <si>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</si>
  <si>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</si>
  <si>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</si>
  <si>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</si>
  <si>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</si>
  <si>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</si>
  <si>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</si>
  <si>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</si>
  <si>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</si>
  <si>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</si>
  <si>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</si>
  <si>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</si>
  <si>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</si>
  <si>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</si>
  <si>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</si>
  <si>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</si>
  <si>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</si>
  <si>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</si>
  <si>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</si>
  <si>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</si>
  <si>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</si>
  <si>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</si>
  <si>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</si>
  <si>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</si>
  <si>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</si>
  <si>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</si>
  <si>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</si>
  <si>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</si>
  <si>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</si>
  <si>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</si>
  <si>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</si>
  <si>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</si>
  <si>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</si>
  <si>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</si>
  <si>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</si>
  <si>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</si>
  <si>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</si>
  <si>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</si>
  <si>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</si>
  <si>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</si>
  <si>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</si>
  <si>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</si>
  <si>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</si>
  <si>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</si>
  <si>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</si>
  <si>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</si>
  <si>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</si>
  <si>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</si>
  <si>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</si>
  <si>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</si>
  <si>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</si>
  <si>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</si>
  <si>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</si>
  <si>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</si>
  <si>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</si>
  <si>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</si>
  <si>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</si>
  <si>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</si>
  <si>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</si>
  <si>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</si>
  <si>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</si>
  <si>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</si>
  <si>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</si>
  <si>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</si>
  <si>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</si>
  <si>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</si>
  <si>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</si>
  <si>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</si>
  <si>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</si>
  <si>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</si>
  <si>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</si>
  <si>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</si>
  <si>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</si>
  <si>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</si>
  <si>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</si>
  <si>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</si>
  <si>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</si>
  <si>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</si>
  <si>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</si>
  <si>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</si>
  <si>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</si>
  <si>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</si>
  <si>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</si>
  <si>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</si>
  <si>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</si>
  <si>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</si>
  <si>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</si>
  <si>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</si>
  <si>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</si>
  <si>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</si>
  <si>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</si>
  <si>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</si>
  <si>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</si>
  <si>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</si>
  <si>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</si>
  <si>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</si>
  <si>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</si>
  <si>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</si>
  <si>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</si>
  <si>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</si>
  <si>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</si>
  <si>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</si>
  <si>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</si>
  <si>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</si>
  <si>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</si>
  <si>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</si>
  <si>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</si>
  <si>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</si>
  <si>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</si>
  <si>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</si>
  <si>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</si>
  <si>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</si>
  <si>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</si>
  <si>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</si>
  <si>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</si>
  <si>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</si>
  <si>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</si>
  <si>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</si>
  <si>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</si>
  <si>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</si>
  <si>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</si>
  <si>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</si>
  <si>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</si>
  <si>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</si>
  <si>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</si>
  <si>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</si>
  <si>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</si>
  <si>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</si>
  <si>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</si>
  <si>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</si>
  <si>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</si>
  <si>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</si>
  <si>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</si>
  <si>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</si>
  <si>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</si>
  <si>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</si>
  <si>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</si>
  <si>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</si>
  <si>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</si>
  <si>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</si>
  <si>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</si>
  <si>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</si>
  <si>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</si>
  <si>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</si>
  <si>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</si>
  <si>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</si>
  <si>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</si>
  <si>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</si>
  <si>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</si>
  <si>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</si>
  <si>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</si>
  <si>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</si>
  <si>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</si>
  <si>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</si>
  <si>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</si>
  <si>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</si>
  <si>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</si>
  <si>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</si>
  <si>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</si>
  <si>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</si>
  <si>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</si>
  <si>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</si>
  <si>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</si>
  <si>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</si>
  <si>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</si>
  <si>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</si>
  <si>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</si>
  <si>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</si>
  <si>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</si>
  <si>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</si>
  <si>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</si>
  <si>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</si>
  <si>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</si>
  <si>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</si>
  <si>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</si>
  <si>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</si>
  <si>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</si>
  <si>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</si>
  <si>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</si>
  <si>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</si>
  <si>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</si>
  <si>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</si>
  <si>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</si>
  <si>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</si>
  <si>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</si>
  <si>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</si>
  <si>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</si>
  <si>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</si>
  <si>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</si>
  <si>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</si>
  <si>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</si>
  <si>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</si>
  <si>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</si>
  <si>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</si>
  <si>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</si>
  <si>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</si>
  <si>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</si>
  <si>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</si>
  <si>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</si>
  <si>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</si>
  <si>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</si>
  <si>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</si>
  <si>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</si>
  <si>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</si>
  <si>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</si>
  <si>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</si>
  <si>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</si>
  <si>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</si>
  <si>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</si>
  <si>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</si>
  <si>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</si>
  <si>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</si>
  <si>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</si>
  <si>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</si>
  <si>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</si>
  <si>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</si>
  <si>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</si>
  <si>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</si>
  <si>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</si>
  <si>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</si>
  <si>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</si>
  <si>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</si>
  <si>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</si>
  <si>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</si>
  <si>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</si>
  <si>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</si>
  <si>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</si>
  <si>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</si>
  <si>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</si>
  <si>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</si>
  <si>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</si>
  <si>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</si>
  <si>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</si>
  <si>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</si>
  <si>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</si>
  <si>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</si>
  <si>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</si>
  <si>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</si>
  <si>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</si>
  <si>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</si>
  <si>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</si>
  <si>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</si>
  <si>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</si>
  <si>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</si>
  <si>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</si>
  <si>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</si>
  <si>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</si>
  <si>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</si>
  <si>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</si>
  <si>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</si>
  <si>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</si>
  <si>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</si>
  <si>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</si>
  <si>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</si>
  <si>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</si>
  <si>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</si>
  <si>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</si>
  <si>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</si>
  <si>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</si>
  <si>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</si>
  <si>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</si>
  <si>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</si>
  <si>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</si>
  <si>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</si>
  <si>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</si>
  <si>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</si>
  <si>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</si>
  <si>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</si>
  <si>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</si>
  <si>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</si>
  <si>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</si>
  <si>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</si>
  <si>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</si>
  <si>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</si>
  <si>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</si>
  <si>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</si>
  <si>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</si>
  <si>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</si>
  <si>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</si>
  <si>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</si>
  <si>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</si>
  <si>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</si>
  <si>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</si>
  <si>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</si>
  <si>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</si>
  <si>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</si>
  <si>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</si>
  <si>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</si>
  <si>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</si>
  <si>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</si>
  <si>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</si>
  <si>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</si>
  <si>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</si>
  <si>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</si>
  <si>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</si>
  <si>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</si>
  <si>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</si>
  <si>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</si>
  <si>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</si>
  <si>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</si>
  <si>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</si>
  <si>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</si>
  <si>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</si>
  <si>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</si>
  <si>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</si>
  <si>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</si>
  <si>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</si>
  <si>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</si>
  <si>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</si>
  <si>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</si>
  <si>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</si>
  <si>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</si>
  <si>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</si>
  <si>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</si>
  <si>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</si>
  <si>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</si>
  <si>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</si>
  <si>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</si>
  <si>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</si>
  <si>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</si>
  <si>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</si>
  <si>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</si>
  <si>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</si>
  <si>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</si>
  <si>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</si>
  <si>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</si>
  <si>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</si>
  <si>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</si>
  <si>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</si>
  <si>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</si>
  <si>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</si>
  <si>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</si>
  <si>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</si>
  <si>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</si>
  <si>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</si>
  <si>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</si>
  <si>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</si>
  <si>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</si>
  <si>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</si>
  <si>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</si>
  <si>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</si>
  <si>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</si>
  <si>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</si>
  <si>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</si>
  <si>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</si>
  <si>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</si>
  <si>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</si>
  <si>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</si>
  <si>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</si>
  <si>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</si>
  <si>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</si>
  <si>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</si>
  <si>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</si>
  <si>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</si>
  <si>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</si>
  <si>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</si>
  <si>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</si>
  <si>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</si>
  <si>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</si>
  <si>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</si>
  <si>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</si>
  <si>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</si>
  <si>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</si>
  <si>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</si>
  <si>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</si>
  <si>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</si>
  <si>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</si>
  <si>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</si>
  <si>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</si>
  <si>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</si>
  <si>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</si>
  <si>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</si>
  <si>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</si>
  <si>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</si>
  <si>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</si>
  <si>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</si>
  <si>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</si>
  <si>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</si>
  <si>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</si>
  <si>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</si>
  <si>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</si>
  <si>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</si>
  <si>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</si>
  <si>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</si>
  <si>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</si>
  <si>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</si>
  <si>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</si>
  <si>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</si>
  <si>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</si>
  <si>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</si>
  <si>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</si>
  <si>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</si>
  <si>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</si>
  <si>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</si>
  <si>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</si>
  <si>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</si>
  <si>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</si>
  <si>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</si>
  <si>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</si>
  <si>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</si>
  <si>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</si>
  <si>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</si>
  <si>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</si>
  <si>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</si>
  <si>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</si>
  <si>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</si>
  <si>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</si>
  <si>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</si>
  <si>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</si>
  <si>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</si>
  <si>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</si>
  <si>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</si>
  <si>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</si>
  <si>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</si>
  <si>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</si>
  <si>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</si>
  <si>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</si>
  <si>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</si>
  <si>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</si>
  <si>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</si>
  <si>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</si>
  <si>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</si>
  <si>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</si>
  <si>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</si>
  <si>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</si>
  <si>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</si>
  <si>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</si>
  <si>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</si>
  <si>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</si>
  <si>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</si>
  <si>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</si>
  <si>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</si>
  <si>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</si>
  <si>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</si>
  <si>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</si>
  <si>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</si>
  <si>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</si>
  <si>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</si>
  <si>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</si>
  <si>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</si>
  <si>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</si>
  <si>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</si>
  <si>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</si>
  <si>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</si>
  <si>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</si>
  <si>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</si>
  <si>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</si>
  <si>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</si>
  <si>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</si>
  <si>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</si>
  <si>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</si>
  <si>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</si>
  <si>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</si>
  <si>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</si>
  <si>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</si>
  <si>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</si>
  <si>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</si>
  <si>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</si>
  <si>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</si>
  <si>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</si>
  <si>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</si>
  <si>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</si>
  <si>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</si>
  <si>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</si>
  <si>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</si>
  <si>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</si>
  <si>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</si>
  <si>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</si>
  <si>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</si>
  <si>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</si>
  <si>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</si>
  <si>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</si>
  <si>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</si>
  <si>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</si>
  <si>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</si>
  <si>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</si>
  <si>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</si>
  <si>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</si>
  <si>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</si>
  <si>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</si>
  <si>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</si>
  <si>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</si>
  <si>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</si>
  <si>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</si>
  <si>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</si>
  <si>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</si>
  <si>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</si>
  <si>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</si>
  <si>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</si>
  <si>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</si>
  <si>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</si>
  <si>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</si>
  <si>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</si>
  <si>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</si>
  <si>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</si>
  <si>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</si>
  <si>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</si>
  <si>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</si>
  <si>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</si>
  <si>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</si>
  <si>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</si>
  <si>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</si>
  <si>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</si>
  <si>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</si>
  <si>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</si>
  <si>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</si>
  <si>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</si>
  <si>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</si>
  <si>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</si>
  <si>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</si>
  <si>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</si>
  <si>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</si>
  <si>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</si>
  <si>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</si>
  <si>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</si>
  <si>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</si>
  <si>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</si>
  <si>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</si>
  <si>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</si>
  <si>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</si>
  <si>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</si>
  <si>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</si>
  <si>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</si>
  <si>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</si>
  <si>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</si>
  <si>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</si>
  <si>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</si>
  <si>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</si>
  <si>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</si>
  <si>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</si>
  <si>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</si>
  <si>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</si>
  <si>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</si>
  <si>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</si>
  <si>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</si>
  <si>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</si>
  <si>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</si>
  <si>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</si>
  <si>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</si>
  <si>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</si>
  <si>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</si>
  <si>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</si>
  <si>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</si>
  <si>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</si>
  <si>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</si>
  <si>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</si>
  <si>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</si>
  <si>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</si>
  <si>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</si>
  <si>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</si>
  <si>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</si>
  <si>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</si>
  <si>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</si>
  <si>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</si>
  <si>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</si>
  <si>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</si>
  <si>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</si>
  <si>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</si>
  <si>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</si>
  <si>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</si>
  <si>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</si>
  <si>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</si>
  <si>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</si>
  <si>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</si>
  <si>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</si>
  <si>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</si>
  <si>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</si>
  <si>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</si>
  <si>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</si>
  <si>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</si>
  <si>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</si>
  <si>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</si>
  <si>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</si>
  <si>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</si>
  <si>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</si>
  <si>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</si>
  <si>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</si>
  <si>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</si>
  <si>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</si>
  <si>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</si>
  <si>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</si>
  <si>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</si>
  <si>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</si>
  <si>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</si>
  <si>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</si>
  <si>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</si>
  <si>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</si>
  <si>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</si>
  <si>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</si>
  <si>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</si>
  <si>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</si>
  <si>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</si>
  <si>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</si>
  <si>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</si>
  <si>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</si>
  <si>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</si>
  <si>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</si>
  <si>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</si>
  <si>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</si>
  <si>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</si>
  <si>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</si>
  <si>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</si>
  <si>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</si>
  <si>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</si>
  <si>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</si>
  <si>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</si>
  <si>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</si>
  <si>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</si>
  <si>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</si>
  <si>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</si>
  <si>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</si>
  <si>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</si>
  <si>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</si>
  <si>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</si>
  <si>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</si>
  <si>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</si>
  <si>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</si>
  <si>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</si>
  <si>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</si>
  <si>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</si>
  <si>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</si>
  <si>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</si>
  <si>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</si>
  <si>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</si>
  <si>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</si>
  <si>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</si>
  <si>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</si>
  <si>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</si>
  <si>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</si>
  <si>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</si>
  <si>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</si>
  <si>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</si>
  <si>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</si>
  <si>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</si>
  <si>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</si>
  <si>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</si>
  <si>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</si>
  <si>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</si>
  <si>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</si>
  <si>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</si>
  <si>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</si>
  <si>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</si>
  <si>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</si>
  <si>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</si>
  <si>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</si>
  <si>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</si>
  <si>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</si>
  <si>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</si>
  <si>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</si>
  <si>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</si>
  <si>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</si>
  <si>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</si>
  <si>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</si>
  <si>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</si>
  <si>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</si>
  <si>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</si>
  <si>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</si>
  <si>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</si>
  <si>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</si>
  <si>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</si>
  <si>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</si>
  <si>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</si>
  <si>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</si>
  <si>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</si>
  <si>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</si>
  <si>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</si>
  <si>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</si>
  <si>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</si>
  <si>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</si>
  <si>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</si>
  <si>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</si>
  <si>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</si>
  <si>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</si>
  <si>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24033</t>
  </si>
  <si>
    <t>HAACHT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</si>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</sst>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124225.46940411499</c:v>
                </c:pt>
                <c:pt idx="1">
                  <c:v>26875.027609381559</c:v>
                </c:pt>
                <c:pt idx="2">
                  <c:v>1158.056</c:v>
                </c:pt>
                <c:pt idx="3">
                  <c:v>3638.8653633885369</c:v>
                </c:pt>
                <c:pt idx="4">
                  <c:v>15176.873033059102</c:v>
                </c:pt>
                <c:pt idx="5">
                  <c:v>61030.622796972435</c:v>
                </c:pt>
                <c:pt idx="6">
                  <c:v>1770.1913474009953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124225.46940411499</c:v>
                </c:pt>
                <c:pt idx="1">
                  <c:v>26875.027609381559</c:v>
                </c:pt>
                <c:pt idx="2">
                  <c:v>1158.056</c:v>
                </c:pt>
                <c:pt idx="3">
                  <c:v>3638.8653633885369</c:v>
                </c:pt>
                <c:pt idx="4">
                  <c:v>15176.873033059102</c:v>
                </c:pt>
                <c:pt idx="5">
                  <c:v>61030.622796972435</c:v>
                </c:pt>
                <c:pt idx="6">
                  <c:v>1770.1913474009953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26759.02859460855</c:v>
                </c:pt>
                <c:pt idx="2">
                  <c:v>5453.5211483158419</c:v>
                </c:pt>
                <c:pt idx="3">
                  <c:v>236.546762664243</c:v>
                </c:pt>
                <c:pt idx="4">
                  <c:v>931.98072946853586</c:v>
                </c:pt>
                <c:pt idx="5">
                  <c:v>2900.210548339242</c:v>
                </c:pt>
                <c:pt idx="6">
                  <c:v>15606.61235408147</c:v>
                </c:pt>
                <c:pt idx="7">
                  <c:v>458.42186895429751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26759.02859460855</c:v>
                </c:pt>
                <c:pt idx="2">
                  <c:v>5453.5211483158419</c:v>
                </c:pt>
                <c:pt idx="3">
                  <c:v>236.546762664243</c:v>
                </c:pt>
                <c:pt idx="4">
                  <c:v>931.98072946853586</c:v>
                </c:pt>
                <c:pt idx="5">
                  <c:v>2900.210548339242</c:v>
                </c:pt>
                <c:pt idx="6">
                  <c:v>15606.61235408147</c:v>
                </c:pt>
                <c:pt idx="7">
                  <c:v>458.42186895429751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24033</v>
      </c>
      <c r="B6" s="415"/>
      <c r="C6" s="416"/>
    </row>
    <row r="7" spans="1:7" s="413" customFormat="1" ht="15.75" customHeight="1">
      <c r="A7" s="417" t="str">
        <f>txtMunicipality</f>
        <v>HAACHT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0.20426193782014254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0.20426193782014254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5695</v>
      </c>
      <c r="C9" s="342">
        <v>6134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1114.7</v>
      </c>
    </row>
    <row r="15" spans="1:6">
      <c r="A15" s="348" t="s">
        <v>184</v>
      </c>
      <c r="B15" s="334">
        <v>1</v>
      </c>
    </row>
    <row r="16" spans="1:6">
      <c r="A16" s="348" t="s">
        <v>6</v>
      </c>
      <c r="B16" s="334">
        <v>0</v>
      </c>
    </row>
    <row r="17" spans="1:6">
      <c r="A17" s="348" t="s">
        <v>7</v>
      </c>
      <c r="B17" s="334">
        <v>180</v>
      </c>
    </row>
    <row r="18" spans="1:6">
      <c r="A18" s="348" t="s">
        <v>8</v>
      </c>
      <c r="B18" s="334">
        <v>322</v>
      </c>
    </row>
    <row r="19" spans="1:6">
      <c r="A19" s="348" t="s">
        <v>9</v>
      </c>
      <c r="B19" s="334">
        <v>691</v>
      </c>
    </row>
    <row r="20" spans="1:6">
      <c r="A20" s="348" t="s">
        <v>10</v>
      </c>
      <c r="B20" s="334">
        <v>158</v>
      </c>
    </row>
    <row r="21" spans="1:6">
      <c r="A21" s="348" t="s">
        <v>11</v>
      </c>
      <c r="B21" s="334">
        <v>2008</v>
      </c>
    </row>
    <row r="22" spans="1:6">
      <c r="A22" s="348" t="s">
        <v>12</v>
      </c>
      <c r="B22" s="334">
        <v>2726</v>
      </c>
    </row>
    <row r="23" spans="1:6">
      <c r="A23" s="348" t="s">
        <v>13</v>
      </c>
      <c r="B23" s="334">
        <v>69</v>
      </c>
    </row>
    <row r="24" spans="1:6">
      <c r="A24" s="348" t="s">
        <v>14</v>
      </c>
      <c r="B24" s="334">
        <v>3</v>
      </c>
    </row>
    <row r="25" spans="1:6">
      <c r="A25" s="348" t="s">
        <v>15</v>
      </c>
      <c r="B25" s="334">
        <v>475</v>
      </c>
    </row>
    <row r="26" spans="1:6">
      <c r="A26" s="348" t="s">
        <v>16</v>
      </c>
      <c r="B26" s="334">
        <v>15</v>
      </c>
    </row>
    <row r="27" spans="1:6">
      <c r="A27" s="348" t="s">
        <v>17</v>
      </c>
      <c r="B27" s="334">
        <v>7</v>
      </c>
    </row>
    <row r="28" spans="1:6" s="356" customFormat="1">
      <c r="A28" s="355" t="s">
        <v>18</v>
      </c>
      <c r="B28" s="355">
        <v>5</v>
      </c>
    </row>
    <row r="29" spans="1:6">
      <c r="A29" s="355" t="s">
        <v>884</v>
      </c>
      <c r="B29" s="355">
        <v>97</v>
      </c>
      <c r="C29" s="356"/>
      <c r="D29" s="356"/>
      <c r="E29" s="356"/>
      <c r="F29" s="356"/>
    </row>
    <row r="30" spans="1:6">
      <c r="A30" s="355" t="s">
        <v>885</v>
      </c>
      <c r="B30" s="341">
        <v>31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172887.93958999999</v>
      </c>
      <c r="E38" s="334">
        <v>1</v>
      </c>
      <c r="F38" s="334">
        <v>41432.015662999998</v>
      </c>
    </row>
    <row r="39" spans="1:6">
      <c r="A39" s="348" t="s">
        <v>30</v>
      </c>
      <c r="B39" s="348" t="s">
        <v>31</v>
      </c>
      <c r="C39" s="334">
        <v>2296</v>
      </c>
      <c r="D39" s="334">
        <v>36993677.788999997</v>
      </c>
      <c r="E39" s="334">
        <v>5672</v>
      </c>
      <c r="F39" s="334">
        <v>23995790.175000001</v>
      </c>
    </row>
    <row r="40" spans="1:6">
      <c r="A40" s="348" t="s">
        <v>30</v>
      </c>
      <c r="B40" s="348" t="s">
        <v>29</v>
      </c>
      <c r="C40" s="334">
        <v>0</v>
      </c>
      <c r="D40" s="334">
        <v>0</v>
      </c>
      <c r="E40" s="334">
        <v>0</v>
      </c>
      <c r="F40" s="334">
        <v>0</v>
      </c>
    </row>
    <row r="41" spans="1:6">
      <c r="A41" s="348" t="s">
        <v>32</v>
      </c>
      <c r="B41" s="348" t="s">
        <v>33</v>
      </c>
      <c r="C41" s="334">
        <v>25</v>
      </c>
      <c r="D41" s="334">
        <v>521973.33645</v>
      </c>
      <c r="E41" s="334">
        <v>65</v>
      </c>
      <c r="F41" s="334">
        <v>602739.69033000001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801798.00009999995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44073.614433000002</v>
      </c>
    </row>
    <row r="48" spans="1:6">
      <c r="A48" s="348" t="s">
        <v>32</v>
      </c>
      <c r="B48" s="348" t="s">
        <v>29</v>
      </c>
      <c r="C48" s="334">
        <v>13</v>
      </c>
      <c r="D48" s="334">
        <v>712697.00913000002</v>
      </c>
      <c r="E48" s="334">
        <v>31</v>
      </c>
      <c r="F48" s="334">
        <v>7479541.5728000002</v>
      </c>
    </row>
    <row r="49" spans="1:6">
      <c r="A49" s="348" t="s">
        <v>32</v>
      </c>
      <c r="B49" s="348" t="s">
        <v>40</v>
      </c>
      <c r="C49" s="334">
        <v>0</v>
      </c>
      <c r="D49" s="334">
        <v>0</v>
      </c>
      <c r="E49" s="334">
        <v>0</v>
      </c>
      <c r="F49" s="334">
        <v>0</v>
      </c>
    </row>
    <row r="50" spans="1:6">
      <c r="A50" s="348" t="s">
        <v>32</v>
      </c>
      <c r="B50" s="348" t="s">
        <v>41</v>
      </c>
      <c r="C50" s="334">
        <v>0</v>
      </c>
      <c r="D50" s="334">
        <v>0</v>
      </c>
      <c r="E50" s="334">
        <v>5</v>
      </c>
      <c r="F50" s="334">
        <v>102842.54465</v>
      </c>
    </row>
    <row r="51" spans="1:6">
      <c r="A51" s="348" t="s">
        <v>42</v>
      </c>
      <c r="B51" s="348" t="s">
        <v>43</v>
      </c>
      <c r="C51" s="334">
        <v>0</v>
      </c>
      <c r="D51" s="334">
        <v>0</v>
      </c>
      <c r="E51" s="334">
        <v>30</v>
      </c>
      <c r="F51" s="334">
        <v>564254.19122000004</v>
      </c>
    </row>
    <row r="52" spans="1:6">
      <c r="A52" s="348" t="s">
        <v>42</v>
      </c>
      <c r="B52" s="348" t="s">
        <v>29</v>
      </c>
      <c r="C52" s="334">
        <v>1</v>
      </c>
      <c r="D52" s="334">
        <v>19340.863969999999</v>
      </c>
      <c r="E52" s="334">
        <v>9</v>
      </c>
      <c r="F52" s="334">
        <v>186308.51905</v>
      </c>
    </row>
    <row r="53" spans="1:6">
      <c r="A53" s="348" t="s">
        <v>44</v>
      </c>
      <c r="B53" s="348" t="s">
        <v>45</v>
      </c>
      <c r="C53" s="334">
        <v>63</v>
      </c>
      <c r="D53" s="334">
        <v>1864242.0637999999</v>
      </c>
      <c r="E53" s="334">
        <v>162</v>
      </c>
      <c r="F53" s="334">
        <v>568164.40957000002</v>
      </c>
    </row>
    <row r="54" spans="1:6">
      <c r="A54" s="348" t="s">
        <v>46</v>
      </c>
      <c r="B54" s="348" t="s">
        <v>47</v>
      </c>
      <c r="C54" s="334">
        <v>0</v>
      </c>
      <c r="D54" s="334">
        <v>0</v>
      </c>
      <c r="E54" s="334">
        <v>1</v>
      </c>
      <c r="F54" s="334">
        <v>1158056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638717.06344000006</v>
      </c>
      <c r="E57" s="334">
        <v>63</v>
      </c>
      <c r="F57" s="334">
        <v>1004512.0167</v>
      </c>
    </row>
    <row r="58" spans="1:6">
      <c r="A58" s="348" t="s">
        <v>49</v>
      </c>
      <c r="B58" s="348" t="s">
        <v>51</v>
      </c>
      <c r="C58" s="334">
        <v>14</v>
      </c>
      <c r="D58" s="334">
        <v>404133.32844999997</v>
      </c>
      <c r="E58" s="334">
        <v>44</v>
      </c>
      <c r="F58" s="334">
        <v>635024.48731</v>
      </c>
    </row>
    <row r="59" spans="1:6">
      <c r="A59" s="348" t="s">
        <v>49</v>
      </c>
      <c r="B59" s="348" t="s">
        <v>52</v>
      </c>
      <c r="C59" s="334">
        <v>28</v>
      </c>
      <c r="D59" s="334">
        <v>1188707.9679</v>
      </c>
      <c r="E59" s="334">
        <v>94</v>
      </c>
      <c r="F59" s="334">
        <v>3615913.2787000001</v>
      </c>
    </row>
    <row r="60" spans="1:6">
      <c r="A60" s="348" t="s">
        <v>49</v>
      </c>
      <c r="B60" s="348" t="s">
        <v>53</v>
      </c>
      <c r="C60" s="334">
        <v>26</v>
      </c>
      <c r="D60" s="334">
        <v>1035714.7454</v>
      </c>
      <c r="E60" s="334">
        <v>57</v>
      </c>
      <c r="F60" s="334">
        <v>1182130.2106000001</v>
      </c>
    </row>
    <row r="61" spans="1:6">
      <c r="A61" s="348" t="s">
        <v>49</v>
      </c>
      <c r="B61" s="348" t="s">
        <v>54</v>
      </c>
      <c r="C61" s="334">
        <v>71</v>
      </c>
      <c r="D61" s="334">
        <v>2591635.7667</v>
      </c>
      <c r="E61" s="334">
        <v>267</v>
      </c>
      <c r="F61" s="334">
        <v>3170036.2450000001</v>
      </c>
    </row>
    <row r="62" spans="1:6">
      <c r="A62" s="348" t="s">
        <v>49</v>
      </c>
      <c r="B62" s="348" t="s">
        <v>55</v>
      </c>
      <c r="C62" s="334">
        <v>3</v>
      </c>
      <c r="D62" s="334">
        <v>1484006.2657000001</v>
      </c>
      <c r="E62" s="334">
        <v>9</v>
      </c>
      <c r="F62" s="334">
        <v>547181.13465999998</v>
      </c>
    </row>
    <row r="63" spans="1:6">
      <c r="A63" s="348" t="s">
        <v>49</v>
      </c>
      <c r="B63" s="348" t="s">
        <v>29</v>
      </c>
      <c r="C63" s="334">
        <v>89</v>
      </c>
      <c r="D63" s="334">
        <v>2734787.4331</v>
      </c>
      <c r="E63" s="334">
        <v>109</v>
      </c>
      <c r="F63" s="334">
        <v>2871082.3448999999</v>
      </c>
    </row>
    <row r="64" spans="1:6">
      <c r="A64" s="348" t="s">
        <v>56</v>
      </c>
      <c r="B64" s="348" t="s">
        <v>57</v>
      </c>
      <c r="C64" s="334">
        <v>0</v>
      </c>
      <c r="D64" s="334">
        <v>0</v>
      </c>
      <c r="E64" s="334">
        <v>0</v>
      </c>
      <c r="F64" s="334">
        <v>0</v>
      </c>
    </row>
    <row r="65" spans="1:6">
      <c r="A65" s="348" t="s">
        <v>56</v>
      </c>
      <c r="B65" s="348" t="s">
        <v>29</v>
      </c>
      <c r="C65" s="334">
        <v>3</v>
      </c>
      <c r="D65" s="334">
        <v>109501.36543000001</v>
      </c>
      <c r="E65" s="334">
        <v>0</v>
      </c>
      <c r="F65" s="334">
        <v>0</v>
      </c>
    </row>
    <row r="66" spans="1:6">
      <c r="A66" s="348" t="s">
        <v>56</v>
      </c>
      <c r="B66" s="348" t="s">
        <v>58</v>
      </c>
      <c r="C66" s="334">
        <v>0</v>
      </c>
      <c r="D66" s="334">
        <v>0</v>
      </c>
      <c r="E66" s="334">
        <v>4</v>
      </c>
      <c r="F66" s="334">
        <v>13674.480742</v>
      </c>
    </row>
    <row r="67" spans="1:6">
      <c r="A67" s="355" t="s">
        <v>56</v>
      </c>
      <c r="B67" s="355" t="s">
        <v>59</v>
      </c>
      <c r="C67" s="334">
        <v>0</v>
      </c>
      <c r="D67" s="334">
        <v>0</v>
      </c>
      <c r="E67" s="334">
        <v>0</v>
      </c>
      <c r="F67" s="334">
        <v>0</v>
      </c>
    </row>
    <row r="68" spans="1:6">
      <c r="A68" s="341" t="s">
        <v>56</v>
      </c>
      <c r="B68" s="341" t="s">
        <v>60</v>
      </c>
      <c r="C68" s="334">
        <v>0</v>
      </c>
      <c r="D68" s="334">
        <v>0</v>
      </c>
      <c r="E68" s="334">
        <v>9</v>
      </c>
      <c r="F68" s="334">
        <v>177080.75375999999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36039500</v>
      </c>
      <c r="E73" s="475">
        <v>39004321.44021707</v>
      </c>
    </row>
    <row r="74" spans="1:6">
      <c r="A74" s="348" t="s">
        <v>64</v>
      </c>
      <c r="B74" s="348" t="s">
        <v>667</v>
      </c>
      <c r="C74" s="1294" t="s">
        <v>669</v>
      </c>
      <c r="D74" s="475">
        <v>3217963.3686311869</v>
      </c>
      <c r="E74" s="475">
        <v>3403499.9615664319</v>
      </c>
    </row>
    <row r="75" spans="1:6">
      <c r="A75" s="348" t="s">
        <v>65</v>
      </c>
      <c r="B75" s="348" t="s">
        <v>666</v>
      </c>
      <c r="C75" s="1294" t="s">
        <v>670</v>
      </c>
      <c r="D75" s="475">
        <v>27063958</v>
      </c>
      <c r="E75" s="475">
        <v>28885145.087026451</v>
      </c>
    </row>
    <row r="76" spans="1:6">
      <c r="A76" s="348" t="s">
        <v>65</v>
      </c>
      <c r="B76" s="348" t="s">
        <v>667</v>
      </c>
      <c r="C76" s="1294" t="s">
        <v>671</v>
      </c>
      <c r="D76" s="475">
        <v>1849631.3686311869</v>
      </c>
      <c r="E76" s="475">
        <v>1927436.7236967636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475449.26273762615</v>
      </c>
      <c r="C83" s="475">
        <v>475449.26273762615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3150.5378885160189</v>
      </c>
    </row>
    <row r="92" spans="1:6">
      <c r="A92" s="341" t="s">
        <v>69</v>
      </c>
      <c r="B92" s="342">
        <v>764.71250224475921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1</v>
      </c>
    </row>
    <row r="99" spans="1:6">
      <c r="A99" s="348" t="s">
        <v>73</v>
      </c>
      <c r="B99" s="334">
        <v>140</v>
      </c>
    </row>
    <row r="100" spans="1:6">
      <c r="A100" s="348" t="s">
        <v>74</v>
      </c>
      <c r="B100" s="334">
        <v>474</v>
      </c>
    </row>
    <row r="101" spans="1:6">
      <c r="A101" s="348" t="s">
        <v>75</v>
      </c>
      <c r="B101" s="334">
        <v>57</v>
      </c>
    </row>
    <row r="102" spans="1:6">
      <c r="A102" s="348" t="s">
        <v>76</v>
      </c>
      <c r="B102" s="334">
        <v>47</v>
      </c>
    </row>
    <row r="103" spans="1:6">
      <c r="A103" s="348" t="s">
        <v>77</v>
      </c>
      <c r="B103" s="334">
        <v>149</v>
      </c>
    </row>
    <row r="104" spans="1:6">
      <c r="A104" s="348" t="s">
        <v>78</v>
      </c>
      <c r="B104" s="334">
        <v>3452</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25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1</v>
      </c>
    </row>
    <row r="131" spans="1:6">
      <c r="A131" s="348" t="s">
        <v>296</v>
      </c>
      <c r="B131" s="334">
        <v>4</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51694.773687685112</v>
      </c>
      <c r="C3" s="43" t="s">
        <v>170</v>
      </c>
      <c r="D3" s="43"/>
      <c r="E3" s="154"/>
      <c r="F3" s="43"/>
      <c r="G3" s="43"/>
      <c r="H3" s="43"/>
      <c r="I3" s="43"/>
      <c r="J3" s="43"/>
      <c r="K3" s="96"/>
    </row>
    <row r="4" spans="1:11">
      <c r="A4" s="383" t="s">
        <v>171</v>
      </c>
      <c r="B4" s="49">
        <f>IF(ISERROR('SEAP template'!B78+'SEAP template'!C78),0,'SEAP template'!B78+'SEAP template'!C78)</f>
        <v>3915.2503907607779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0.20426193782014254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1158.056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1158.056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0.20426193782014254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236.546762664243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23995.790175000002</v>
      </c>
      <c r="C5" s="17">
        <f>IF(ISERROR('Eigen informatie GS &amp; warmtenet'!B57),0,'Eigen informatie GS &amp; warmtenet'!B57)</f>
        <v>0</v>
      </c>
      <c r="D5" s="30">
        <f>(SUM(HH_hh_gas_kWh,HH_rest_gas_kWh)/1000)*0.902</f>
        <v>33368.297365677994</v>
      </c>
      <c r="E5" s="17">
        <f>B46*B57</f>
        <v>6334.424306532409</v>
      </c>
      <c r="F5" s="17">
        <f>B51*B62</f>
        <v>48823.058555069802</v>
      </c>
      <c r="G5" s="18"/>
      <c r="H5" s="17"/>
      <c r="I5" s="17"/>
      <c r="J5" s="17">
        <f>B50*B61+C50*C61</f>
        <v>0</v>
      </c>
      <c r="K5" s="17"/>
      <c r="L5" s="17"/>
      <c r="M5" s="17"/>
      <c r="N5" s="17">
        <f>B48*B59+C48*C59</f>
        <v>7324.5744466521001</v>
      </c>
      <c r="O5" s="17">
        <f>B69*B70*B71</f>
        <v>256.38666666666671</v>
      </c>
      <c r="P5" s="17">
        <f>B77*B78*B79/1000-B77*B78*B79/1000/B80</f>
        <v>972.4</v>
      </c>
    </row>
    <row r="6" spans="1:16">
      <c r="A6" s="16" t="s">
        <v>624</v>
      </c>
      <c r="B6" s="788">
        <f>kWh_PV_kleiner_dan_10kW</f>
        <v>3150.5378885160189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27146.328063516019</v>
      </c>
      <c r="C8" s="21">
        <f>C5</f>
        <v>0</v>
      </c>
      <c r="D8" s="21">
        <f>D5</f>
        <v>33368.297365677994</v>
      </c>
      <c r="E8" s="21">
        <f>E5</f>
        <v>6334.424306532409</v>
      </c>
      <c r="F8" s="21">
        <f>F5</f>
        <v>48823.058555069802</v>
      </c>
      <c r="G8" s="21"/>
      <c r="H8" s="21"/>
      <c r="I8" s="21"/>
      <c r="J8" s="21">
        <f>J5</f>
        <v>0</v>
      </c>
      <c r="K8" s="21"/>
      <c r="L8" s="21">
        <f>L5</f>
        <v>0</v>
      </c>
      <c r="M8" s="21">
        <f>M5</f>
        <v>0</v>
      </c>
      <c r="N8" s="21">
        <f>N5</f>
        <v>7324.5744466521001</v>
      </c>
      <c r="O8" s="21">
        <f>O5</f>
        <v>256.38666666666671</v>
      </c>
      <c r="P8" s="21">
        <f>P5</f>
        <v>972.4</v>
      </c>
    </row>
    <row r="9" spans="1:16">
      <c r="B9" s="19"/>
      <c r="C9" s="19"/>
      <c r="D9" s="258"/>
      <c r="E9" s="19"/>
      <c r="F9" s="19"/>
      <c r="G9" s="19"/>
      <c r="H9" s="19"/>
      <c r="I9" s="19"/>
      <c r="J9" s="19"/>
      <c r="K9" s="19"/>
      <c r="L9" s="19"/>
      <c r="M9" s="19"/>
      <c r="N9" s="19"/>
      <c r="O9" s="19"/>
      <c r="P9" s="19"/>
    </row>
    <row r="10" spans="1:16">
      <c r="A10" s="24" t="s">
        <v>214</v>
      </c>
      <c r="B10" s="25">
        <f ca="1">'EF ele_warmte'!B12</f>
        <v>0.20426193782014254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5544.9615749550994</v>
      </c>
      <c r="C12" s="23">
        <f ca="1">C10*C8</f>
        <v>0</v>
      </c>
      <c r="D12" s="23">
        <f>D8*D10</f>
        <v>6740.3960678669555</v>
      </c>
      <c r="E12" s="23">
        <f>E10*E8</f>
        <v>1437.9143175828569</v>
      </c>
      <c r="F12" s="23">
        <f>F10*F8</f>
        <v>13035.756634203637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1</v>
      </c>
      <c r="C19" s="166" t="s">
        <v>111</v>
      </c>
      <c r="D19" s="229"/>
      <c r="E19" s="15"/>
    </row>
    <row r="20" spans="1:7">
      <c r="A20" s="171" t="s">
        <v>73</v>
      </c>
      <c r="B20" s="37">
        <f>aantalw2001_propaan</f>
        <v>140</v>
      </c>
      <c r="C20" s="167">
        <f>IF(ISERROR(B20/SUM($B$20,$B$21,$B$22)*100),0,B20/SUM($B$20,$B$21,$B$22)*100)</f>
        <v>20.864381520119224</v>
      </c>
      <c r="D20" s="229"/>
      <c r="E20" s="15"/>
    </row>
    <row r="21" spans="1:7">
      <c r="A21" s="171" t="s">
        <v>74</v>
      </c>
      <c r="B21" s="37">
        <f>aantalw2001_elektriciteit</f>
        <v>474</v>
      </c>
      <c r="C21" s="167">
        <f>IF(ISERROR(B21/SUM($B$20,$B$21,$B$22)*100),0,B21/SUM($B$20,$B$21,$B$22)*100)</f>
        <v>70.640834575260797</v>
      </c>
      <c r="D21" s="229"/>
      <c r="E21" s="15"/>
    </row>
    <row r="22" spans="1:7">
      <c r="A22" s="171" t="s">
        <v>75</v>
      </c>
      <c r="B22" s="37">
        <f>aantalw2001_hout</f>
        <v>57</v>
      </c>
      <c r="C22" s="167">
        <f>IF(ISERROR(B22/SUM($B$20,$B$21,$B$22)*100),0,B22/SUM($B$20,$B$21,$B$22)*100)</f>
        <v>8.49478390461997</v>
      </c>
      <c r="D22" s="229"/>
      <c r="E22" s="15"/>
    </row>
    <row r="23" spans="1:7">
      <c r="A23" s="171" t="s">
        <v>76</v>
      </c>
      <c r="B23" s="37">
        <f>aantalw2001_niet_gespec</f>
        <v>47</v>
      </c>
      <c r="C23" s="166" t="s">
        <v>111</v>
      </c>
      <c r="D23" s="228"/>
      <c r="E23" s="15"/>
    </row>
    <row r="24" spans="1:7">
      <c r="A24" s="171" t="s">
        <v>77</v>
      </c>
      <c r="B24" s="37">
        <f>aantalw2001_steenkool</f>
        <v>149</v>
      </c>
      <c r="C24" s="166" t="s">
        <v>111</v>
      </c>
      <c r="D24" s="229"/>
      <c r="E24" s="15"/>
    </row>
    <row r="25" spans="1:7">
      <c r="A25" s="171" t="s">
        <v>78</v>
      </c>
      <c r="B25" s="37">
        <f>aantalw2001_stookolie</f>
        <v>3452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5695</v>
      </c>
      <c r="C28" s="36"/>
      <c r="D28" s="228"/>
    </row>
    <row r="29" spans="1:7" s="15" customFormat="1">
      <c r="A29" s="230" t="s">
        <v>699</v>
      </c>
      <c r="B29" s="37">
        <f>SUM(HH_hh_gas_aantal,HH_rest_gas_aantal)</f>
        <v>2296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2296</v>
      </c>
      <c r="C32" s="167">
        <f>IF(ISERROR(B32/SUM($B$32,$B$34,$B$35,$B$36,$B$38,$B$39)*100),0,B32/SUM($B$32,$B$34,$B$35,$B$36,$B$38,$B$39)*100)</f>
        <v>40.680368532955349</v>
      </c>
      <c r="D32" s="233"/>
      <c r="G32" s="15"/>
    </row>
    <row r="33" spans="1:7">
      <c r="A33" s="171" t="s">
        <v>72</v>
      </c>
      <c r="B33" s="34" t="s">
        <v>111</v>
      </c>
      <c r="C33" s="167"/>
      <c r="D33" s="233"/>
      <c r="G33" s="15"/>
    </row>
    <row r="34" spans="1:7">
      <c r="A34" s="171" t="s">
        <v>73</v>
      </c>
      <c r="B34" s="33">
        <f>IF((($B$28-$B$32-$B$39-$B$77-$B$38)*C20/100)&lt;0,0,($B$28-$B$32-$B$39-$B$77-$B$38)*C20/100)</f>
        <v>280.06259314456037</v>
      </c>
      <c r="C34" s="167">
        <f>IF(ISERROR(B34/SUM($B$32,$B$34,$B$35,$B$36,$B$38,$B$39)*100),0,B34/SUM($B$32,$B$34,$B$35,$B$36,$B$38,$B$39)*100)</f>
        <v>4.9621295737873909</v>
      </c>
      <c r="D34" s="233"/>
      <c r="G34" s="15"/>
    </row>
    <row r="35" spans="1:7">
      <c r="A35" s="171" t="s">
        <v>74</v>
      </c>
      <c r="B35" s="33">
        <f>IF((($B$28-$B$32-$B$39-$B$77-$B$38)*C21/100)&lt;0,0,($B$28-$B$32-$B$39-$B$77-$B$38)*C21/100)</f>
        <v>948.21192250372565</v>
      </c>
      <c r="C35" s="167">
        <f>IF(ISERROR(B35/SUM($B$32,$B$34,$B$35,$B$36,$B$38,$B$39)*100),0,B35/SUM($B$32,$B$34,$B$35,$B$36,$B$38,$B$39)*100)</f>
        <v>16.800352985537309</v>
      </c>
      <c r="D35" s="233"/>
      <c r="G35" s="15"/>
    </row>
    <row r="36" spans="1:7">
      <c r="A36" s="171" t="s">
        <v>75</v>
      </c>
      <c r="B36" s="33">
        <f>IF((($B$28-$B$32-$B$39-$B$77-$B$38)*C22/100)&lt;0,0,($B$28-$B$32-$B$39-$B$77-$B$38)*C22/100)</f>
        <v>114.02548435171386</v>
      </c>
      <c r="C36" s="167">
        <f>IF(ISERROR(B36/SUM($B$32,$B$34,$B$35,$B$36,$B$38,$B$39)*100),0,B36/SUM($B$32,$B$34,$B$35,$B$36,$B$38,$B$39)*100)</f>
        <v>2.0202956121848663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2005.7</v>
      </c>
      <c r="C39" s="167">
        <f>IF(ISERROR(B39/SUM($B$32,$B$34,$B$35,$B$36,$B$38,$B$39)*100),0,B39/SUM($B$32,$B$34,$B$35,$B$36,$B$38,$B$39)*100)</f>
        <v>35.536853295535082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2296</v>
      </c>
      <c r="C44" s="34" t="s">
        <v>111</v>
      </c>
      <c r="D44" s="174"/>
    </row>
    <row r="45" spans="1:7">
      <c r="A45" s="171" t="s">
        <v>72</v>
      </c>
      <c r="B45" s="33" t="str">
        <f t="shared" si="0"/>
        <v>-</v>
      </c>
      <c r="C45" s="34" t="s">
        <v>111</v>
      </c>
      <c r="D45" s="174"/>
    </row>
    <row r="46" spans="1:7">
      <c r="A46" s="171" t="s">
        <v>73</v>
      </c>
      <c r="B46" s="33">
        <f t="shared" si="0"/>
        <v>280.06259314456037</v>
      </c>
      <c r="C46" s="34" t="s">
        <v>111</v>
      </c>
      <c r="D46" s="174"/>
    </row>
    <row r="47" spans="1:7">
      <c r="A47" s="171" t="s">
        <v>74</v>
      </c>
      <c r="B47" s="33">
        <f t="shared" si="0"/>
        <v>948.21192250372565</v>
      </c>
      <c r="C47" s="34" t="s">
        <v>111</v>
      </c>
      <c r="D47" s="174"/>
    </row>
    <row r="48" spans="1:7">
      <c r="A48" s="171" t="s">
        <v>75</v>
      </c>
      <c r="B48" s="33">
        <f t="shared" si="0"/>
        <v>114.02548435171386</v>
      </c>
      <c r="C48" s="33">
        <f>B48*10</f>
        <v>1140.2548435171386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2005.7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13025.879717870002</v>
      </c>
      <c r="C5" s="17">
        <f>IF(ISERROR('Eigen informatie GS &amp; warmtenet'!B58),0,'Eigen informatie GS &amp; warmtenet'!B58)</f>
        <v>0</v>
      </c>
      <c r="D5" s="30">
        <f>SUM(D6:D12)</f>
        <v>9090.087718762381</v>
      </c>
      <c r="E5" s="17">
        <f>SUM(E6:E12)</f>
        <v>247.84997472889333</v>
      </c>
      <c r="F5" s="17">
        <f>SUM(F6:F12)</f>
        <v>3372.1724789444302</v>
      </c>
      <c r="G5" s="18"/>
      <c r="H5" s="17"/>
      <c r="I5" s="17"/>
      <c r="J5" s="17">
        <f>SUM(J6:J12)</f>
        <v>0</v>
      </c>
      <c r="K5" s="17"/>
      <c r="L5" s="17"/>
      <c r="M5" s="17"/>
      <c r="N5" s="17">
        <f>SUM(N6:N12)</f>
        <v>1061.2077190758587</v>
      </c>
      <c r="O5" s="17">
        <f>B38*B39*B40</f>
        <v>1.5633333333333335</v>
      </c>
      <c r="P5" s="17">
        <f>B46*B47*B48/1000-B46*B47*B48/1000/B49</f>
        <v>76.266666666666666</v>
      </c>
      <c r="R5" s="32"/>
    </row>
    <row r="6" spans="1:18">
      <c r="A6" s="32" t="s">
        <v>54</v>
      </c>
      <c r="B6" s="37">
        <f>B26</f>
        <v>3170.0362450000002</v>
      </c>
      <c r="C6" s="33"/>
      <c r="D6" s="37">
        <f>IF(ISERROR(TER_kantoor_gas_kWh/1000),0,TER_kantoor_gas_kWh/1000)*0.902</f>
        <v>2337.6554615634004</v>
      </c>
      <c r="E6" s="33">
        <f>$C$26*'E Balans VL '!I12/100/3.6*1000000</f>
        <v>41.499679365474961</v>
      </c>
      <c r="F6" s="33">
        <f>$C$26*('E Balans VL '!L12+'E Balans VL '!N12)/100/3.6*1000000</f>
        <v>808.32648454411355</v>
      </c>
      <c r="G6" s="34"/>
      <c r="H6" s="33"/>
      <c r="I6" s="33"/>
      <c r="J6" s="33">
        <f>$C$26*('E Balans VL '!D12+'E Balans VL '!E12)/100/3.6*1000000</f>
        <v>0</v>
      </c>
      <c r="K6" s="33"/>
      <c r="L6" s="33"/>
      <c r="M6" s="33"/>
      <c r="N6" s="33">
        <f>$C$26*'E Balans VL '!Y12/100/3.6*1000000</f>
        <v>3.1807111722589911</v>
      </c>
      <c r="O6" s="33"/>
      <c r="P6" s="33"/>
      <c r="R6" s="32"/>
    </row>
    <row r="7" spans="1:18">
      <c r="A7" s="32" t="s">
        <v>53</v>
      </c>
      <c r="B7" s="37">
        <f t="shared" ref="B7:B12" si="0">B27</f>
        <v>1182.1302106000001</v>
      </c>
      <c r="C7" s="33"/>
      <c r="D7" s="37">
        <f>IF(ISERROR(TER_horeca_gas_kWh/1000),0,TER_horeca_gas_kWh/1000)*0.902</f>
        <v>934.21470035080006</v>
      </c>
      <c r="E7" s="33">
        <f>$C$27*'E Balans VL '!I9/100/3.6*1000000</f>
        <v>39.121319314006257</v>
      </c>
      <c r="F7" s="33">
        <f>$C$27*('E Balans VL '!L9+'E Balans VL '!N9)/100/3.6*1000000</f>
        <v>508.31146008626479</v>
      </c>
      <c r="G7" s="34"/>
      <c r="H7" s="33"/>
      <c r="I7" s="33"/>
      <c r="J7" s="33">
        <f>$C$27*('E Balans VL '!D9+'E Balans VL '!E9)/100/3.6*1000000</f>
        <v>0</v>
      </c>
      <c r="K7" s="33"/>
      <c r="L7" s="33"/>
      <c r="M7" s="33"/>
      <c r="N7" s="33">
        <f>$C$27*'E Balans VL '!Y9/100/3.6*1000000</f>
        <v>0.28455590810593528</v>
      </c>
      <c r="O7" s="33"/>
      <c r="P7" s="33"/>
      <c r="R7" s="32"/>
    </row>
    <row r="8" spans="1:18">
      <c r="A8" s="6" t="s">
        <v>52</v>
      </c>
      <c r="B8" s="37">
        <f t="shared" si="0"/>
        <v>3615.9132787000003</v>
      </c>
      <c r="C8" s="33"/>
      <c r="D8" s="37">
        <f>IF(ISERROR(TER_handel_gas_kWh/1000),0,TER_handel_gas_kWh/1000)*0.902</f>
        <v>1072.2145870458</v>
      </c>
      <c r="E8" s="33">
        <f>$C$28*'E Balans VL '!I13/100/3.6*1000000</f>
        <v>114.12374802680296</v>
      </c>
      <c r="F8" s="33">
        <f>$C$28*('E Balans VL '!L13+'E Balans VL '!N13)/100/3.6*1000000</f>
        <v>709.14426623278234</v>
      </c>
      <c r="G8" s="34"/>
      <c r="H8" s="33"/>
      <c r="I8" s="33"/>
      <c r="J8" s="33">
        <f>$C$28*('E Balans VL '!D13+'E Balans VL '!E13)/100/3.6*1000000</f>
        <v>0</v>
      </c>
      <c r="K8" s="33"/>
      <c r="L8" s="33"/>
      <c r="M8" s="33"/>
      <c r="N8" s="33">
        <f>$C$28*'E Balans VL '!Y13/100/3.6*1000000</f>
        <v>4.2913870408721779</v>
      </c>
      <c r="O8" s="33"/>
      <c r="P8" s="33"/>
      <c r="R8" s="32"/>
    </row>
    <row r="9" spans="1:18">
      <c r="A9" s="32" t="s">
        <v>51</v>
      </c>
      <c r="B9" s="37">
        <f t="shared" si="0"/>
        <v>635.02448731000004</v>
      </c>
      <c r="C9" s="33"/>
      <c r="D9" s="37">
        <f>IF(ISERROR(TER_gezond_gas_kWh/1000),0,TER_gezond_gas_kWh/1000)*0.902</f>
        <v>364.52826226189995</v>
      </c>
      <c r="E9" s="33">
        <f>$C$29*'E Balans VL '!I10/100/3.6*1000000</f>
        <v>8.1301711604862381E-2</v>
      </c>
      <c r="F9" s="33">
        <f>$C$29*('E Balans VL '!L10+'E Balans VL '!N10)/100/3.6*1000000</f>
        <v>132.30221702214536</v>
      </c>
      <c r="G9" s="34"/>
      <c r="H9" s="33"/>
      <c r="I9" s="33"/>
      <c r="J9" s="33">
        <f>$C$29*('E Balans VL '!D10+'E Balans VL '!E10)/100/3.6*1000000</f>
        <v>0</v>
      </c>
      <c r="K9" s="33"/>
      <c r="L9" s="33"/>
      <c r="M9" s="33"/>
      <c r="N9" s="33">
        <f>$C$29*'E Balans VL '!Y10/100/3.6*1000000</f>
        <v>7.4586627554883878</v>
      </c>
      <c r="O9" s="33"/>
      <c r="P9" s="33"/>
      <c r="R9" s="32"/>
    </row>
    <row r="10" spans="1:18">
      <c r="A10" s="32" t="s">
        <v>50</v>
      </c>
      <c r="B10" s="37">
        <f t="shared" si="0"/>
        <v>1004.5120167</v>
      </c>
      <c r="C10" s="33"/>
      <c r="D10" s="37">
        <f>IF(ISERROR(TER_ander_gas_kWh/1000),0,TER_ander_gas_kWh/1000)*0.902</f>
        <v>576.1227912228801</v>
      </c>
      <c r="E10" s="33">
        <f>$C$30*'E Balans VL '!I14/100/3.6*1000000</f>
        <v>1.5105498464578193</v>
      </c>
      <c r="F10" s="33">
        <f>$C$30*('E Balans VL '!L14+'E Balans VL '!N14)/100/3.6*1000000</f>
        <v>221.76387324733255</v>
      </c>
      <c r="G10" s="34"/>
      <c r="H10" s="33"/>
      <c r="I10" s="33"/>
      <c r="J10" s="33">
        <f>$C$30*('E Balans VL '!D14+'E Balans VL '!E14)/100/3.6*1000000</f>
        <v>0</v>
      </c>
      <c r="K10" s="33"/>
      <c r="L10" s="33"/>
      <c r="M10" s="33"/>
      <c r="N10" s="33">
        <f>$C$30*'E Balans VL '!Y14/100/3.6*1000000</f>
        <v>791.62307026950828</v>
      </c>
      <c r="O10" s="33"/>
      <c r="P10" s="33"/>
      <c r="R10" s="32"/>
    </row>
    <row r="11" spans="1:18">
      <c r="A11" s="32" t="s">
        <v>55</v>
      </c>
      <c r="B11" s="37">
        <f t="shared" si="0"/>
        <v>547.18113466</v>
      </c>
      <c r="C11" s="33"/>
      <c r="D11" s="37">
        <f>IF(ISERROR(TER_onderwijs_gas_kWh/1000),0,TER_onderwijs_gas_kWh/1000)*0.902</f>
        <v>1338.5736516614002</v>
      </c>
      <c r="E11" s="33">
        <f>$C$31*'E Balans VL '!I11/100/3.6*1000000</f>
        <v>0.9636318317568453</v>
      </c>
      <c r="F11" s="33">
        <f>$C$31*('E Balans VL '!L11+'E Balans VL '!N11)/100/3.6*1000000</f>
        <v>252.6434310987778</v>
      </c>
      <c r="G11" s="34"/>
      <c r="H11" s="33"/>
      <c r="I11" s="33"/>
      <c r="J11" s="33">
        <f>$C$31*('E Balans VL '!D11+'E Balans VL '!E11)/100/3.6*1000000</f>
        <v>0</v>
      </c>
      <c r="K11" s="33"/>
      <c r="L11" s="33"/>
      <c r="M11" s="33"/>
      <c r="N11" s="33">
        <f>$C$31*'E Balans VL '!Y11/100/3.6*1000000</f>
        <v>1.0194060207184059</v>
      </c>
      <c r="O11" s="33"/>
      <c r="P11" s="33"/>
      <c r="R11" s="32"/>
    </row>
    <row r="12" spans="1:18">
      <c r="A12" s="32" t="s">
        <v>260</v>
      </c>
      <c r="B12" s="37">
        <f t="shared" si="0"/>
        <v>2871.0823449</v>
      </c>
      <c r="C12" s="33"/>
      <c r="D12" s="37">
        <f>IF(ISERROR(TER_rest_gas_kWh/1000),0,TER_rest_gas_kWh/1000)*0.902</f>
        <v>2466.7782646562</v>
      </c>
      <c r="E12" s="33">
        <f>$C$32*'E Balans VL '!I8/100/3.6*1000000</f>
        <v>50.549744632789647</v>
      </c>
      <c r="F12" s="33">
        <f>$C$32*('E Balans VL '!L8+'E Balans VL '!N8)/100/3.6*1000000</f>
        <v>739.68074671301372</v>
      </c>
      <c r="G12" s="34"/>
      <c r="H12" s="33"/>
      <c r="I12" s="33"/>
      <c r="J12" s="33">
        <f>$C$32*('E Balans VL '!D8+'E Balans VL '!E8)/100/3.6*1000000</f>
        <v>0</v>
      </c>
      <c r="K12" s="33"/>
      <c r="L12" s="33"/>
      <c r="M12" s="33"/>
      <c r="N12" s="33">
        <f>$C$32*'E Balans VL '!Y8/100/3.6*1000000</f>
        <v>253.34992590890644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13025.879717870002</v>
      </c>
      <c r="C16" s="21">
        <f t="shared" ca="1" si="1"/>
        <v>0</v>
      </c>
      <c r="D16" s="21">
        <f t="shared" ca="1" si="1"/>
        <v>9090.087718762381</v>
      </c>
      <c r="E16" s="21">
        <f t="shared" si="1"/>
        <v>247.84997472889333</v>
      </c>
      <c r="F16" s="21">
        <f t="shared" ca="1" si="1"/>
        <v>3372.1724789444302</v>
      </c>
      <c r="G16" s="21">
        <f t="shared" si="1"/>
        <v>0</v>
      </c>
      <c r="H16" s="21">
        <f t="shared" si="1"/>
        <v>0</v>
      </c>
      <c r="I16" s="21">
        <f t="shared" si="1"/>
        <v>0</v>
      </c>
      <c r="J16" s="21">
        <f t="shared" si="1"/>
        <v>0</v>
      </c>
      <c r="K16" s="21">
        <f t="shared" si="1"/>
        <v>0</v>
      </c>
      <c r="L16" s="21">
        <f t="shared" ca="1" si="1"/>
        <v>0</v>
      </c>
      <c r="M16" s="21">
        <f t="shared" si="1"/>
        <v>0</v>
      </c>
      <c r="N16" s="21">
        <f t="shared" ca="1" si="1"/>
        <v>1061.2077190758587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0.20426193782014254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2660.6914329842184</v>
      </c>
      <c r="C20" s="23">
        <f t="shared" ref="C20:P20" ca="1" si="2">C16*C18</f>
        <v>0</v>
      </c>
      <c r="D20" s="23">
        <f t="shared" ca="1" si="2"/>
        <v>1836.1977191900012</v>
      </c>
      <c r="E20" s="23">
        <f t="shared" si="2"/>
        <v>56.261944263458787</v>
      </c>
      <c r="F20" s="23">
        <f t="shared" ca="1" si="2"/>
        <v>900.37005187816294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3170.0362450000002</v>
      </c>
      <c r="C26" s="39">
        <f>IF(ISERROR(B26*3.6/1000000/'E Balans VL '!Z12*100),0,B26*3.6/1000000/'E Balans VL '!Z12*100)</f>
        <v>6.790463907316216E-2</v>
      </c>
      <c r="D26" s="237" t="s">
        <v>660</v>
      </c>
      <c r="F26" s="6"/>
    </row>
    <row r="27" spans="1:18">
      <c r="A27" s="231" t="s">
        <v>53</v>
      </c>
      <c r="B27" s="33">
        <f>IF(ISERROR(TER_horeca_ele_kWh/1000),0,TER_horeca_ele_kWh/1000)</f>
        <v>1182.1302106000001</v>
      </c>
      <c r="C27" s="39">
        <f>IF(ISERROR(B27*3.6/1000000/'E Balans VL '!Z9*100),0,B27*3.6/1000000/'E Balans VL '!Z9*100)</f>
        <v>9.4861840357979621E-2</v>
      </c>
      <c r="D27" s="237" t="s">
        <v>660</v>
      </c>
      <c r="F27" s="6"/>
    </row>
    <row r="28" spans="1:18">
      <c r="A28" s="171" t="s">
        <v>52</v>
      </c>
      <c r="B28" s="33">
        <f>IF(ISERROR(TER_handel_ele_kWh/1000),0,TER_handel_ele_kWh/1000)</f>
        <v>3615.9132787000003</v>
      </c>
      <c r="C28" s="39">
        <f>IF(ISERROR(B28*3.6/1000000/'E Balans VL '!Z13*100),0,B28*3.6/1000000/'E Balans VL '!Z13*100)</f>
        <v>0.10664870167033684</v>
      </c>
      <c r="D28" s="237" t="s">
        <v>660</v>
      </c>
      <c r="F28" s="6"/>
    </row>
    <row r="29" spans="1:18">
      <c r="A29" s="231" t="s">
        <v>51</v>
      </c>
      <c r="B29" s="33">
        <f>IF(ISERROR(TER_gezond_ele_kWh/1000),0,TER_gezond_ele_kWh/1000)</f>
        <v>635.02448731000004</v>
      </c>
      <c r="C29" s="39">
        <f>IF(ISERROR(B29*3.6/1000000/'E Balans VL '!Z10*100),0,B29*3.6/1000000/'E Balans VL '!Z10*100)</f>
        <v>6.7803589599746805E-2</v>
      </c>
      <c r="D29" s="237" t="s">
        <v>660</v>
      </c>
      <c r="F29" s="6"/>
    </row>
    <row r="30" spans="1:18">
      <c r="A30" s="231" t="s">
        <v>50</v>
      </c>
      <c r="B30" s="33">
        <f>IF(ISERROR(TER_ander_ele_kWh/1000),0,TER_ander_ele_kWh/1000)</f>
        <v>1004.5120167</v>
      </c>
      <c r="C30" s="39">
        <f>IF(ISERROR(B30*3.6/1000000/'E Balans VL '!Z14*100),0,B30*3.6/1000000/'E Balans VL '!Z14*100)</f>
        <v>7.5874737180930171E-2</v>
      </c>
      <c r="D30" s="237" t="s">
        <v>660</v>
      </c>
      <c r="F30" s="6"/>
    </row>
    <row r="31" spans="1:18">
      <c r="A31" s="231" t="s">
        <v>55</v>
      </c>
      <c r="B31" s="33">
        <f>IF(ISERROR(TER_onderwijs_ele_kWh/1000),0,TER_onderwijs_ele_kWh/1000)</f>
        <v>547.18113466</v>
      </c>
      <c r="C31" s="39">
        <f>IF(ISERROR(B31*3.6/1000000/'E Balans VL '!Z11*100),0,B31*3.6/1000000/'E Balans VL '!Z11*100)</f>
        <v>0.11049413740527891</v>
      </c>
      <c r="D31" s="237" t="s">
        <v>660</v>
      </c>
    </row>
    <row r="32" spans="1:18">
      <c r="A32" s="231" t="s">
        <v>260</v>
      </c>
      <c r="B32" s="33">
        <f>IF(ISERROR(TER_rest_ele_kWh/1000),0,TER_rest_ele_kWh/1000)</f>
        <v>2871.0823449</v>
      </c>
      <c r="C32" s="39">
        <f>IF(ISERROR(B32*3.6/1000000/'E Balans VL '!Z8*100),0,B32*3.6/1000000/'E Balans VL '!Z8*100)</f>
        <v>2.3805270592544555E-2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9030.9954223130007</v>
      </c>
      <c r="C5" s="17">
        <f>IF(ISERROR('Eigen informatie GS &amp; warmtenet'!B59),0,'Eigen informatie GS &amp; warmtenet'!B59)</f>
        <v>0</v>
      </c>
      <c r="D5" s="30">
        <f>SUM(D6:D15)</f>
        <v>1113.6726517131601</v>
      </c>
      <c r="E5" s="17">
        <f>SUM(E6:E15)</f>
        <v>591.39640362209093</v>
      </c>
      <c r="F5" s="17">
        <f>SUM(F6:F15)</f>
        <v>2523.6064179514951</v>
      </c>
      <c r="G5" s="18"/>
      <c r="H5" s="17"/>
      <c r="I5" s="17"/>
      <c r="J5" s="17">
        <f>SUM(J6:J15)</f>
        <v>63.587994552060749</v>
      </c>
      <c r="K5" s="17"/>
      <c r="L5" s="17"/>
      <c r="M5" s="17"/>
      <c r="N5" s="17">
        <f>SUM(N6:N15)</f>
        <v>1853.6141429072929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801.79800009999997</v>
      </c>
      <c r="C8" s="33"/>
      <c r="D8" s="37">
        <f>IF( ISERROR(IND_metaal_Gas_kWH/1000),0,IND_metaal_Gas_kWH/1000)*0.902</f>
        <v>0</v>
      </c>
      <c r="E8" s="33">
        <f>C30*'E Balans VL '!I18/100/3.6*1000000</f>
        <v>28.851117646975116</v>
      </c>
      <c r="F8" s="33">
        <f>C30*'E Balans VL '!L18/100/3.6*1000000+C30*'E Balans VL '!N18/100/3.6*1000000</f>
        <v>350.11919514892827</v>
      </c>
      <c r="G8" s="34"/>
      <c r="H8" s="33"/>
      <c r="I8" s="33"/>
      <c r="J8" s="40">
        <f>C30*'E Balans VL '!D18/100/3.6*1000000+C30*'E Balans VL '!E18/100/3.6*1000000</f>
        <v>0</v>
      </c>
      <c r="K8" s="33"/>
      <c r="L8" s="33"/>
      <c r="M8" s="33"/>
      <c r="N8" s="33">
        <f>C30*'E Balans VL '!Y18/100/3.6*1000000</f>
        <v>40.185570885535711</v>
      </c>
      <c r="O8" s="33"/>
      <c r="P8" s="33"/>
      <c r="R8" s="32"/>
    </row>
    <row r="9" spans="1:18">
      <c r="A9" s="6" t="s">
        <v>33</v>
      </c>
      <c r="B9" s="37">
        <f t="shared" si="0"/>
        <v>602.73969033000003</v>
      </c>
      <c r="C9" s="33"/>
      <c r="D9" s="37">
        <f>IF( ISERROR(IND_andere_gas_kWh/1000),0,IND_andere_gas_kWh/1000)*0.902</f>
        <v>470.81994947790002</v>
      </c>
      <c r="E9" s="33">
        <f>C31*'E Balans VL '!I19/100/3.6*1000000</f>
        <v>153.80553160475387</v>
      </c>
      <c r="F9" s="33">
        <f>C31*'E Balans VL '!L19/100/3.6*1000000+C31*'E Balans VL '!N19/100/3.6*1000000</f>
        <v>518.91356969774927</v>
      </c>
      <c r="G9" s="34"/>
      <c r="H9" s="33"/>
      <c r="I9" s="33"/>
      <c r="J9" s="40">
        <f>C31*'E Balans VL '!D19/100/3.6*1000000+C31*'E Balans VL '!E19/100/3.6*1000000</f>
        <v>0</v>
      </c>
      <c r="K9" s="33"/>
      <c r="L9" s="33"/>
      <c r="M9" s="33"/>
      <c r="N9" s="33">
        <f>C31*'E Balans VL '!Y19/100/3.6*1000000</f>
        <v>188.49734284479314</v>
      </c>
      <c r="O9" s="33"/>
      <c r="P9" s="33"/>
      <c r="R9" s="32"/>
    </row>
    <row r="10" spans="1:18">
      <c r="A10" s="6" t="s">
        <v>41</v>
      </c>
      <c r="B10" s="37">
        <f t="shared" si="0"/>
        <v>102.84254464999999</v>
      </c>
      <c r="C10" s="33"/>
      <c r="D10" s="37">
        <f>IF( ISERROR(IND_voed_gas_kWh/1000),0,IND_voed_gas_kWh/1000)*0.902</f>
        <v>0</v>
      </c>
      <c r="E10" s="33">
        <f>C32*'E Balans VL '!I20/100/3.6*1000000</f>
        <v>2.6143986993890844</v>
      </c>
      <c r="F10" s="33">
        <f>C32*'E Balans VL '!L20/100/3.6*1000000+C32*'E Balans VL '!N20/100/3.6*1000000</f>
        <v>23.271724054562426</v>
      </c>
      <c r="G10" s="34"/>
      <c r="H10" s="33"/>
      <c r="I10" s="33"/>
      <c r="J10" s="40">
        <f>C32*'E Balans VL '!D20/100/3.6*1000000+C32*'E Balans VL '!E20/100/3.6*1000000</f>
        <v>0</v>
      </c>
      <c r="K10" s="33"/>
      <c r="L10" s="33"/>
      <c r="M10" s="33"/>
      <c r="N10" s="33">
        <f>C32*'E Balans VL '!Y20/100/3.6*1000000</f>
        <v>38.568741900571474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44.073614433000003</v>
      </c>
      <c r="C13" s="33"/>
      <c r="D13" s="37">
        <f>IF( ISERROR(IND_papier_gas_kWh/1000),0,IND_papier_gas_kWh/1000)*0.902</f>
        <v>0</v>
      </c>
      <c r="E13" s="33">
        <f>C35*'E Balans VL '!I23/100/3.6*1000000</f>
        <v>0.18901891050491221</v>
      </c>
      <c r="F13" s="33">
        <f>C35*'E Balans VL '!L23/100/3.6*1000000+C35*'E Balans VL '!N23/100/3.6*1000000</f>
        <v>1.1077067264920644</v>
      </c>
      <c r="G13" s="34"/>
      <c r="H13" s="33"/>
      <c r="I13" s="33"/>
      <c r="J13" s="40">
        <f>C35*'E Balans VL '!D23/100/3.6*1000000+C35*'E Balans VL '!E23/100/3.6*1000000</f>
        <v>2.9504867524581386</v>
      </c>
      <c r="K13" s="33"/>
      <c r="L13" s="33"/>
      <c r="M13" s="33"/>
      <c r="N13" s="33">
        <f>C35*'E Balans VL '!Y23/100/3.6*1000000</f>
        <v>80.224459373451182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7479.5415727999998</v>
      </c>
      <c r="C15" s="33"/>
      <c r="D15" s="37">
        <f>IF( ISERROR(IND_rest_gas_kWh/1000),0,IND_rest_gas_kWh/1000)*0.902</f>
        <v>642.85270223526004</v>
      </c>
      <c r="E15" s="33">
        <f>C37*'E Balans VL '!I15/100/3.6*1000000</f>
        <v>405.9363367604679</v>
      </c>
      <c r="F15" s="33">
        <f>C37*'E Balans VL '!L15/100/3.6*1000000+C37*'E Balans VL '!N15/100/3.6*1000000</f>
        <v>1630.1942223237631</v>
      </c>
      <c r="G15" s="34"/>
      <c r="H15" s="33"/>
      <c r="I15" s="33"/>
      <c r="J15" s="40">
        <f>C37*'E Balans VL '!D15/100/3.6*1000000+C37*'E Balans VL '!E15/100/3.6*1000000</f>
        <v>60.637507799602609</v>
      </c>
      <c r="K15" s="33"/>
      <c r="L15" s="33"/>
      <c r="M15" s="33"/>
      <c r="N15" s="33">
        <f>C37*'E Balans VL '!Y15/100/3.6*1000000</f>
        <v>1506.1380279029415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9030.9954223130007</v>
      </c>
      <c r="C18" s="21">
        <f>C5+C16</f>
        <v>0</v>
      </c>
      <c r="D18" s="21">
        <f>MAX((D5+D16),0)</f>
        <v>1113.6726517131601</v>
      </c>
      <c r="E18" s="21">
        <f>MAX((E5+E16),0)</f>
        <v>591.39640362209093</v>
      </c>
      <c r="F18" s="21">
        <f>MAX((F5+F16),0)</f>
        <v>2523.6064179514951</v>
      </c>
      <c r="G18" s="21"/>
      <c r="H18" s="21"/>
      <c r="I18" s="21"/>
      <c r="J18" s="21">
        <f>MAX((J5+J16),0)</f>
        <v>63.587994552060749</v>
      </c>
      <c r="K18" s="21"/>
      <c r="L18" s="21">
        <f>MAX((L5+L16),0)</f>
        <v>0</v>
      </c>
      <c r="M18" s="21"/>
      <c r="N18" s="21">
        <f>MAX((N5+N16),0)</f>
        <v>1853.6141429072929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0.20426193782014254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1844.68862540649</v>
      </c>
      <c r="C22" s="23">
        <f ca="1">C18*C20</f>
        <v>0</v>
      </c>
      <c r="D22" s="23">
        <f>D18*D20</f>
        <v>224.96187564605836</v>
      </c>
      <c r="E22" s="23">
        <f>E18*E20</f>
        <v>134.24698362221466</v>
      </c>
      <c r="F22" s="23">
        <f>F18*F20</f>
        <v>673.8029135930492</v>
      </c>
      <c r="G22" s="23"/>
      <c r="H22" s="23"/>
      <c r="I22" s="23"/>
      <c r="J22" s="23">
        <f>J18*J20</f>
        <v>22.510150071429504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801.79800009999997</v>
      </c>
      <c r="C30" s="39">
        <f>IF(ISERROR(B30*3.6/1000000/'E Balans VL '!Z18*100),0,B30*3.6/1000000/'E Balans VL '!Z18*100)</f>
        <v>0.16988380612512213</v>
      </c>
      <c r="D30" s="237" t="s">
        <v>660</v>
      </c>
    </row>
    <row r="31" spans="1:18">
      <c r="A31" s="6" t="s">
        <v>33</v>
      </c>
      <c r="B31" s="37">
        <f>IF( ISERROR(IND_ander_ele_kWh/1000),0,IND_ander_ele_kWh/1000)</f>
        <v>602.73969033000003</v>
      </c>
      <c r="C31" s="39">
        <f>IF(ISERROR(B31*3.6/1000000/'E Balans VL '!Z19*100),0,B31*3.6/1000000/'E Balans VL '!Z19*100)</f>
        <v>2.5370682185990742E-2</v>
      </c>
      <c r="D31" s="237" t="s">
        <v>660</v>
      </c>
    </row>
    <row r="32" spans="1:18">
      <c r="A32" s="171" t="s">
        <v>41</v>
      </c>
      <c r="B32" s="37">
        <f>IF( ISERROR(IND_voed_ele_kWh/1000),0,IND_voed_ele_kWh/1000)</f>
        <v>102.84254464999999</v>
      </c>
      <c r="C32" s="39">
        <f>IF(ISERROR(B32*3.6/1000000/'E Balans VL '!Z20*100),0,B32*3.6/1000000/'E Balans VL '!Z20*100)</f>
        <v>1.718101066714782E-2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44.073614433000003</v>
      </c>
      <c r="C35" s="39">
        <f>IF(ISERROR(B35*3.6/1000000/'E Balans VL '!Z22*100),0,B35*3.6/1000000/'E Balans VL '!Z22*100)</f>
        <v>5.5865683176833849E-3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7479.5415727999998</v>
      </c>
      <c r="C37" s="39">
        <f>IF(ISERROR(B37*3.6/1000000/'E Balans VL '!Z15*100),0,B37*3.6/1000000/'E Balans VL '!Z15*100)</f>
        <v>6.0385235328455598E-2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750.56271027000003</v>
      </c>
      <c r="C5" s="17">
        <f>'Eigen informatie GS &amp; warmtenet'!B60</f>
        <v>0</v>
      </c>
      <c r="D5" s="30">
        <f>IF(ISERROR(SUM(LB_lb_gas_kWh,LB_rest_gas_kWh)/1000),0,SUM(LB_lb_gas_kWh,LB_rest_gas_kWh)/1000)*0.902</f>
        <v>17.445459300939998</v>
      </c>
      <c r="E5" s="17">
        <f>B17*'E Balans VL '!I25/3.6*1000000/100</f>
        <v>19.354130470237664</v>
      </c>
      <c r="F5" s="17">
        <f>B17*('E Balans VL '!L25/3.6*1000000+'E Balans VL '!N25/3.6*1000000)/100</f>
        <v>2743.4496437615148</v>
      </c>
      <c r="G5" s="18"/>
      <c r="H5" s="17"/>
      <c r="I5" s="17"/>
      <c r="J5" s="17">
        <f>('E Balans VL '!D25+'E Balans VL '!E25)/3.6*1000000*landbouw!B17/100</f>
        <v>108.05341958584469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750.56271027000003</v>
      </c>
      <c r="C8" s="21">
        <f>C5+C6</f>
        <v>0</v>
      </c>
      <c r="D8" s="21">
        <f>MAX((D5+D6),0)</f>
        <v>17.445459300939998</v>
      </c>
      <c r="E8" s="21">
        <f>MAX((E5+E6),0)</f>
        <v>19.354130470237664</v>
      </c>
      <c r="F8" s="21">
        <f>MAX((F5+F6),0)</f>
        <v>2743.4496437615148</v>
      </c>
      <c r="G8" s="21"/>
      <c r="H8" s="21"/>
      <c r="I8" s="21"/>
      <c r="J8" s="21">
        <f>MAX((J5+J6),0)</f>
        <v>108.05341958584469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0.20426193782014254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153.31139365528841</v>
      </c>
      <c r="C12" s="23">
        <f ca="1">C8*C10</f>
        <v>0</v>
      </c>
      <c r="D12" s="23">
        <f>D8*D10</f>
        <v>3.5239827787898799</v>
      </c>
      <c r="E12" s="23">
        <f>E8*E10</f>
        <v>4.3933876167439498</v>
      </c>
      <c r="F12" s="23">
        <f>F8*F10</f>
        <v>732.5010548843245</v>
      </c>
      <c r="G12" s="23"/>
      <c r="H12" s="23"/>
      <c r="I12" s="23"/>
      <c r="J12" s="23">
        <f>J8*J10</f>
        <v>38.250910533389018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0.10583431376398492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78.159315960946799</v>
      </c>
      <c r="C26" s="247">
        <f>B26*'GWP N2O_CH4'!B5</f>
        <v>1641.3456351798827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27.860039796557299</v>
      </c>
      <c r="C27" s="247">
        <f>B27*'GWP N2O_CH4'!B5</f>
        <v>585.06083572770331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1.3884372489478896</v>
      </c>
      <c r="C28" s="247">
        <f>B28*'GWP N2O_CH4'!B4</f>
        <v>430.41554717384577</v>
      </c>
      <c r="D28" s="50"/>
    </row>
    <row r="29" spans="1:4">
      <c r="A29" s="41" t="s">
        <v>277</v>
      </c>
      <c r="B29" s="247">
        <f>B34*'ha_N2O bodem landbouw'!B4</f>
        <v>7.3537657625088872</v>
      </c>
      <c r="C29" s="247">
        <f>B29*'GWP N2O_CH4'!B4</f>
        <v>2279.6673863777551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1.6549969118206005E-3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5.3234510925929981E-5</v>
      </c>
      <c r="C5" s="463" t="s">
        <v>211</v>
      </c>
      <c r="D5" s="448">
        <f>SUM(D6:D11)</f>
        <v>1.4073875415026601E-4</v>
      </c>
      <c r="E5" s="448">
        <f>SUM(E6:E11)</f>
        <v>5.3009290028172191E-4</v>
      </c>
      <c r="F5" s="461" t="s">
        <v>211</v>
      </c>
      <c r="G5" s="448">
        <f>SUM(G6:G11)</f>
        <v>0.1748945259484711</v>
      </c>
      <c r="H5" s="448">
        <f>SUM(H6:H11)</f>
        <v>3.7459164439311479E-2</v>
      </c>
      <c r="I5" s="463" t="s">
        <v>211</v>
      </c>
      <c r="J5" s="463" t="s">
        <v>211</v>
      </c>
      <c r="K5" s="463" t="s">
        <v>211</v>
      </c>
      <c r="L5" s="463" t="s">
        <v>211</v>
      </c>
      <c r="M5" s="448">
        <f>SUM(M6:M11)</f>
        <v>6.6324855159602836E-3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3.0403169926362098E-5</v>
      </c>
      <c r="C6" s="449"/>
      <c r="D6" s="892">
        <f>vkm_2011_GW_PW*SUMIFS(TableVerdeelsleutelVkm[CNG],TableVerdeelsleutelVkm[Voertuigtype],"Lichte voertuigen")*SUMIFS(TableECFTransport[EnergieConsumptieFactor (PJ per km)],TableECFTransport[Index],CONCATENATE($A6,"_CNG_CNG"))</f>
        <v>6.041163120185523E-5</v>
      </c>
      <c r="E6" s="892">
        <f>vkm_2011_GW_PW*SUMIFS(TableVerdeelsleutelVkm[LPG],TableVerdeelsleutelVkm[Voertuigtype],"Lichte voertuigen")*SUMIFS(TableECFTransport[EnergieConsumptieFactor (PJ per km)],TableECFTransport[Index],CONCATENATE($A6,"_LPG_LPG"))</f>
        <v>2.3774142472565973E-4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5.652675341580865E-2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1.6355246010087063E-2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2.271070402333185E-3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3.0835161140072023E-2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9.9610741261385972E-6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9.7156874738162232E-4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2.2831340999567886E-5</v>
      </c>
      <c r="C8" s="449"/>
      <c r="D8" s="451">
        <f>vkm_2011_NGW_PW*SUMIFS(TableVerdeelsleutelVkm[CNG],TableVerdeelsleutelVkm[Voertuigtype],"Lichte voertuigen")*SUMIFS(TableECFTransport[EnergieConsumptieFactor (PJ per km)],TableECFTransport[Index],CONCATENATE($A8,"_CNG_CNG"))</f>
        <v>8.0327122948410762E-5</v>
      </c>
      <c r="E8" s="451">
        <f>vkm_2011_NGW_PW*SUMIFS(TableVerdeelsleutelVkm[LPG],TableVerdeelsleutelVkm[Voertuigtype],"Lichte voertuigen")*SUMIFS(TableECFTransport[EnergieConsumptieFactor (PJ per km)],TableECFTransport[Index],CONCATENATE($A8,"_LPG_LPG"))</f>
        <v>2.9235147555606219E-4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6.4910245872633443E-2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2.1087046030614513E-2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2.6770621399403367E-3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2.2622365519957003E-2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6.9113244837674205E-6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7.1278422630513983E-4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14.787364146091662</v>
      </c>
      <c r="C14" s="21"/>
      <c r="D14" s="21">
        <f t="shared" ref="D14:M14" si="0">((D5)*10^9/3600)+D12</f>
        <v>39.094098375073891</v>
      </c>
      <c r="E14" s="21">
        <f t="shared" si="0"/>
        <v>147.24802785603387</v>
      </c>
      <c r="F14" s="21"/>
      <c r="G14" s="21">
        <f t="shared" si="0"/>
        <v>48581.812763464193</v>
      </c>
      <c r="H14" s="21">
        <f t="shared" si="0"/>
        <v>10405.3234553643</v>
      </c>
      <c r="I14" s="21"/>
      <c r="J14" s="21"/>
      <c r="K14" s="21"/>
      <c r="L14" s="21"/>
      <c r="M14" s="21">
        <f t="shared" si="0"/>
        <v>1842.3570877667455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0.20426193782014254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3.02049565573278</v>
      </c>
      <c r="C18" s="23"/>
      <c r="D18" s="23">
        <f t="shared" ref="D18:M18" si="1">D14*D16</f>
        <v>7.8970078717649264</v>
      </c>
      <c r="E18" s="23">
        <f t="shared" si="1"/>
        <v>33.425302323319691</v>
      </c>
      <c r="F18" s="23"/>
      <c r="G18" s="23">
        <f t="shared" si="1"/>
        <v>12971.34400784494</v>
      </c>
      <c r="H18" s="23">
        <f t="shared" si="1"/>
        <v>2590.9255403857105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6.1809690196085055E-3</v>
      </c>
      <c r="H50" s="321">
        <f t="shared" si="2"/>
        <v>0</v>
      </c>
      <c r="I50" s="321">
        <f t="shared" si="2"/>
        <v>0</v>
      </c>
      <c r="J50" s="321">
        <f t="shared" si="2"/>
        <v>0</v>
      </c>
      <c r="K50" s="321">
        <f t="shared" si="2"/>
        <v>0</v>
      </c>
      <c r="L50" s="321">
        <f t="shared" si="2"/>
        <v>0</v>
      </c>
      <c r="M50" s="321">
        <f t="shared" si="2"/>
        <v>1.9171983103507788E-4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6.1809690196085055E-3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1.9171983103507788E-4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1716.9358387801403</v>
      </c>
      <c r="H54" s="21">
        <f t="shared" si="3"/>
        <v>0</v>
      </c>
      <c r="I54" s="21">
        <f t="shared" si="3"/>
        <v>0</v>
      </c>
      <c r="J54" s="21">
        <f t="shared" si="3"/>
        <v>0</v>
      </c>
      <c r="K54" s="21">
        <f t="shared" si="3"/>
        <v>0</v>
      </c>
      <c r="L54" s="21">
        <f t="shared" si="3"/>
        <v>0</v>
      </c>
      <c r="M54" s="21">
        <f t="shared" si="3"/>
        <v>53.255508620854968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0.20426193782014254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458.42186895429751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14183.935717870003</v>
      </c>
      <c r="D10" s="1012">
        <f ca="1">tertiair!C16</f>
        <v>0</v>
      </c>
      <c r="E10" s="1012">
        <f ca="1">tertiair!D16</f>
        <v>9090.087718762381</v>
      </c>
      <c r="F10" s="1012">
        <f>tertiair!E16</f>
        <v>247.84997472889333</v>
      </c>
      <c r="G10" s="1012">
        <f ca="1">tertiair!F16</f>
        <v>3372.1724789444302</v>
      </c>
      <c r="H10" s="1012">
        <f>tertiair!G16</f>
        <v>0</v>
      </c>
      <c r="I10" s="1012">
        <f>tertiair!H16</f>
        <v>0</v>
      </c>
      <c r="J10" s="1012">
        <f>tertiair!I16</f>
        <v>0</v>
      </c>
      <c r="K10" s="1012">
        <f>tertiair!J16</f>
        <v>0</v>
      </c>
      <c r="L10" s="1012">
        <f>tertiair!K16</f>
        <v>0</v>
      </c>
      <c r="M10" s="1012">
        <f ca="1">tertiair!L16</f>
        <v>0</v>
      </c>
      <c r="N10" s="1012">
        <f>tertiair!M16</f>
        <v>0</v>
      </c>
      <c r="O10" s="1012">
        <f ca="1">tertiair!N16</f>
        <v>1061.2077190758587</v>
      </c>
      <c r="P10" s="1012">
        <f>tertiair!O16</f>
        <v>1.5633333333333335</v>
      </c>
      <c r="Q10" s="1013">
        <f>tertiair!P16</f>
        <v>76.266666666666666</v>
      </c>
      <c r="R10" s="700">
        <f ca="1">SUM(C10:Q10)</f>
        <v>28033.083609381563</v>
      </c>
      <c r="S10" s="67"/>
    </row>
    <row r="11" spans="1:19" s="473" customFormat="1">
      <c r="A11" s="809" t="s">
        <v>225</v>
      </c>
      <c r="B11" s="814"/>
      <c r="C11" s="1012">
        <f>huishoudens!B8</f>
        <v>27146.328063516019</v>
      </c>
      <c r="D11" s="1012">
        <f>huishoudens!C8</f>
        <v>0</v>
      </c>
      <c r="E11" s="1012">
        <f>huishoudens!D8</f>
        <v>33368.297365677994</v>
      </c>
      <c r="F11" s="1012">
        <f>huishoudens!E8</f>
        <v>6334.424306532409</v>
      </c>
      <c r="G11" s="1012">
        <f>huishoudens!F8</f>
        <v>48823.058555069802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7324.5744466521001</v>
      </c>
      <c r="P11" s="1012">
        <f>huishoudens!O8</f>
        <v>256.38666666666671</v>
      </c>
      <c r="Q11" s="1013">
        <f>huishoudens!P8</f>
        <v>972.4</v>
      </c>
      <c r="R11" s="700">
        <f>SUM(C11:Q11)</f>
        <v>124225.46940411499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9030.9954223130007</v>
      </c>
      <c r="D13" s="1012">
        <f>industrie!C18</f>
        <v>0</v>
      </c>
      <c r="E13" s="1012">
        <f>industrie!D18</f>
        <v>1113.6726517131601</v>
      </c>
      <c r="F13" s="1012">
        <f>industrie!E18</f>
        <v>591.39640362209093</v>
      </c>
      <c r="G13" s="1012">
        <f>industrie!F18</f>
        <v>2523.6064179514951</v>
      </c>
      <c r="H13" s="1012">
        <f>industrie!G18</f>
        <v>0</v>
      </c>
      <c r="I13" s="1012">
        <f>industrie!H18</f>
        <v>0</v>
      </c>
      <c r="J13" s="1012">
        <f>industrie!I18</f>
        <v>0</v>
      </c>
      <c r="K13" s="1012">
        <f>industrie!J18</f>
        <v>63.587994552060749</v>
      </c>
      <c r="L13" s="1012">
        <f>industrie!K18</f>
        <v>0</v>
      </c>
      <c r="M13" s="1012">
        <f>industrie!L18</f>
        <v>0</v>
      </c>
      <c r="N13" s="1012">
        <f>industrie!M18</f>
        <v>0</v>
      </c>
      <c r="O13" s="1012">
        <f>industrie!N18</f>
        <v>1853.6141429072929</v>
      </c>
      <c r="P13" s="1012">
        <f>industrie!O18</f>
        <v>0</v>
      </c>
      <c r="Q13" s="1013">
        <f>industrie!P18</f>
        <v>0</v>
      </c>
      <c r="R13" s="700">
        <f>SUM(C13:Q13)</f>
        <v>15176.873033059102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50361.259203699025</v>
      </c>
      <c r="D16" s="732">
        <f t="shared" ref="D16:R16" ca="1" si="0">SUM(D9:D15)</f>
        <v>0</v>
      </c>
      <c r="E16" s="732">
        <f t="shared" ca="1" si="0"/>
        <v>43572.05773615354</v>
      </c>
      <c r="F16" s="732">
        <f t="shared" si="0"/>
        <v>7173.6706848833928</v>
      </c>
      <c r="G16" s="732">
        <f t="shared" ca="1" si="0"/>
        <v>54718.837451965723</v>
      </c>
      <c r="H16" s="732">
        <f t="shared" si="0"/>
        <v>0</v>
      </c>
      <c r="I16" s="732">
        <f t="shared" si="0"/>
        <v>0</v>
      </c>
      <c r="J16" s="732">
        <f t="shared" si="0"/>
        <v>0</v>
      </c>
      <c r="K16" s="732">
        <f t="shared" si="0"/>
        <v>63.587994552060749</v>
      </c>
      <c r="L16" s="732">
        <f t="shared" si="0"/>
        <v>0</v>
      </c>
      <c r="M16" s="732">
        <f t="shared" ca="1" si="0"/>
        <v>0</v>
      </c>
      <c r="N16" s="732">
        <f t="shared" si="0"/>
        <v>0</v>
      </c>
      <c r="O16" s="732">
        <f t="shared" ca="1" si="0"/>
        <v>10239.396308635251</v>
      </c>
      <c r="P16" s="732">
        <f t="shared" si="0"/>
        <v>257.95000000000005</v>
      </c>
      <c r="Q16" s="732">
        <f t="shared" si="0"/>
        <v>1048.6666666666667</v>
      </c>
      <c r="R16" s="732">
        <f t="shared" ca="1" si="0"/>
        <v>167435.42604655566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1716.9358387801403</v>
      </c>
      <c r="I19" s="1012">
        <f>transport!H54</f>
        <v>0</v>
      </c>
      <c r="J19" s="1012">
        <f>transport!I54</f>
        <v>0</v>
      </c>
      <c r="K19" s="1012">
        <f>transport!J54</f>
        <v>0</v>
      </c>
      <c r="L19" s="1012">
        <f>transport!K54</f>
        <v>0</v>
      </c>
      <c r="M19" s="1012">
        <f>transport!L54</f>
        <v>0</v>
      </c>
      <c r="N19" s="1012">
        <f>transport!M54</f>
        <v>53.255508620854968</v>
      </c>
      <c r="O19" s="1012">
        <f>transport!N54</f>
        <v>0</v>
      </c>
      <c r="P19" s="1012">
        <f>transport!O54</f>
        <v>0</v>
      </c>
      <c r="Q19" s="1013">
        <f>transport!P54</f>
        <v>0</v>
      </c>
      <c r="R19" s="700">
        <f>SUM(C19:Q19)</f>
        <v>1770.1913474009953</v>
      </c>
      <c r="S19" s="67"/>
    </row>
    <row r="20" spans="1:19" s="473" customFormat="1">
      <c r="A20" s="809" t="s">
        <v>307</v>
      </c>
      <c r="B20" s="814"/>
      <c r="C20" s="1012">
        <f>transport!B14</f>
        <v>14.787364146091662</v>
      </c>
      <c r="D20" s="1012">
        <f>transport!C14</f>
        <v>0</v>
      </c>
      <c r="E20" s="1012">
        <f>transport!D14</f>
        <v>39.094098375073891</v>
      </c>
      <c r="F20" s="1012">
        <f>transport!E14</f>
        <v>147.24802785603387</v>
      </c>
      <c r="G20" s="1012">
        <f>transport!F14</f>
        <v>0</v>
      </c>
      <c r="H20" s="1012">
        <f>transport!G14</f>
        <v>48581.812763464193</v>
      </c>
      <c r="I20" s="1012">
        <f>transport!H14</f>
        <v>10405.3234553643</v>
      </c>
      <c r="J20" s="1012">
        <f>transport!I14</f>
        <v>0</v>
      </c>
      <c r="K20" s="1012">
        <f>transport!J14</f>
        <v>0</v>
      </c>
      <c r="L20" s="1012">
        <f>transport!K14</f>
        <v>0</v>
      </c>
      <c r="M20" s="1012">
        <f>transport!L14</f>
        <v>0</v>
      </c>
      <c r="N20" s="1012">
        <f>transport!M14</f>
        <v>1842.3570877667455</v>
      </c>
      <c r="O20" s="1012">
        <f>transport!N14</f>
        <v>0</v>
      </c>
      <c r="P20" s="1012">
        <f>transport!O14</f>
        <v>0</v>
      </c>
      <c r="Q20" s="1013">
        <f>transport!P14</f>
        <v>0</v>
      </c>
      <c r="R20" s="700">
        <f>SUM(C20:Q20)</f>
        <v>61030.622796972435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14.787364146091662</v>
      </c>
      <c r="D22" s="812">
        <f t="shared" ref="D22:R22" si="1">SUM(D18:D21)</f>
        <v>0</v>
      </c>
      <c r="E22" s="812">
        <f t="shared" si="1"/>
        <v>39.094098375073891</v>
      </c>
      <c r="F22" s="812">
        <f t="shared" si="1"/>
        <v>147.24802785603387</v>
      </c>
      <c r="G22" s="812">
        <f t="shared" si="1"/>
        <v>0</v>
      </c>
      <c r="H22" s="812">
        <f t="shared" si="1"/>
        <v>50298.748602244334</v>
      </c>
      <c r="I22" s="812">
        <f t="shared" si="1"/>
        <v>10405.3234553643</v>
      </c>
      <c r="J22" s="812">
        <f t="shared" si="1"/>
        <v>0</v>
      </c>
      <c r="K22" s="812">
        <f t="shared" si="1"/>
        <v>0</v>
      </c>
      <c r="L22" s="812">
        <f t="shared" si="1"/>
        <v>0</v>
      </c>
      <c r="M22" s="812">
        <f t="shared" si="1"/>
        <v>0</v>
      </c>
      <c r="N22" s="812">
        <f t="shared" si="1"/>
        <v>1895.6125963876004</v>
      </c>
      <c r="O22" s="812">
        <f t="shared" si="1"/>
        <v>0</v>
      </c>
      <c r="P22" s="812">
        <f t="shared" si="1"/>
        <v>0</v>
      </c>
      <c r="Q22" s="812">
        <f t="shared" si="1"/>
        <v>0</v>
      </c>
      <c r="R22" s="812">
        <f t="shared" si="1"/>
        <v>62800.814144373428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750.56271027000003</v>
      </c>
      <c r="D24" s="1012">
        <f>+landbouw!C8</f>
        <v>0</v>
      </c>
      <c r="E24" s="1012">
        <f>+landbouw!D8</f>
        <v>17.445459300939998</v>
      </c>
      <c r="F24" s="1012">
        <f>+landbouw!E8</f>
        <v>19.354130470237664</v>
      </c>
      <c r="G24" s="1012">
        <f>+landbouw!F8</f>
        <v>2743.4496437615148</v>
      </c>
      <c r="H24" s="1012">
        <f>+landbouw!G8</f>
        <v>0</v>
      </c>
      <c r="I24" s="1012">
        <f>+landbouw!H8</f>
        <v>0</v>
      </c>
      <c r="J24" s="1012">
        <f>+landbouw!I8</f>
        <v>0</v>
      </c>
      <c r="K24" s="1012">
        <f>+landbouw!J8</f>
        <v>108.05341958584469</v>
      </c>
      <c r="L24" s="1012">
        <f>+landbouw!K8</f>
        <v>0</v>
      </c>
      <c r="M24" s="1012">
        <f>+landbouw!L8</f>
        <v>0</v>
      </c>
      <c r="N24" s="1012">
        <f>+landbouw!M8</f>
        <v>0</v>
      </c>
      <c r="O24" s="1012">
        <f>+landbouw!N8</f>
        <v>0</v>
      </c>
      <c r="P24" s="1012">
        <f>+landbouw!O8</f>
        <v>0</v>
      </c>
      <c r="Q24" s="1013">
        <f>+landbouw!P8</f>
        <v>0</v>
      </c>
      <c r="R24" s="700">
        <f>SUM(C24:Q24)</f>
        <v>3638.8653633885369</v>
      </c>
      <c r="S24" s="67"/>
    </row>
    <row r="25" spans="1:19" s="473" customFormat="1" ht="15" thickBot="1">
      <c r="A25" s="831" t="s">
        <v>848</v>
      </c>
      <c r="B25" s="1015"/>
      <c r="C25" s="1016">
        <f>IF(Onbekend_ele_kWh="---",0,Onbekend_ele_kWh)/1000+IF(REST_rest_ele_kWh="---",0,REST_rest_ele_kWh)/1000</f>
        <v>568.16440956999998</v>
      </c>
      <c r="D25" s="1016"/>
      <c r="E25" s="1016">
        <f>IF(onbekend_gas_kWh="---",0,onbekend_gas_kWh)/1000+IF(REST_rest_gas_kWh="---",0,REST_rest_gas_kWh)/1000</f>
        <v>1864.2420637999999</v>
      </c>
      <c r="F25" s="1016"/>
      <c r="G25" s="1016"/>
      <c r="H25" s="1016"/>
      <c r="I25" s="1016"/>
      <c r="J25" s="1016"/>
      <c r="K25" s="1016"/>
      <c r="L25" s="1016"/>
      <c r="M25" s="1016"/>
      <c r="N25" s="1016"/>
      <c r="O25" s="1016"/>
      <c r="P25" s="1016"/>
      <c r="Q25" s="1017"/>
      <c r="R25" s="700">
        <f>SUM(C25:Q25)</f>
        <v>2432.4064733699997</v>
      </c>
      <c r="S25" s="67"/>
    </row>
    <row r="26" spans="1:19" s="473" customFormat="1" ht="15.75" thickBot="1">
      <c r="A26" s="705" t="s">
        <v>849</v>
      </c>
      <c r="B26" s="817"/>
      <c r="C26" s="812">
        <f>SUM(C24:C25)</f>
        <v>1318.7271198399999</v>
      </c>
      <c r="D26" s="812">
        <f t="shared" ref="D26:R26" si="2">SUM(D24:D25)</f>
        <v>0</v>
      </c>
      <c r="E26" s="812">
        <f t="shared" si="2"/>
        <v>1881.6875231009399</v>
      </c>
      <c r="F26" s="812">
        <f t="shared" si="2"/>
        <v>19.354130470237664</v>
      </c>
      <c r="G26" s="812">
        <f t="shared" si="2"/>
        <v>2743.4496437615148</v>
      </c>
      <c r="H26" s="812">
        <f t="shared" si="2"/>
        <v>0</v>
      </c>
      <c r="I26" s="812">
        <f t="shared" si="2"/>
        <v>0</v>
      </c>
      <c r="J26" s="812">
        <f t="shared" si="2"/>
        <v>0</v>
      </c>
      <c r="K26" s="812">
        <f t="shared" si="2"/>
        <v>108.05341958584469</v>
      </c>
      <c r="L26" s="812">
        <f t="shared" si="2"/>
        <v>0</v>
      </c>
      <c r="M26" s="812">
        <f t="shared" si="2"/>
        <v>0</v>
      </c>
      <c r="N26" s="812">
        <f t="shared" si="2"/>
        <v>0</v>
      </c>
      <c r="O26" s="812">
        <f t="shared" si="2"/>
        <v>0</v>
      </c>
      <c r="P26" s="812">
        <f t="shared" si="2"/>
        <v>0</v>
      </c>
      <c r="Q26" s="812">
        <f t="shared" si="2"/>
        <v>0</v>
      </c>
      <c r="R26" s="812">
        <f t="shared" si="2"/>
        <v>6071.2718367585367</v>
      </c>
      <c r="S26" s="67"/>
    </row>
    <row r="27" spans="1:19" s="473" customFormat="1" ht="17.25" thickTop="1" thickBot="1">
      <c r="A27" s="706" t="s">
        <v>116</v>
      </c>
      <c r="B27" s="805"/>
      <c r="C27" s="707">
        <f ca="1">C22+C16+C26</f>
        <v>51694.773687685112</v>
      </c>
      <c r="D27" s="707">
        <f t="shared" ref="D27:R27" ca="1" si="3">D22+D16+D26</f>
        <v>0</v>
      </c>
      <c r="E27" s="707">
        <f t="shared" ca="1" si="3"/>
        <v>45492.839357629557</v>
      </c>
      <c r="F27" s="707">
        <f t="shared" si="3"/>
        <v>7340.2728432096646</v>
      </c>
      <c r="G27" s="707">
        <f t="shared" ca="1" si="3"/>
        <v>57462.287095727239</v>
      </c>
      <c r="H27" s="707">
        <f t="shared" si="3"/>
        <v>50298.748602244334</v>
      </c>
      <c r="I27" s="707">
        <f t="shared" si="3"/>
        <v>10405.3234553643</v>
      </c>
      <c r="J27" s="707">
        <f t="shared" si="3"/>
        <v>0</v>
      </c>
      <c r="K27" s="707">
        <f t="shared" si="3"/>
        <v>171.64141413790543</v>
      </c>
      <c r="L27" s="707">
        <f t="shared" si="3"/>
        <v>0</v>
      </c>
      <c r="M27" s="707">
        <f t="shared" ca="1" si="3"/>
        <v>0</v>
      </c>
      <c r="N27" s="707">
        <f t="shared" si="3"/>
        <v>1895.6125963876004</v>
      </c>
      <c r="O27" s="707">
        <f t="shared" ca="1" si="3"/>
        <v>10239.396308635251</v>
      </c>
      <c r="P27" s="707">
        <f t="shared" si="3"/>
        <v>257.95000000000005</v>
      </c>
      <c r="Q27" s="707">
        <f t="shared" si="3"/>
        <v>1048.6666666666667</v>
      </c>
      <c r="R27" s="707">
        <f t="shared" ca="1" si="3"/>
        <v>236307.51202768763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2897.2381956484614</v>
      </c>
      <c r="D40" s="1012">
        <f ca="1">tertiair!C20</f>
        <v>0</v>
      </c>
      <c r="E40" s="1012">
        <f ca="1">tertiair!D20</f>
        <v>1836.1977191900012</v>
      </c>
      <c r="F40" s="1012">
        <f>tertiair!E20</f>
        <v>56.261944263458787</v>
      </c>
      <c r="G40" s="1012">
        <f ca="1">tertiair!F20</f>
        <v>900.37005187816294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5690.067910980084</v>
      </c>
    </row>
    <row r="41" spans="1:18">
      <c r="A41" s="822" t="s">
        <v>225</v>
      </c>
      <c r="B41" s="829"/>
      <c r="C41" s="1012">
        <f ca="1">huishoudens!B12</f>
        <v>5544.9615749550994</v>
      </c>
      <c r="D41" s="1012">
        <f ca="1">huishoudens!C12</f>
        <v>0</v>
      </c>
      <c r="E41" s="1012">
        <f>huishoudens!D12</f>
        <v>6740.3960678669555</v>
      </c>
      <c r="F41" s="1012">
        <f>huishoudens!E12</f>
        <v>1437.9143175828569</v>
      </c>
      <c r="G41" s="1012">
        <f>huishoudens!F12</f>
        <v>13035.756634203637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26759.02859460855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1844.68862540649</v>
      </c>
      <c r="D43" s="1012">
        <f ca="1">industrie!C22</f>
        <v>0</v>
      </c>
      <c r="E43" s="1012">
        <f>industrie!D22</f>
        <v>224.96187564605836</v>
      </c>
      <c r="F43" s="1012">
        <f>industrie!E22</f>
        <v>134.24698362221466</v>
      </c>
      <c r="G43" s="1012">
        <f>industrie!F22</f>
        <v>673.8029135930492</v>
      </c>
      <c r="H43" s="1012">
        <f>industrie!G22</f>
        <v>0</v>
      </c>
      <c r="I43" s="1012">
        <f>industrie!H22</f>
        <v>0</v>
      </c>
      <c r="J43" s="1012">
        <f>industrie!I22</f>
        <v>0</v>
      </c>
      <c r="K43" s="1012">
        <f>industrie!J22</f>
        <v>22.510150071429504</v>
      </c>
      <c r="L43" s="1012">
        <f>industrie!K22</f>
        <v>0</v>
      </c>
      <c r="M43" s="1012">
        <f>industrie!L22</f>
        <v>0</v>
      </c>
      <c r="N43" s="1012">
        <f>industrie!M22</f>
        <v>0</v>
      </c>
      <c r="O43" s="1012">
        <f>industrie!N22</f>
        <v>0</v>
      </c>
      <c r="P43" s="1012">
        <f>industrie!O22</f>
        <v>0</v>
      </c>
      <c r="Q43" s="774">
        <f>industrie!P22</f>
        <v>0</v>
      </c>
      <c r="R43" s="849">
        <f t="shared" ca="1" si="4"/>
        <v>2900.210548339242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10286.888396010052</v>
      </c>
      <c r="D46" s="732">
        <f t="shared" ref="D46:Q46" ca="1" si="5">SUM(D39:D45)</f>
        <v>0</v>
      </c>
      <c r="E46" s="732">
        <f t="shared" ca="1" si="5"/>
        <v>8801.5556627030146</v>
      </c>
      <c r="F46" s="732">
        <f t="shared" si="5"/>
        <v>1628.4232454685305</v>
      </c>
      <c r="G46" s="732">
        <f t="shared" ca="1" si="5"/>
        <v>14609.929599674848</v>
      </c>
      <c r="H46" s="732">
        <f t="shared" si="5"/>
        <v>0</v>
      </c>
      <c r="I46" s="732">
        <f t="shared" si="5"/>
        <v>0</v>
      </c>
      <c r="J46" s="732">
        <f t="shared" si="5"/>
        <v>0</v>
      </c>
      <c r="K46" s="732">
        <f t="shared" si="5"/>
        <v>22.510150071429504</v>
      </c>
      <c r="L46" s="732">
        <f t="shared" si="5"/>
        <v>0</v>
      </c>
      <c r="M46" s="732">
        <f t="shared" ca="1" si="5"/>
        <v>0</v>
      </c>
      <c r="N46" s="732">
        <f t="shared" si="5"/>
        <v>0</v>
      </c>
      <c r="O46" s="732">
        <f t="shared" ca="1" si="5"/>
        <v>0</v>
      </c>
      <c r="P46" s="732">
        <f t="shared" si="5"/>
        <v>0</v>
      </c>
      <c r="Q46" s="732">
        <f t="shared" si="5"/>
        <v>0</v>
      </c>
      <c r="R46" s="732">
        <f ca="1">SUM(R39:R45)</f>
        <v>35349.307053927878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458.42186895429751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458.42186895429751</v>
      </c>
    </row>
    <row r="50" spans="1:18">
      <c r="A50" s="825" t="s">
        <v>307</v>
      </c>
      <c r="B50" s="835"/>
      <c r="C50" s="703">
        <f ca="1">transport!B18</f>
        <v>3.02049565573278</v>
      </c>
      <c r="D50" s="703">
        <f>transport!C18</f>
        <v>0</v>
      </c>
      <c r="E50" s="703">
        <f>transport!D18</f>
        <v>7.8970078717649264</v>
      </c>
      <c r="F50" s="703">
        <f>transport!E18</f>
        <v>33.425302323319691</v>
      </c>
      <c r="G50" s="703">
        <f>transport!F18</f>
        <v>0</v>
      </c>
      <c r="H50" s="703">
        <f>transport!G18</f>
        <v>12971.34400784494</v>
      </c>
      <c r="I50" s="703">
        <f>transport!H18</f>
        <v>2590.9255403857105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15606.61235408147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3.02049565573278</v>
      </c>
      <c r="D52" s="732">
        <f t="shared" ref="D52:Q52" ca="1" si="6">SUM(D48:D51)</f>
        <v>0</v>
      </c>
      <c r="E52" s="732">
        <f t="shared" si="6"/>
        <v>7.8970078717649264</v>
      </c>
      <c r="F52" s="732">
        <f t="shared" si="6"/>
        <v>33.425302323319691</v>
      </c>
      <c r="G52" s="732">
        <f t="shared" si="6"/>
        <v>0</v>
      </c>
      <c r="H52" s="732">
        <f t="shared" si="6"/>
        <v>13429.765876799238</v>
      </c>
      <c r="I52" s="732">
        <f t="shared" si="6"/>
        <v>2590.9255403857105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16065.034223035767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153.31139365528841</v>
      </c>
      <c r="D54" s="703">
        <f ca="1">+landbouw!C12</f>
        <v>0</v>
      </c>
      <c r="E54" s="703">
        <f>+landbouw!D12</f>
        <v>3.5239827787898799</v>
      </c>
      <c r="F54" s="703">
        <f>+landbouw!E12</f>
        <v>4.3933876167439498</v>
      </c>
      <c r="G54" s="703">
        <f>+landbouw!F12</f>
        <v>732.5010548843245</v>
      </c>
      <c r="H54" s="703">
        <f>+landbouw!G12</f>
        <v>0</v>
      </c>
      <c r="I54" s="703">
        <f>+landbouw!H12</f>
        <v>0</v>
      </c>
      <c r="J54" s="703">
        <f>+landbouw!I12</f>
        <v>0</v>
      </c>
      <c r="K54" s="703">
        <f>+landbouw!J12</f>
        <v>38.250910533389018</v>
      </c>
      <c r="L54" s="703">
        <f>+landbouw!K12</f>
        <v>0</v>
      </c>
      <c r="M54" s="703">
        <f>+landbouw!L12</f>
        <v>0</v>
      </c>
      <c r="N54" s="703">
        <f>+landbouw!M12</f>
        <v>0</v>
      </c>
      <c r="O54" s="703">
        <f>+landbouw!N12</f>
        <v>0</v>
      </c>
      <c r="P54" s="703">
        <f>+landbouw!O12</f>
        <v>0</v>
      </c>
      <c r="Q54" s="704">
        <f>+landbouw!P12</f>
        <v>0</v>
      </c>
      <c r="R54" s="731">
        <f ca="1">SUM(C54:Q54)</f>
        <v>931.98072946853586</v>
      </c>
    </row>
    <row r="55" spans="1:18" ht="15" thickBot="1">
      <c r="A55" s="825" t="s">
        <v>848</v>
      </c>
      <c r="B55" s="835"/>
      <c r="C55" s="703">
        <f ca="1">C25*'EF ele_warmte'!B12</f>
        <v>116.05436329920533</v>
      </c>
      <c r="D55" s="703"/>
      <c r="E55" s="703">
        <f>E25*EF_CO2_aardgas</f>
        <v>376.57689688760001</v>
      </c>
      <c r="F55" s="703"/>
      <c r="G55" s="703"/>
      <c r="H55" s="703"/>
      <c r="I55" s="703"/>
      <c r="J55" s="703"/>
      <c r="K55" s="703"/>
      <c r="L55" s="703"/>
      <c r="M55" s="703"/>
      <c r="N55" s="703"/>
      <c r="O55" s="703"/>
      <c r="P55" s="703"/>
      <c r="Q55" s="704"/>
      <c r="R55" s="731">
        <f ca="1">SUM(C55:Q55)</f>
        <v>492.63126018680532</v>
      </c>
    </row>
    <row r="56" spans="1:18" ht="15.75" thickBot="1">
      <c r="A56" s="823" t="s">
        <v>849</v>
      </c>
      <c r="B56" s="836"/>
      <c r="C56" s="732">
        <f ca="1">SUM(C54:C55)</f>
        <v>269.36575695449375</v>
      </c>
      <c r="D56" s="732">
        <f t="shared" ref="D56:Q56" ca="1" si="7">SUM(D54:D55)</f>
        <v>0</v>
      </c>
      <c r="E56" s="732">
        <f t="shared" si="7"/>
        <v>380.10087966638991</v>
      </c>
      <c r="F56" s="732">
        <f t="shared" si="7"/>
        <v>4.3933876167439498</v>
      </c>
      <c r="G56" s="732">
        <f t="shared" si="7"/>
        <v>732.5010548843245</v>
      </c>
      <c r="H56" s="732">
        <f t="shared" si="7"/>
        <v>0</v>
      </c>
      <c r="I56" s="732">
        <f t="shared" si="7"/>
        <v>0</v>
      </c>
      <c r="J56" s="732">
        <f t="shared" si="7"/>
        <v>0</v>
      </c>
      <c r="K56" s="732">
        <f t="shared" si="7"/>
        <v>38.250910533389018</v>
      </c>
      <c r="L56" s="732">
        <f t="shared" si="7"/>
        <v>0</v>
      </c>
      <c r="M56" s="732">
        <f t="shared" si="7"/>
        <v>0</v>
      </c>
      <c r="N56" s="732">
        <f t="shared" si="7"/>
        <v>0</v>
      </c>
      <c r="O56" s="732">
        <f t="shared" si="7"/>
        <v>0</v>
      </c>
      <c r="P56" s="732">
        <f t="shared" si="7"/>
        <v>0</v>
      </c>
      <c r="Q56" s="733">
        <f t="shared" si="7"/>
        <v>0</v>
      </c>
      <c r="R56" s="734">
        <f ca="1">SUM(R54:R55)</f>
        <v>1424.6119896553412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10559.27464862028</v>
      </c>
      <c r="D61" s="740">
        <f t="shared" ref="D61:Q61" ca="1" si="8">D46+D52+D56</f>
        <v>0</v>
      </c>
      <c r="E61" s="740">
        <f t="shared" ca="1" si="8"/>
        <v>9189.5535502411694</v>
      </c>
      <c r="F61" s="740">
        <f t="shared" si="8"/>
        <v>1666.2419354085941</v>
      </c>
      <c r="G61" s="740">
        <f t="shared" ca="1" si="8"/>
        <v>15342.430654559172</v>
      </c>
      <c r="H61" s="740">
        <f t="shared" si="8"/>
        <v>13429.765876799238</v>
      </c>
      <c r="I61" s="740">
        <f t="shared" si="8"/>
        <v>2590.9255403857105</v>
      </c>
      <c r="J61" s="740">
        <f t="shared" si="8"/>
        <v>0</v>
      </c>
      <c r="K61" s="740">
        <f t="shared" si="8"/>
        <v>60.761060604818525</v>
      </c>
      <c r="L61" s="740">
        <f t="shared" si="8"/>
        <v>0</v>
      </c>
      <c r="M61" s="740">
        <f t="shared" ca="1" si="8"/>
        <v>0</v>
      </c>
      <c r="N61" s="740">
        <f t="shared" si="8"/>
        <v>0</v>
      </c>
      <c r="O61" s="740">
        <f t="shared" ca="1" si="8"/>
        <v>0</v>
      </c>
      <c r="P61" s="740">
        <f t="shared" si="8"/>
        <v>0</v>
      </c>
      <c r="Q61" s="740">
        <f t="shared" si="8"/>
        <v>0</v>
      </c>
      <c r="R61" s="740">
        <f ca="1">R46+R52+R56</f>
        <v>52838.953266618992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0.2042619378201426</v>
      </c>
      <c r="D63" s="781">
        <f t="shared" ca="1" si="9"/>
        <v>0</v>
      </c>
      <c r="E63" s="1023">
        <f t="shared" ca="1" si="9"/>
        <v>0.20199999999999999</v>
      </c>
      <c r="F63" s="781">
        <f t="shared" si="9"/>
        <v>0.22700000000000004</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3915.2503907607779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3915.2503907607779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3915.2503907607779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3915.2503907607779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27146.328063516019</v>
      </c>
      <c r="C4" s="477">
        <f>huishoudens!C8</f>
        <v>0</v>
      </c>
      <c r="D4" s="477">
        <f>huishoudens!D8</f>
        <v>33368.297365677994</v>
      </c>
      <c r="E4" s="477">
        <f>huishoudens!E8</f>
        <v>6334.424306532409</v>
      </c>
      <c r="F4" s="477">
        <f>huishoudens!F8</f>
        <v>48823.058555069802</v>
      </c>
      <c r="G4" s="477">
        <f>huishoudens!G8</f>
        <v>0</v>
      </c>
      <c r="H4" s="477">
        <f>huishoudens!H8</f>
        <v>0</v>
      </c>
      <c r="I4" s="477">
        <f>huishoudens!I8</f>
        <v>0</v>
      </c>
      <c r="J4" s="477">
        <f>huishoudens!J8</f>
        <v>0</v>
      </c>
      <c r="K4" s="477">
        <f>huishoudens!K8</f>
        <v>0</v>
      </c>
      <c r="L4" s="477">
        <f>huishoudens!L8</f>
        <v>0</v>
      </c>
      <c r="M4" s="477">
        <f>huishoudens!M8</f>
        <v>0</v>
      </c>
      <c r="N4" s="477">
        <f>huishoudens!N8</f>
        <v>7324.5744466521001</v>
      </c>
      <c r="O4" s="477">
        <f>huishoudens!O8</f>
        <v>256.38666666666671</v>
      </c>
      <c r="P4" s="478">
        <f>huishoudens!P8</f>
        <v>972.4</v>
      </c>
      <c r="Q4" s="479">
        <f>SUM(B4:P4)</f>
        <v>124225.46940411499</v>
      </c>
    </row>
    <row r="5" spans="1:17">
      <c r="A5" s="476" t="s">
        <v>156</v>
      </c>
      <c r="B5" s="477">
        <f ca="1">tertiair!B16</f>
        <v>13025.879717870002</v>
      </c>
      <c r="C5" s="477">
        <f ca="1">tertiair!C16</f>
        <v>0</v>
      </c>
      <c r="D5" s="477">
        <f ca="1">tertiair!D16</f>
        <v>9090.087718762381</v>
      </c>
      <c r="E5" s="477">
        <f>tertiair!E16</f>
        <v>247.84997472889333</v>
      </c>
      <c r="F5" s="477">
        <f ca="1">tertiair!F16</f>
        <v>3372.1724789444302</v>
      </c>
      <c r="G5" s="477">
        <f>tertiair!G16</f>
        <v>0</v>
      </c>
      <c r="H5" s="477">
        <f>tertiair!H16</f>
        <v>0</v>
      </c>
      <c r="I5" s="477">
        <f>tertiair!I16</f>
        <v>0</v>
      </c>
      <c r="J5" s="477">
        <f>tertiair!J16</f>
        <v>0</v>
      </c>
      <c r="K5" s="477">
        <f>tertiair!K16</f>
        <v>0</v>
      </c>
      <c r="L5" s="477">
        <f ca="1">tertiair!L16</f>
        <v>0</v>
      </c>
      <c r="M5" s="477">
        <f>tertiair!M16</f>
        <v>0</v>
      </c>
      <c r="N5" s="477">
        <f ca="1">tertiair!N16</f>
        <v>1061.2077190758587</v>
      </c>
      <c r="O5" s="477">
        <f>tertiair!O16</f>
        <v>1.5633333333333335</v>
      </c>
      <c r="P5" s="478">
        <f>tertiair!P16</f>
        <v>76.266666666666666</v>
      </c>
      <c r="Q5" s="476">
        <f t="shared" ref="Q5:Q14" ca="1" si="0">SUM(B5:P5)</f>
        <v>26875.027609381559</v>
      </c>
    </row>
    <row r="6" spans="1:17">
      <c r="A6" s="476" t="s">
        <v>194</v>
      </c>
      <c r="B6" s="477">
        <f>'openbare verlichting'!B8</f>
        <v>1158.056</v>
      </c>
      <c r="C6" s="477"/>
      <c r="D6" s="477"/>
      <c r="E6" s="477"/>
      <c r="F6" s="477"/>
      <c r="G6" s="477"/>
      <c r="H6" s="477"/>
      <c r="I6" s="477"/>
      <c r="J6" s="477"/>
      <c r="K6" s="477"/>
      <c r="L6" s="477"/>
      <c r="M6" s="477"/>
      <c r="N6" s="477"/>
      <c r="O6" s="477"/>
      <c r="P6" s="478"/>
      <c r="Q6" s="476">
        <f t="shared" si="0"/>
        <v>1158.056</v>
      </c>
    </row>
    <row r="7" spans="1:17">
      <c r="A7" s="476" t="s">
        <v>112</v>
      </c>
      <c r="B7" s="477">
        <f>landbouw!B8</f>
        <v>750.56271027000003</v>
      </c>
      <c r="C7" s="477">
        <f>landbouw!C8</f>
        <v>0</v>
      </c>
      <c r="D7" s="477">
        <f>landbouw!D8</f>
        <v>17.445459300939998</v>
      </c>
      <c r="E7" s="477">
        <f>landbouw!E8</f>
        <v>19.354130470237664</v>
      </c>
      <c r="F7" s="477">
        <f>landbouw!F8</f>
        <v>2743.4496437615148</v>
      </c>
      <c r="G7" s="477">
        <f>landbouw!G8</f>
        <v>0</v>
      </c>
      <c r="H7" s="477">
        <f>landbouw!H8</f>
        <v>0</v>
      </c>
      <c r="I7" s="477">
        <f>landbouw!I8</f>
        <v>0</v>
      </c>
      <c r="J7" s="477">
        <f>landbouw!J8</f>
        <v>108.05341958584469</v>
      </c>
      <c r="K7" s="477">
        <f>landbouw!K8</f>
        <v>0</v>
      </c>
      <c r="L7" s="477">
        <f>landbouw!L8</f>
        <v>0</v>
      </c>
      <c r="M7" s="477">
        <f>landbouw!M8</f>
        <v>0</v>
      </c>
      <c r="N7" s="477">
        <f>landbouw!N8</f>
        <v>0</v>
      </c>
      <c r="O7" s="477">
        <f>landbouw!O8</f>
        <v>0</v>
      </c>
      <c r="P7" s="478">
        <f>landbouw!P8</f>
        <v>0</v>
      </c>
      <c r="Q7" s="476">
        <f t="shared" si="0"/>
        <v>3638.8653633885369</v>
      </c>
    </row>
    <row r="8" spans="1:17">
      <c r="A8" s="476" t="s">
        <v>638</v>
      </c>
      <c r="B8" s="477">
        <f>industrie!B18</f>
        <v>9030.9954223130007</v>
      </c>
      <c r="C8" s="477">
        <f>industrie!C18</f>
        <v>0</v>
      </c>
      <c r="D8" s="477">
        <f>industrie!D18</f>
        <v>1113.6726517131601</v>
      </c>
      <c r="E8" s="477">
        <f>industrie!E18</f>
        <v>591.39640362209093</v>
      </c>
      <c r="F8" s="477">
        <f>industrie!F18</f>
        <v>2523.6064179514951</v>
      </c>
      <c r="G8" s="477">
        <f>industrie!G18</f>
        <v>0</v>
      </c>
      <c r="H8" s="477">
        <f>industrie!H18</f>
        <v>0</v>
      </c>
      <c r="I8" s="477">
        <f>industrie!I18</f>
        <v>0</v>
      </c>
      <c r="J8" s="477">
        <f>industrie!J18</f>
        <v>63.587994552060749</v>
      </c>
      <c r="K8" s="477">
        <f>industrie!K18</f>
        <v>0</v>
      </c>
      <c r="L8" s="477">
        <f>industrie!L18</f>
        <v>0</v>
      </c>
      <c r="M8" s="477">
        <f>industrie!M18</f>
        <v>0</v>
      </c>
      <c r="N8" s="477">
        <f>industrie!N18</f>
        <v>1853.6141429072929</v>
      </c>
      <c r="O8" s="477">
        <f>industrie!O18</f>
        <v>0</v>
      </c>
      <c r="P8" s="478">
        <f>industrie!P18</f>
        <v>0</v>
      </c>
      <c r="Q8" s="476">
        <f t="shared" si="0"/>
        <v>15176.873033059102</v>
      </c>
    </row>
    <row r="9" spans="1:17" s="482" customFormat="1">
      <c r="A9" s="480" t="s">
        <v>564</v>
      </c>
      <c r="B9" s="481">
        <f>transport!B14</f>
        <v>14.787364146091662</v>
      </c>
      <c r="C9" s="481">
        <f>transport!C14</f>
        <v>0</v>
      </c>
      <c r="D9" s="481">
        <f>transport!D14</f>
        <v>39.094098375073891</v>
      </c>
      <c r="E9" s="481">
        <f>transport!E14</f>
        <v>147.24802785603387</v>
      </c>
      <c r="F9" s="481">
        <f>transport!F14</f>
        <v>0</v>
      </c>
      <c r="G9" s="481">
        <f>transport!G14</f>
        <v>48581.812763464193</v>
      </c>
      <c r="H9" s="481">
        <f>transport!H14</f>
        <v>10405.3234553643</v>
      </c>
      <c r="I9" s="481">
        <f>transport!I14</f>
        <v>0</v>
      </c>
      <c r="J9" s="481">
        <f>transport!J14</f>
        <v>0</v>
      </c>
      <c r="K9" s="481">
        <f>transport!K14</f>
        <v>0</v>
      </c>
      <c r="L9" s="481">
        <f>transport!L14</f>
        <v>0</v>
      </c>
      <c r="M9" s="481">
        <f>transport!M14</f>
        <v>1842.3570877667455</v>
      </c>
      <c r="N9" s="481">
        <f>transport!N14</f>
        <v>0</v>
      </c>
      <c r="O9" s="481">
        <f>transport!O14</f>
        <v>0</v>
      </c>
      <c r="P9" s="481">
        <f>transport!P14</f>
        <v>0</v>
      </c>
      <c r="Q9" s="480">
        <f>SUM(B9:P9)</f>
        <v>61030.622796972435</v>
      </c>
    </row>
    <row r="10" spans="1:17">
      <c r="A10" s="476" t="s">
        <v>554</v>
      </c>
      <c r="B10" s="477">
        <f>transport!B54</f>
        <v>0</v>
      </c>
      <c r="C10" s="477">
        <f>transport!C54</f>
        <v>0</v>
      </c>
      <c r="D10" s="477">
        <f>transport!D54</f>
        <v>0</v>
      </c>
      <c r="E10" s="477">
        <f>transport!E54</f>
        <v>0</v>
      </c>
      <c r="F10" s="477">
        <f>transport!F54</f>
        <v>0</v>
      </c>
      <c r="G10" s="477">
        <f>transport!G54</f>
        <v>1716.9358387801403</v>
      </c>
      <c r="H10" s="477">
        <f>transport!H54</f>
        <v>0</v>
      </c>
      <c r="I10" s="477">
        <f>transport!I54</f>
        <v>0</v>
      </c>
      <c r="J10" s="477">
        <f>transport!J54</f>
        <v>0</v>
      </c>
      <c r="K10" s="477">
        <f>transport!K54</f>
        <v>0</v>
      </c>
      <c r="L10" s="477">
        <f>transport!L54</f>
        <v>0</v>
      </c>
      <c r="M10" s="477">
        <f>transport!M54</f>
        <v>53.255508620854968</v>
      </c>
      <c r="N10" s="477">
        <f>transport!N54</f>
        <v>0</v>
      </c>
      <c r="O10" s="477">
        <f>transport!O54</f>
        <v>0</v>
      </c>
      <c r="P10" s="478">
        <f>transport!P54</f>
        <v>0</v>
      </c>
      <c r="Q10" s="476">
        <f t="shared" si="0"/>
        <v>1770.1913474009953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568.16440956999998</v>
      </c>
      <c r="C14" s="484"/>
      <c r="D14" s="484">
        <f>'SEAP template'!E25</f>
        <v>1864.2420637999999</v>
      </c>
      <c r="E14" s="484"/>
      <c r="F14" s="484"/>
      <c r="G14" s="484"/>
      <c r="H14" s="484"/>
      <c r="I14" s="484"/>
      <c r="J14" s="484"/>
      <c r="K14" s="484"/>
      <c r="L14" s="484"/>
      <c r="M14" s="484"/>
      <c r="N14" s="484"/>
      <c r="O14" s="484"/>
      <c r="P14" s="485"/>
      <c r="Q14" s="476">
        <f t="shared" si="0"/>
        <v>2432.4064733699997</v>
      </c>
    </row>
    <row r="15" spans="1:17" s="486" customFormat="1">
      <c r="A15" s="1038" t="s">
        <v>558</v>
      </c>
      <c r="B15" s="978">
        <f ca="1">SUM(B4:B14)</f>
        <v>51694.773687685112</v>
      </c>
      <c r="C15" s="978">
        <f t="shared" ref="C15:Q15" ca="1" si="1">SUM(C4:C14)</f>
        <v>0</v>
      </c>
      <c r="D15" s="978">
        <f t="shared" ca="1" si="1"/>
        <v>45492.839357629557</v>
      </c>
      <c r="E15" s="978">
        <f t="shared" si="1"/>
        <v>7340.2728432096646</v>
      </c>
      <c r="F15" s="978">
        <f t="shared" ca="1" si="1"/>
        <v>57462.287095727239</v>
      </c>
      <c r="G15" s="978">
        <f t="shared" si="1"/>
        <v>50298.748602244334</v>
      </c>
      <c r="H15" s="978">
        <f t="shared" si="1"/>
        <v>10405.3234553643</v>
      </c>
      <c r="I15" s="978">
        <f t="shared" si="1"/>
        <v>0</v>
      </c>
      <c r="J15" s="978">
        <f t="shared" si="1"/>
        <v>171.64141413790543</v>
      </c>
      <c r="K15" s="978">
        <f t="shared" si="1"/>
        <v>0</v>
      </c>
      <c r="L15" s="978">
        <f t="shared" ca="1" si="1"/>
        <v>0</v>
      </c>
      <c r="M15" s="978">
        <f t="shared" si="1"/>
        <v>1895.6125963876004</v>
      </c>
      <c r="N15" s="978">
        <f t="shared" ca="1" si="1"/>
        <v>10239.396308635251</v>
      </c>
      <c r="O15" s="978">
        <f t="shared" si="1"/>
        <v>257.95000000000005</v>
      </c>
      <c r="P15" s="978">
        <f t="shared" si="1"/>
        <v>1048.6666666666667</v>
      </c>
      <c r="Q15" s="978">
        <f t="shared" ca="1" si="1"/>
        <v>236307.51202768763</v>
      </c>
    </row>
    <row r="17" spans="1:17">
      <c r="A17" s="487" t="s">
        <v>559</v>
      </c>
      <c r="B17" s="786">
        <f ca="1">huishoudens!B10</f>
        <v>0.20426193782014254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5544.9615749550994</v>
      </c>
      <c r="C22" s="477">
        <f t="shared" ref="C22:C32" ca="1" si="3">C4*$C$17</f>
        <v>0</v>
      </c>
      <c r="D22" s="477">
        <f t="shared" ref="D22:D32" si="4">D4*$D$17</f>
        <v>6740.3960678669555</v>
      </c>
      <c r="E22" s="477">
        <f t="shared" ref="E22:E32" si="5">E4*$E$17</f>
        <v>1437.9143175828569</v>
      </c>
      <c r="F22" s="477">
        <f t="shared" ref="F22:F32" si="6">F4*$F$17</f>
        <v>13035.756634203637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26759.02859460855</v>
      </c>
    </row>
    <row r="23" spans="1:17">
      <c r="A23" s="476" t="s">
        <v>156</v>
      </c>
      <c r="B23" s="477">
        <f t="shared" ca="1" si="2"/>
        <v>2660.6914329842184</v>
      </c>
      <c r="C23" s="477">
        <f t="shared" ca="1" si="3"/>
        <v>0</v>
      </c>
      <c r="D23" s="477">
        <f t="shared" ca="1" si="4"/>
        <v>1836.1977191900012</v>
      </c>
      <c r="E23" s="477">
        <f t="shared" si="5"/>
        <v>56.261944263458787</v>
      </c>
      <c r="F23" s="477">
        <f t="shared" ca="1" si="6"/>
        <v>900.37005187816294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5453.5211483158419</v>
      </c>
    </row>
    <row r="24" spans="1:17">
      <c r="A24" s="476" t="s">
        <v>194</v>
      </c>
      <c r="B24" s="477">
        <f t="shared" ca="1" si="2"/>
        <v>236.546762664243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236.546762664243</v>
      </c>
    </row>
    <row r="25" spans="1:17">
      <c r="A25" s="476" t="s">
        <v>112</v>
      </c>
      <c r="B25" s="477">
        <f t="shared" ca="1" si="2"/>
        <v>153.31139365528841</v>
      </c>
      <c r="C25" s="477">
        <f t="shared" ca="1" si="3"/>
        <v>0</v>
      </c>
      <c r="D25" s="477">
        <f t="shared" si="4"/>
        <v>3.5239827787898799</v>
      </c>
      <c r="E25" s="477">
        <f t="shared" si="5"/>
        <v>4.3933876167439498</v>
      </c>
      <c r="F25" s="477">
        <f t="shared" si="6"/>
        <v>732.5010548843245</v>
      </c>
      <c r="G25" s="477">
        <f t="shared" si="7"/>
        <v>0</v>
      </c>
      <c r="H25" s="477">
        <f t="shared" si="8"/>
        <v>0</v>
      </c>
      <c r="I25" s="477">
        <f t="shared" si="9"/>
        <v>0</v>
      </c>
      <c r="J25" s="477">
        <f t="shared" si="10"/>
        <v>38.250910533389018</v>
      </c>
      <c r="K25" s="477">
        <f t="shared" si="11"/>
        <v>0</v>
      </c>
      <c r="L25" s="477">
        <f t="shared" si="12"/>
        <v>0</v>
      </c>
      <c r="M25" s="477">
        <f t="shared" si="13"/>
        <v>0</v>
      </c>
      <c r="N25" s="477">
        <f t="shared" si="14"/>
        <v>0</v>
      </c>
      <c r="O25" s="477">
        <f t="shared" si="15"/>
        <v>0</v>
      </c>
      <c r="P25" s="478">
        <f t="shared" si="16"/>
        <v>0</v>
      </c>
      <c r="Q25" s="476">
        <f t="shared" ca="1" si="17"/>
        <v>931.98072946853586</v>
      </c>
    </row>
    <row r="26" spans="1:17">
      <c r="A26" s="476" t="s">
        <v>638</v>
      </c>
      <c r="B26" s="477">
        <f t="shared" ca="1" si="2"/>
        <v>1844.68862540649</v>
      </c>
      <c r="C26" s="477">
        <f t="shared" ca="1" si="3"/>
        <v>0</v>
      </c>
      <c r="D26" s="477">
        <f t="shared" si="4"/>
        <v>224.96187564605836</v>
      </c>
      <c r="E26" s="477">
        <f t="shared" si="5"/>
        <v>134.24698362221466</v>
      </c>
      <c r="F26" s="477">
        <f t="shared" si="6"/>
        <v>673.8029135930492</v>
      </c>
      <c r="G26" s="477">
        <f t="shared" si="7"/>
        <v>0</v>
      </c>
      <c r="H26" s="477">
        <f t="shared" si="8"/>
        <v>0</v>
      </c>
      <c r="I26" s="477">
        <f t="shared" si="9"/>
        <v>0</v>
      </c>
      <c r="J26" s="477">
        <f t="shared" si="10"/>
        <v>22.510150071429504</v>
      </c>
      <c r="K26" s="477">
        <f t="shared" si="11"/>
        <v>0</v>
      </c>
      <c r="L26" s="477">
        <f t="shared" si="12"/>
        <v>0</v>
      </c>
      <c r="M26" s="477">
        <f t="shared" si="13"/>
        <v>0</v>
      </c>
      <c r="N26" s="477">
        <f t="shared" si="14"/>
        <v>0</v>
      </c>
      <c r="O26" s="477">
        <f t="shared" si="15"/>
        <v>0</v>
      </c>
      <c r="P26" s="478">
        <f t="shared" si="16"/>
        <v>0</v>
      </c>
      <c r="Q26" s="476">
        <f t="shared" ca="1" si="17"/>
        <v>2900.210548339242</v>
      </c>
    </row>
    <row r="27" spans="1:17" s="482" customFormat="1">
      <c r="A27" s="480" t="s">
        <v>564</v>
      </c>
      <c r="B27" s="780">
        <f t="shared" ca="1" si="2"/>
        <v>3.02049565573278</v>
      </c>
      <c r="C27" s="481">
        <f t="shared" ca="1" si="3"/>
        <v>0</v>
      </c>
      <c r="D27" s="481">
        <f t="shared" si="4"/>
        <v>7.8970078717649264</v>
      </c>
      <c r="E27" s="481">
        <f t="shared" si="5"/>
        <v>33.425302323319691</v>
      </c>
      <c r="F27" s="481">
        <f t="shared" si="6"/>
        <v>0</v>
      </c>
      <c r="G27" s="481">
        <f t="shared" si="7"/>
        <v>12971.34400784494</v>
      </c>
      <c r="H27" s="481">
        <f t="shared" si="8"/>
        <v>2590.9255403857105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15606.61235408147</v>
      </c>
    </row>
    <row r="28" spans="1:17">
      <c r="A28" s="476" t="s">
        <v>554</v>
      </c>
      <c r="B28" s="477">
        <f t="shared" ca="1" si="2"/>
        <v>0</v>
      </c>
      <c r="C28" s="477">
        <f t="shared" ca="1" si="3"/>
        <v>0</v>
      </c>
      <c r="D28" s="477">
        <f t="shared" si="4"/>
        <v>0</v>
      </c>
      <c r="E28" s="477">
        <f t="shared" si="5"/>
        <v>0</v>
      </c>
      <c r="F28" s="477">
        <f t="shared" si="6"/>
        <v>0</v>
      </c>
      <c r="G28" s="477">
        <f t="shared" si="7"/>
        <v>458.42186895429751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458.42186895429751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116.05436329920533</v>
      </c>
      <c r="C32" s="477">
        <f t="shared" ca="1" si="3"/>
        <v>0</v>
      </c>
      <c r="D32" s="477">
        <f t="shared" si="4"/>
        <v>376.57689688760001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492.63126018680532</v>
      </c>
    </row>
    <row r="33" spans="1:17" s="486" customFormat="1">
      <c r="A33" s="1038" t="s">
        <v>558</v>
      </c>
      <c r="B33" s="978">
        <f ca="1">SUM(B22:B32)</f>
        <v>10559.274648620278</v>
      </c>
      <c r="C33" s="978">
        <f t="shared" ref="C33:Q33" ca="1" si="18">SUM(C22:C32)</f>
        <v>0</v>
      </c>
      <c r="D33" s="978">
        <f t="shared" ca="1" si="18"/>
        <v>9189.5535502411694</v>
      </c>
      <c r="E33" s="978">
        <f t="shared" si="18"/>
        <v>1666.2419354085941</v>
      </c>
      <c r="F33" s="978">
        <f t="shared" ca="1" si="18"/>
        <v>15342.430654559172</v>
      </c>
      <c r="G33" s="978">
        <f t="shared" si="18"/>
        <v>13429.765876799238</v>
      </c>
      <c r="H33" s="978">
        <f t="shared" si="18"/>
        <v>2590.9255403857105</v>
      </c>
      <c r="I33" s="978">
        <f t="shared" si="18"/>
        <v>0</v>
      </c>
      <c r="J33" s="978">
        <f t="shared" si="18"/>
        <v>60.761060604818525</v>
      </c>
      <c r="K33" s="978">
        <f t="shared" si="18"/>
        <v>0</v>
      </c>
      <c r="L33" s="978">
        <f t="shared" ca="1" si="18"/>
        <v>0</v>
      </c>
      <c r="M33" s="978">
        <f t="shared" si="18"/>
        <v>0</v>
      </c>
      <c r="N33" s="978">
        <f t="shared" ca="1" si="18"/>
        <v>0</v>
      </c>
      <c r="O33" s="978">
        <f t="shared" si="18"/>
        <v>0</v>
      </c>
      <c r="P33" s="978">
        <f t="shared" si="18"/>
        <v>0</v>
      </c>
      <c r="Q33" s="978">
        <f t="shared" ca="1" si="18"/>
        <v>52838.953266618992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3915.2503907607779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3915.2503907607779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0.20426193782014254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0.20426193782014254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2019-08-12T08:23:46Z</dcterms:modified>
</cp:coreProperties>
</file>