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<sst xmlns="http://schemas.openxmlformats.org/spreadsheetml/2006/main" count="2410" uniqueCount="900">
  <si>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</si>
  <si>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</si>
  <si>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</si>
  <si>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</si>
  <si>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</si>
  <si>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</si>
  <si>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</si>
  <si>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</si>
  <si>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</si>
  <si>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</si>
  <si>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</si>
  <si>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</si>
  <si>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</si>
  <si>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</si>
  <si>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</si>
  <si>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</si>
  <si>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</si>
  <si>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</si>
  <si>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</si>
  <si>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</si>
  <si>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</si>
  <si>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</si>
  <si>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</si>
  <si>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</si>
  <si>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</si>
  <si>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</si>
  <si>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</si>
  <si>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</si>
  <si>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</si>
  <si>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</si>
  <si>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</si>
  <si>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</si>
  <si>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</si>
  <si>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</si>
  <si>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</si>
  <si>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</si>
  <si>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</si>
  <si>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</si>
  <si>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</si>
  <si>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</si>
  <si>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</si>
  <si>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</si>
  <si>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</si>
  <si>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</si>
  <si>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</si>
  <si>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</si>
  <si>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</si>
  <si>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</si>
  <si>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</si>
  <si>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</si>
  <si>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</si>
  <si>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</si>
  <si>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</si>
  <si>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</si>
  <si>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</si>
  <si>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</si>
  <si>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</si>
  <si>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</si>
  <si>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</si>
  <si>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</si>
  <si>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</si>
  <si>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</si>
  <si>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</si>
  <si>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</si>
  <si>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</si>
  <si>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</si>
  <si>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</si>
  <si>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</si>
  <si>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</si>
  <si>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</si>
  <si>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</si>
  <si>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</si>
  <si>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</si>
  <si>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</si>
  <si>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</si>
  <si>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</si>
  <si>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</si>
  <si>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</si>
  <si>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</si>
  <si>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</si>
  <si>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</si>
  <si>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</si>
  <si>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</si>
  <si>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</si>
  <si>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</si>
  <si>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</si>
  <si>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</si>
  <si>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</si>
  <si>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</si>
  <si>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</si>
  <si>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</si>
  <si>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</si>
  <si>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</si>
  <si>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</si>
  <si>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</si>
  <si>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</si>
  <si>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</si>
  <si>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</si>
  <si>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</si>
  <si>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</si>
  <si>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</si>
  <si>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</si>
  <si>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</si>
  <si>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</si>
  <si>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</si>
  <si>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</si>
  <si>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</si>
  <si>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</si>
  <si>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</si>
  <si>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</si>
  <si>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</si>
  <si>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</si>
  <si>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</si>
  <si>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</si>
  <si>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</si>
  <si>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</si>
  <si>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</si>
  <si>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</si>
  <si>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</si>
  <si>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</si>
  <si>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</si>
  <si>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</si>
  <si>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</si>
  <si>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</si>
  <si>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</si>
  <si>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</si>
  <si>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</si>
  <si>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</si>
  <si>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</si>
  <si>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</si>
  <si>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</si>
  <si>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</si>
  <si>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</si>
  <si>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</si>
  <si>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</si>
  <si>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</si>
  <si>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</si>
  <si>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</si>
  <si>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</si>
  <si>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</si>
  <si>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</si>
  <si>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</si>
  <si>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</si>
  <si>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</si>
  <si>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</si>
  <si>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</si>
  <si>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</si>
  <si>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</si>
  <si>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</si>
  <si>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</si>
  <si>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</si>
  <si>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</si>
  <si>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</si>
  <si>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</si>
  <si>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</si>
  <si>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</si>
  <si>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</si>
  <si>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</si>
  <si>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</si>
  <si>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</si>
  <si>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</si>
  <si>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</si>
  <si>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</si>
  <si>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</si>
  <si>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</si>
  <si>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</si>
  <si>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</si>
  <si>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</si>
  <si>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</si>
  <si>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</si>
  <si>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</si>
  <si>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</si>
  <si>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</si>
  <si>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</si>
  <si>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</si>
  <si>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</si>
  <si>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</si>
  <si>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</si>
  <si>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</si>
  <si>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</si>
  <si>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</si>
  <si>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</si>
  <si>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</si>
  <si>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</si>
  <si>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</si>
  <si>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</si>
  <si>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</si>
  <si>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</si>
  <si>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</si>
  <si>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</si>
  <si>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</si>
  <si>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</si>
  <si>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</si>
  <si>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</si>
  <si>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</si>
  <si>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</si>
  <si>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</si>
  <si>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</si>
  <si>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</si>
  <si>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</si>
  <si>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</si>
  <si>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</si>
  <si>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</si>
  <si>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</si>
  <si>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</si>
  <si>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</si>
  <si>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</si>
  <si>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</si>
  <si>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</si>
  <si>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</si>
  <si>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</si>
  <si>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</si>
  <si>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</si>
  <si>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</si>
  <si>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</si>
  <si>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</si>
  <si>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</si>
  <si>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</si>
  <si>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</si>
  <si>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</si>
  <si>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</si>
  <si>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</si>
  <si>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</si>
  <si>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</si>
  <si>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</si>
  <si>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</si>
  <si>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</si>
  <si>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</si>
  <si>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</si>
  <si>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</si>
  <si>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</si>
  <si>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</si>
  <si>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</si>
  <si>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</si>
  <si>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</si>
  <si>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</si>
  <si>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</si>
  <si>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</si>
  <si>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</si>
  <si>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</si>
  <si>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</si>
  <si>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</si>
  <si>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</si>
  <si>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</si>
  <si>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</si>
  <si>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</si>
  <si>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</si>
  <si>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</si>
  <si>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</si>
  <si>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</si>
  <si>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</si>
  <si>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</si>
  <si>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</si>
  <si>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</si>
  <si>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</si>
  <si>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</si>
  <si>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</si>
  <si>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</si>
  <si>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</si>
  <si>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</si>
  <si>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</si>
  <si>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</si>
  <si>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</si>
  <si>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</si>
  <si>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</si>
  <si>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</si>
  <si>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</si>
  <si>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</si>
  <si>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</si>
  <si>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</si>
  <si>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</si>
  <si>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</si>
  <si>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</si>
  <si>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</si>
  <si>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</si>
  <si>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</si>
  <si>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</si>
  <si>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</si>
  <si>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</si>
  <si>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</si>
  <si>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</si>
  <si>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</si>
  <si>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</si>
  <si>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</si>
  <si>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</si>
  <si>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</si>
  <si>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</si>
  <si>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</si>
  <si>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</si>
  <si>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</si>
  <si>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</si>
  <si>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</si>
  <si>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</si>
  <si>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</si>
  <si>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</si>
  <si>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</si>
  <si>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</si>
  <si>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</si>
  <si>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</si>
  <si>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</si>
  <si>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</si>
  <si>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</si>
  <si>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</si>
  <si>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</si>
  <si>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</si>
  <si>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</si>
  <si>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</si>
  <si>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</si>
  <si>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</si>
  <si>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</si>
  <si>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</si>
  <si>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</si>
  <si>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</si>
  <si>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</si>
  <si>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</si>
  <si>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</si>
  <si>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</si>
  <si>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</si>
  <si>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</si>
  <si>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</si>
  <si>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</si>
  <si>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</si>
  <si>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</si>
  <si>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</si>
  <si>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</si>
  <si>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</si>
  <si>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</si>
  <si>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</si>
  <si>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</si>
  <si>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</si>
  <si>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</si>
  <si>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</si>
  <si>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</si>
  <si>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</si>
  <si>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</si>
  <si>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</si>
  <si>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</si>
  <si>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</si>
  <si>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</si>
  <si>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</si>
  <si>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</si>
  <si>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</si>
  <si>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</si>
  <si>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</si>
  <si>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</si>
  <si>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</si>
  <si>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</si>
  <si>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</si>
  <si>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</si>
  <si>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</si>
  <si>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</si>
  <si>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</si>
  <si>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</si>
  <si>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</si>
  <si>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</si>
  <si>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</si>
  <si>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</si>
  <si>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</si>
  <si>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</si>
  <si>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</si>
  <si>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</si>
  <si>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</si>
  <si>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</si>
  <si>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</si>
  <si>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</si>
  <si>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</si>
  <si>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</si>
  <si>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</si>
  <si>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</si>
  <si>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</si>
  <si>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</si>
  <si>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</si>
  <si>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</si>
  <si>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</si>
  <si>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</si>
  <si>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</si>
  <si>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</si>
  <si>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</si>
  <si>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</si>
  <si>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</si>
  <si>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</si>
  <si>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</si>
  <si>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</si>
  <si>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</si>
  <si>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</si>
  <si>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</si>
  <si>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</si>
  <si>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</si>
  <si>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</si>
  <si>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</si>
  <si>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</si>
  <si>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</si>
  <si>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</si>
  <si>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</si>
  <si>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</si>
  <si>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</si>
  <si>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</si>
  <si>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</si>
  <si>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</si>
  <si>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</si>
  <si>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</si>
  <si>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</si>
  <si>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</si>
  <si>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</si>
  <si>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</si>
  <si>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</si>
  <si>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</si>
  <si>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</si>
  <si>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</si>
  <si>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</si>
  <si>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</si>
  <si>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</si>
  <si>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</si>
  <si>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</si>
  <si>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</si>
  <si>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</si>
  <si>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</si>
  <si>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</si>
  <si>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</si>
  <si>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</si>
  <si>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</si>
  <si>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</si>
  <si>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</si>
  <si>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</si>
  <si>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</si>
  <si>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</si>
  <si>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</si>
  <si>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</si>
  <si>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</si>
  <si>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</si>
  <si>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</si>
  <si>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</si>
  <si>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</si>
  <si>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</si>
  <si>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</si>
  <si>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</si>
  <si>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</si>
  <si>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</si>
  <si>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</si>
  <si>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</si>
  <si>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</si>
  <si>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</si>
  <si>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</si>
  <si>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</si>
  <si>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</si>
  <si>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</si>
  <si>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</si>
  <si>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</si>
  <si>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</si>
  <si>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</si>
  <si>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</si>
  <si>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</si>
  <si>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</si>
  <si>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</si>
  <si>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</si>
  <si>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</si>
  <si>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</si>
  <si>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</si>
  <si>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</si>
  <si>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</si>
  <si>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</si>
  <si>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</si>
  <si>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</si>
  <si>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</si>
  <si>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</si>
  <si>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</si>
  <si>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</si>
  <si>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</si>
  <si>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</si>
  <si>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</si>
  <si>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</si>
  <si>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</si>
  <si>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</si>
  <si>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</si>
  <si>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</si>
  <si>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</si>
  <si>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</si>
  <si>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</si>
  <si>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</si>
  <si>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</si>
  <si>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</si>
  <si>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</si>
  <si>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</si>
  <si>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</si>
  <si>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</si>
  <si>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</si>
  <si>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</si>
  <si>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</si>
  <si>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</si>
  <si>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</si>
  <si>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</si>
  <si>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</si>
  <si>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</si>
  <si>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</si>
  <si>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</si>
  <si>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</si>
  <si>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</si>
  <si>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</si>
  <si>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</si>
  <si>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</si>
  <si>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</si>
  <si>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</si>
  <si>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</si>
  <si>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</si>
  <si>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</si>
  <si>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</si>
  <si>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</si>
  <si>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</si>
  <si>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</si>
  <si>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</si>
  <si>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</si>
  <si>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</si>
  <si>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</si>
  <si>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</si>
  <si>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</si>
  <si>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</si>
  <si>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</si>
  <si>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</si>
  <si>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</si>
  <si>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</si>
  <si>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</si>
  <si>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</si>
  <si>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</si>
  <si>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</si>
  <si>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</si>
  <si>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</si>
  <si>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</si>
  <si>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</si>
  <si>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</si>
  <si>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</si>
  <si>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</si>
  <si>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</si>
  <si>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</si>
  <si>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</si>
  <si>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</si>
  <si>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</si>
  <si>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</si>
  <si>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</si>
  <si>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</si>
  <si>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</si>
  <si>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</si>
  <si>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</si>
  <si>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</si>
  <si>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</si>
  <si>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</si>
  <si>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</si>
  <si>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</si>
  <si>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</si>
  <si>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</si>
  <si>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</si>
  <si>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</si>
  <si>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</si>
  <si>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</si>
  <si>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</si>
  <si>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</si>
  <si>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</si>
  <si>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</si>
  <si>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</si>
  <si>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</si>
  <si>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</si>
  <si>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</si>
  <si>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</si>
  <si>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</si>
  <si>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</si>
  <si>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</si>
  <si>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</si>
  <si>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</si>
  <si>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</si>
  <si>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</si>
  <si>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</si>
  <si>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</si>
  <si>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</si>
  <si>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</si>
  <si>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</si>
  <si>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</si>
  <si>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</si>
  <si>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</si>
  <si>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</si>
  <si>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</si>
  <si>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</si>
  <si>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</si>
  <si>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</si>
  <si>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</si>
  <si>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</si>
  <si>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</si>
  <si>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</si>
  <si>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</si>
  <si>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</si>
  <si>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</si>
  <si>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</si>
  <si>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</si>
  <si>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</si>
  <si>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</si>
  <si>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</si>
  <si>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</si>
  <si>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</si>
  <si>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</si>
  <si>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</si>
  <si>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</si>
  <si>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</si>
  <si>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</si>
  <si>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</si>
  <si>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</si>
  <si>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</si>
  <si>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</si>
  <si>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</si>
  <si>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</si>
  <si>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</si>
  <si>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</si>
  <si>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</si>
  <si>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</si>
  <si>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</si>
  <si>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</si>
  <si>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</si>
  <si>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</si>
  <si>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</si>
  <si>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</si>
  <si>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</si>
  <si>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</si>
  <si>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</si>
  <si>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</si>
  <si>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</si>
  <si>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</si>
  <si>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</si>
  <si>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</si>
  <si>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</si>
  <si>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</si>
  <si>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</si>
  <si>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</si>
  <si>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</si>
  <si>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</si>
  <si>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</si>
  <si>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</si>
  <si>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</si>
  <si>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</si>
  <si>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</si>
  <si>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</si>
  <si>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</si>
  <si>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</si>
  <si>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</si>
  <si>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</si>
  <si>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</si>
  <si>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</si>
  <si>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</si>
  <si>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</si>
  <si>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</si>
  <si>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</si>
  <si>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</si>
  <si>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</si>
  <si>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</si>
  <si>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</si>
  <si>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</si>
  <si>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</si>
  <si>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</si>
  <si>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</si>
  <si>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</si>
  <si>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</si>
  <si>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</si>
  <si>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</si>
  <si>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</si>
  <si>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</si>
  <si>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</si>
  <si>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</si>
  <si>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</si>
  <si>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</si>
  <si>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</si>
  <si>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</si>
  <si>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</si>
  <si>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</si>
  <si>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</si>
  <si>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</si>
  <si>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</si>
  <si>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</si>
  <si>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</si>
  <si>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</si>
  <si>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</si>
  <si>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</si>
  <si>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</si>
  <si>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</si>
  <si>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</si>
  <si>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</si>
  <si>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</si>
  <si>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</si>
  <si>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</si>
  <si>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</si>
  <si>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</si>
  <si>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</si>
  <si>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</si>
  <si>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</si>
  <si>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</si>
  <si>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</si>
  <si>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</si>
  <si>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</si>
  <si>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</si>
  <si>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</si>
  <si>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</si>
  <si>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</si>
  <si>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</si>
  <si>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</si>
  <si>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</si>
  <si>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</si>
  <si>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</si>
  <si>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</si>
  <si>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</si>
  <si>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</si>
  <si>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</si>
  <si>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</si>
  <si>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</si>
  <si>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</si>
  <si>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</si>
  <si>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</si>
  <si>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</si>
  <si>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</si>
  <si>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</si>
  <si>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</si>
  <si>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</si>
  <si>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</si>
  <si>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</si>
  <si>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</si>
  <si>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</si>
  <si>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</si>
  <si>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</si>
  <si>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</si>
  <si>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</si>
  <si>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</si>
  <si>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</si>
  <si>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</si>
  <si>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</si>
  <si>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</si>
  <si>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</si>
  <si>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</si>
  <si>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</si>
  <si>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</si>
  <si>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</si>
  <si>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</si>
  <si>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</si>
  <si>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</si>
  <si>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</si>
  <si>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</si>
  <si>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</si>
  <si>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</si>
  <si>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</si>
  <si>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</si>
  <si>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</si>
  <si>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</si>
  <si>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</si>
  <si>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</si>
  <si>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</si>
  <si>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</si>
  <si>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</si>
  <si>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</si>
  <si>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</si>
  <si>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</si>
  <si>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</si>
  <si>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</si>
  <si>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</si>
  <si>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</si>
  <si>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</si>
  <si>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</si>
  <si>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</si>
  <si>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</si>
  <si>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</si>
  <si>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</si>
  <si>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</si>
  <si>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</si>
  <si>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</si>
  <si>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</si>
  <si>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</si>
  <si>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</si>
  <si>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</si>
  <si>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</si>
  <si>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</si>
  <si>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</si>
  <si>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</si>
  <si>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</si>
  <si>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</si>
  <si>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</si>
  <si>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</si>
  <si>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</si>
  <si>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</si>
  <si>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</si>
  <si>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</si>
  <si>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</si>
  <si>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</si>
  <si>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</si>
  <si>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</si>
  <si>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</si>
  <si>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</si>
  <si>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</si>
  <si>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</si>
  <si>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</si>
  <si>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</si>
  <si>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</si>
  <si>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</si>
  <si>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</si>
  <si>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</si>
  <si>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</si>
  <si>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</si>
  <si>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</si>
  <si>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</si>
  <si>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</si>
  <si>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</si>
  <si>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</si>
  <si>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</si>
  <si>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</si>
  <si>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</si>
  <si>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</si>
  <si>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</si>
  <si>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</si>
  <si>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</si>
  <si>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</si>
  <si>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</si>
  <si>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</si>
  <si>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</si>
  <si>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</si>
  <si>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</si>
  <si>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</si>
  <si>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</si>
  <si>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</si>
  <si>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</si>
  <si>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</si>
  <si>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</si>
  <si>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</si>
  <si>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</si>
  <si>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</si>
  <si>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</si>
  <si>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</si>
  <si>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</si>
  <si>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</si>
  <si>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</si>
  <si>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</si>
  <si>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</si>
  <si>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</si>
  <si>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</si>
  <si>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</si>
  <si>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</si>
  <si>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</si>
  <si>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</si>
  <si>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</si>
  <si>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</si>
  <si>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</si>
  <si>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</si>
  <si>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</si>
  <si>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</si>
  <si>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</si>
  <si>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</si>
  <si>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</si>
  <si>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</si>
  <si>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</si>
  <si>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</si>
  <si>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</si>
  <si>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</si>
  <si>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</si>
  <si>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</si>
  <si>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</si>
  <si>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</si>
  <si>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</si>
  <si>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</si>
  <si>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</si>
  <si>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</si>
  <si>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</si>
  <si>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</si>
  <si>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</si>
  <si>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</si>
  <si>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</si>
  <si>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</si>
  <si>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</si>
  <si>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</si>
  <si>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</si>
  <si>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</si>
  <si>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</si>
  <si>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</si>
  <si>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</si>
  <si>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</si>
  <si>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</si>
  <si>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</si>
  <si>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</si>
  <si>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</si>
  <si>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</si>
  <si>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</si>
  <si>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</si>
  <si>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</si>
  <si>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24020</t>
  </si>
  <si>
    <t>DIEST</t>
  </si>
  <si>
    <t>Paarden&amp;pony's 200 - 600 kg</t>
  </si>
  <si>
    <t>Paarden&amp;pony's &lt; 200 kg</t>
  </si>
  <si>
    <t>referentietaak LNE (2017); Jaarverslag De Lijn (2015)</t>
  </si>
  <si>
    <t>op basis van VEA (maart 2018) en Inventaris Hernieuwbare Energiebronnen (juni 2018)</t>
  </si>
  <si>
    <t>VEA (januari 2017)</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</si>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</sst>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193281.04202271617</c:v>
                </c:pt>
                <c:pt idx="1">
                  <c:v>110823.82036866779</c:v>
                </c:pt>
                <c:pt idx="2">
                  <c:v>2014.837</c:v>
                </c:pt>
                <c:pt idx="3">
                  <c:v>26156.10750323713</c:v>
                </c:pt>
                <c:pt idx="4">
                  <c:v>68188.778908111868</c:v>
                </c:pt>
                <c:pt idx="5">
                  <c:v>144228.7592629634</c:v>
                </c:pt>
                <c:pt idx="6">
                  <c:v>3136.338248974931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193281.04202271617</c:v>
                </c:pt>
                <c:pt idx="1">
                  <c:v>110823.82036866779</c:v>
                </c:pt>
                <c:pt idx="2">
                  <c:v>2014.837</c:v>
                </c:pt>
                <c:pt idx="3">
                  <c:v>26156.10750323713</c:v>
                </c:pt>
                <c:pt idx="4">
                  <c:v>68188.778908111868</c:v>
                </c:pt>
                <c:pt idx="5">
                  <c:v>144228.7592629634</c:v>
                </c:pt>
                <c:pt idx="6">
                  <c:v>3136.338248974931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39954.393216821671</c:v>
                </c:pt>
                <c:pt idx="2">
                  <c:v>20966.268198186022</c:v>
                </c:pt>
                <c:pt idx="3">
                  <c:v>335.3375284067568</c:v>
                </c:pt>
                <c:pt idx="4">
                  <c:v>6280.251777446465</c:v>
                </c:pt>
                <c:pt idx="5">
                  <c:v>12322.405470577443</c:v>
                </c:pt>
                <c:pt idx="6">
                  <c:v>36898.874523192542</c:v>
                </c:pt>
                <c:pt idx="7">
                  <c:v>812.20939413068129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39954.393216821671</c:v>
                </c:pt>
                <c:pt idx="2">
                  <c:v>20966.268198186022</c:v>
                </c:pt>
                <c:pt idx="3">
                  <c:v>335.3375284067568</c:v>
                </c:pt>
                <c:pt idx="4">
                  <c:v>6280.251777446465</c:v>
                </c:pt>
                <c:pt idx="5">
                  <c:v>12322.405470577443</c:v>
                </c:pt>
                <c:pt idx="6">
                  <c:v>36898.874523192542</c:v>
                </c:pt>
                <c:pt idx="7">
                  <c:v>812.20939413068129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24020</v>
      </c>
      <c r="B6" s="415"/>
      <c r="C6" s="416"/>
    </row>
    <row r="7" spans="1:7" s="413" customFormat="1" ht="15.75" customHeight="1">
      <c r="A7" s="417" t="str">
        <f>txtMunicipality</f>
        <v>DIEST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0.16643407303258617</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0.16643407303258617</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10023</v>
      </c>
      <c r="C9" s="342">
        <v>10614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2466.5300000000002</v>
      </c>
    </row>
    <row r="15" spans="1:6">
      <c r="A15" s="348" t="s">
        <v>184</v>
      </c>
      <c r="B15" s="334">
        <v>313</v>
      </c>
    </row>
    <row r="16" spans="1:6">
      <c r="A16" s="348" t="s">
        <v>6</v>
      </c>
      <c r="B16" s="334">
        <v>389</v>
      </c>
    </row>
    <row r="17" spans="1:6">
      <c r="A17" s="348" t="s">
        <v>7</v>
      </c>
      <c r="B17" s="334">
        <v>348</v>
      </c>
    </row>
    <row r="18" spans="1:6">
      <c r="A18" s="348" t="s">
        <v>8</v>
      </c>
      <c r="B18" s="334">
        <v>514</v>
      </c>
    </row>
    <row r="19" spans="1:6">
      <c r="A19" s="348" t="s">
        <v>9</v>
      </c>
      <c r="B19" s="334">
        <v>437</v>
      </c>
    </row>
    <row r="20" spans="1:6">
      <c r="A20" s="348" t="s">
        <v>10</v>
      </c>
      <c r="B20" s="334">
        <v>301</v>
      </c>
    </row>
    <row r="21" spans="1:6">
      <c r="A21" s="348" t="s">
        <v>11</v>
      </c>
      <c r="B21" s="334">
        <v>1709</v>
      </c>
    </row>
    <row r="22" spans="1:6">
      <c r="A22" s="348" t="s">
        <v>12</v>
      </c>
      <c r="B22" s="334">
        <v>7095</v>
      </c>
    </row>
    <row r="23" spans="1:6">
      <c r="A23" s="348" t="s">
        <v>13</v>
      </c>
      <c r="B23" s="334">
        <v>110</v>
      </c>
    </row>
    <row r="24" spans="1:6">
      <c r="A24" s="348" t="s">
        <v>14</v>
      </c>
      <c r="B24" s="334">
        <v>9</v>
      </c>
    </row>
    <row r="25" spans="1:6">
      <c r="A25" s="348" t="s">
        <v>15</v>
      </c>
      <c r="B25" s="334">
        <v>522</v>
      </c>
    </row>
    <row r="26" spans="1:6">
      <c r="A26" s="348" t="s">
        <v>16</v>
      </c>
      <c r="B26" s="334">
        <v>87</v>
      </c>
    </row>
    <row r="27" spans="1:6">
      <c r="A27" s="348" t="s">
        <v>17</v>
      </c>
      <c r="B27" s="334">
        <v>0</v>
      </c>
    </row>
    <row r="28" spans="1:6" s="356" customFormat="1">
      <c r="A28" s="355" t="s">
        <v>18</v>
      </c>
      <c r="B28" s="355">
        <v>143959</v>
      </c>
    </row>
    <row r="29" spans="1:6">
      <c r="A29" s="355" t="s">
        <v>884</v>
      </c>
      <c r="B29" s="355">
        <v>161</v>
      </c>
      <c r="C29" s="356"/>
      <c r="D29" s="356"/>
      <c r="E29" s="356"/>
      <c r="F29" s="356"/>
    </row>
    <row r="30" spans="1:6">
      <c r="A30" s="355" t="s">
        <v>885</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66617</v>
      </c>
    </row>
    <row r="37" spans="1:6">
      <c r="A37" s="348" t="s">
        <v>25</v>
      </c>
      <c r="B37" s="348" t="s">
        <v>28</v>
      </c>
      <c r="C37" s="334">
        <v>0</v>
      </c>
      <c r="D37" s="334">
        <v>0</v>
      </c>
      <c r="E37" s="334">
        <v>3</v>
      </c>
      <c r="F37" s="334">
        <v>46085</v>
      </c>
    </row>
    <row r="38" spans="1:6">
      <c r="A38" s="348" t="s">
        <v>25</v>
      </c>
      <c r="B38" s="348" t="s">
        <v>29</v>
      </c>
      <c r="C38" s="334">
        <v>0</v>
      </c>
      <c r="D38" s="334">
        <v>0</v>
      </c>
      <c r="E38" s="334">
        <v>0</v>
      </c>
      <c r="F38" s="334">
        <v>0</v>
      </c>
    </row>
    <row r="39" spans="1:6">
      <c r="A39" s="348" t="s">
        <v>30</v>
      </c>
      <c r="B39" s="348" t="s">
        <v>31</v>
      </c>
      <c r="C39" s="334">
        <v>5367</v>
      </c>
      <c r="D39" s="334">
        <v>76044879.311000004</v>
      </c>
      <c r="E39" s="334">
        <v>10176</v>
      </c>
      <c r="F39" s="334">
        <v>35161101</v>
      </c>
    </row>
    <row r="40" spans="1:6">
      <c r="A40" s="348" t="s">
        <v>30</v>
      </c>
      <c r="B40" s="348" t="s">
        <v>29</v>
      </c>
      <c r="C40" s="334">
        <v>0</v>
      </c>
      <c r="D40" s="334">
        <v>0</v>
      </c>
      <c r="E40" s="334">
        <v>0</v>
      </c>
      <c r="F40" s="334">
        <v>0</v>
      </c>
    </row>
    <row r="41" spans="1:6">
      <c r="A41" s="348" t="s">
        <v>32</v>
      </c>
      <c r="B41" s="348" t="s">
        <v>33</v>
      </c>
      <c r="C41" s="334">
        <v>50</v>
      </c>
      <c r="D41" s="334">
        <v>3541901.0044</v>
      </c>
      <c r="E41" s="334">
        <v>229</v>
      </c>
      <c r="F41" s="334">
        <v>15822065</v>
      </c>
    </row>
    <row r="42" spans="1:6">
      <c r="A42" s="348" t="s">
        <v>32</v>
      </c>
      <c r="B42" s="348" t="s">
        <v>34</v>
      </c>
      <c r="C42" s="334">
        <v>0</v>
      </c>
      <c r="D42" s="334">
        <v>0</v>
      </c>
      <c r="E42" s="334">
        <v>4</v>
      </c>
      <c r="F42" s="334">
        <v>12829</v>
      </c>
    </row>
    <row r="43" spans="1:6">
      <c r="A43" s="348" t="s">
        <v>32</v>
      </c>
      <c r="B43" s="348" t="s">
        <v>35</v>
      </c>
      <c r="C43" s="334">
        <v>0</v>
      </c>
      <c r="D43" s="334">
        <v>0</v>
      </c>
      <c r="E43" s="334">
        <v>0</v>
      </c>
      <c r="F43" s="334">
        <v>0</v>
      </c>
    </row>
    <row r="44" spans="1:6">
      <c r="A44" s="348" t="s">
        <v>32</v>
      </c>
      <c r="B44" s="348" t="s">
        <v>36</v>
      </c>
      <c r="C44" s="334">
        <v>0</v>
      </c>
      <c r="D44" s="334">
        <v>0</v>
      </c>
      <c r="E44" s="334">
        <v>19</v>
      </c>
      <c r="F44" s="334">
        <v>4334203</v>
      </c>
    </row>
    <row r="45" spans="1:6">
      <c r="A45" s="348" t="s">
        <v>32</v>
      </c>
      <c r="B45" s="348" t="s">
        <v>37</v>
      </c>
      <c r="C45" s="334">
        <v>0</v>
      </c>
      <c r="D45" s="334">
        <v>0</v>
      </c>
      <c r="E45" s="334">
        <v>11</v>
      </c>
      <c r="F45" s="334">
        <v>581409</v>
      </c>
    </row>
    <row r="46" spans="1:6">
      <c r="A46" s="348" t="s">
        <v>32</v>
      </c>
      <c r="B46" s="348" t="s">
        <v>38</v>
      </c>
      <c r="C46" s="334">
        <v>0</v>
      </c>
      <c r="D46" s="334">
        <v>0</v>
      </c>
      <c r="E46" s="334">
        <v>0</v>
      </c>
      <c r="F46" s="334">
        <v>0</v>
      </c>
    </row>
    <row r="47" spans="1:6">
      <c r="A47" s="348" t="s">
        <v>32</v>
      </c>
      <c r="B47" s="348" t="s">
        <v>39</v>
      </c>
      <c r="C47" s="334">
        <v>3</v>
      </c>
      <c r="D47" s="334">
        <v>676900.22962999996</v>
      </c>
      <c r="E47" s="334">
        <v>8</v>
      </c>
      <c r="F47" s="334">
        <v>1246338</v>
      </c>
    </row>
    <row r="48" spans="1:6">
      <c r="A48" s="348" t="s">
        <v>32</v>
      </c>
      <c r="B48" s="348" t="s">
        <v>29</v>
      </c>
      <c r="C48" s="334">
        <v>53</v>
      </c>
      <c r="D48" s="334">
        <v>10454386.028999999</v>
      </c>
      <c r="E48" s="334">
        <v>0</v>
      </c>
      <c r="F48" s="334">
        <v>0</v>
      </c>
    </row>
    <row r="49" spans="1:6">
      <c r="A49" s="348" t="s">
        <v>32</v>
      </c>
      <c r="B49" s="348" t="s">
        <v>40</v>
      </c>
      <c r="C49" s="334">
        <v>0</v>
      </c>
      <c r="D49" s="334">
        <v>0</v>
      </c>
      <c r="E49" s="334">
        <v>6</v>
      </c>
      <c r="F49" s="334">
        <v>144024</v>
      </c>
    </row>
    <row r="50" spans="1:6">
      <c r="A50" s="348" t="s">
        <v>32</v>
      </c>
      <c r="B50" s="348" t="s">
        <v>41</v>
      </c>
      <c r="C50" s="334">
        <v>7</v>
      </c>
      <c r="D50" s="334">
        <v>430928.46911000001</v>
      </c>
      <c r="E50" s="334">
        <v>20</v>
      </c>
      <c r="F50" s="334">
        <v>3101747</v>
      </c>
    </row>
    <row r="51" spans="1:6">
      <c r="A51" s="348" t="s">
        <v>42</v>
      </c>
      <c r="B51" s="348" t="s">
        <v>43</v>
      </c>
      <c r="C51" s="334">
        <v>5</v>
      </c>
      <c r="D51" s="334">
        <v>69211.997789000001</v>
      </c>
      <c r="E51" s="334">
        <v>58</v>
      </c>
      <c r="F51" s="334">
        <v>1224079</v>
      </c>
    </row>
    <row r="52" spans="1:6">
      <c r="A52" s="348" t="s">
        <v>42</v>
      </c>
      <c r="B52" s="348" t="s">
        <v>29</v>
      </c>
      <c r="C52" s="334">
        <v>6</v>
      </c>
      <c r="D52" s="334">
        <v>29523942.886999998</v>
      </c>
      <c r="E52" s="334">
        <v>0</v>
      </c>
      <c r="F52" s="334">
        <v>0</v>
      </c>
    </row>
    <row r="53" spans="1:6">
      <c r="A53" s="348" t="s">
        <v>44</v>
      </c>
      <c r="B53" s="348" t="s">
        <v>45</v>
      </c>
      <c r="C53" s="334">
        <v>155</v>
      </c>
      <c r="D53" s="334">
        <v>7747037.2692999998</v>
      </c>
      <c r="E53" s="334">
        <v>0</v>
      </c>
      <c r="F53" s="334">
        <v>0</v>
      </c>
    </row>
    <row r="54" spans="1:6">
      <c r="A54" s="348" t="s">
        <v>46</v>
      </c>
      <c r="B54" s="348" t="s">
        <v>47</v>
      </c>
      <c r="C54" s="334">
        <v>0</v>
      </c>
      <c r="D54" s="334">
        <v>0</v>
      </c>
      <c r="E54" s="334">
        <v>7</v>
      </c>
      <c r="F54" s="334">
        <v>2014837</v>
      </c>
    </row>
    <row r="55" spans="1:6">
      <c r="A55" s="348" t="s">
        <v>46</v>
      </c>
      <c r="B55" s="348" t="s">
        <v>29</v>
      </c>
      <c r="C55" s="334">
        <v>0</v>
      </c>
      <c r="D55" s="334">
        <v>0</v>
      </c>
      <c r="E55" s="334">
        <v>0</v>
      </c>
      <c r="F55" s="334">
        <v>0</v>
      </c>
    </row>
    <row r="56" spans="1:6">
      <c r="A56" s="348" t="s">
        <v>48</v>
      </c>
      <c r="B56" s="348" t="s">
        <v>29</v>
      </c>
      <c r="C56" s="334">
        <v>0</v>
      </c>
      <c r="D56" s="334">
        <v>0</v>
      </c>
      <c r="E56" s="334">
        <v>296</v>
      </c>
      <c r="F56" s="334">
        <v>1241581</v>
      </c>
    </row>
    <row r="57" spans="1:6">
      <c r="A57" s="348" t="s">
        <v>49</v>
      </c>
      <c r="B57" s="348" t="s">
        <v>50</v>
      </c>
      <c r="C57" s="334">
        <v>55</v>
      </c>
      <c r="D57" s="334">
        <v>2397511.7760000001</v>
      </c>
      <c r="E57" s="334">
        <v>138</v>
      </c>
      <c r="F57" s="334">
        <v>3014964</v>
      </c>
    </row>
    <row r="58" spans="1:6">
      <c r="A58" s="348" t="s">
        <v>49</v>
      </c>
      <c r="B58" s="348" t="s">
        <v>51</v>
      </c>
      <c r="C58" s="334">
        <v>62</v>
      </c>
      <c r="D58" s="334">
        <v>7212849.8510999996</v>
      </c>
      <c r="E58" s="334">
        <v>92</v>
      </c>
      <c r="F58" s="334">
        <v>5303426</v>
      </c>
    </row>
    <row r="59" spans="1:6">
      <c r="A59" s="348" t="s">
        <v>49</v>
      </c>
      <c r="B59" s="348" t="s">
        <v>52</v>
      </c>
      <c r="C59" s="334">
        <v>157</v>
      </c>
      <c r="D59" s="334">
        <v>7107538.6078000003</v>
      </c>
      <c r="E59" s="334">
        <v>411</v>
      </c>
      <c r="F59" s="334">
        <v>25506078</v>
      </c>
    </row>
    <row r="60" spans="1:6">
      <c r="A60" s="348" t="s">
        <v>49</v>
      </c>
      <c r="B60" s="348" t="s">
        <v>53</v>
      </c>
      <c r="C60" s="334">
        <v>82</v>
      </c>
      <c r="D60" s="334">
        <v>3856629.0166000002</v>
      </c>
      <c r="E60" s="334">
        <v>114</v>
      </c>
      <c r="F60" s="334">
        <v>2963545</v>
      </c>
    </row>
    <row r="61" spans="1:6">
      <c r="A61" s="348" t="s">
        <v>49</v>
      </c>
      <c r="B61" s="348" t="s">
        <v>54</v>
      </c>
      <c r="C61" s="334">
        <v>217</v>
      </c>
      <c r="D61" s="334">
        <v>10661836.554</v>
      </c>
      <c r="E61" s="334">
        <v>590</v>
      </c>
      <c r="F61" s="334">
        <v>7577367</v>
      </c>
    </row>
    <row r="62" spans="1:6">
      <c r="A62" s="348" t="s">
        <v>49</v>
      </c>
      <c r="B62" s="348" t="s">
        <v>55</v>
      </c>
      <c r="C62" s="334">
        <v>26</v>
      </c>
      <c r="D62" s="334">
        <v>3186045.1677999999</v>
      </c>
      <c r="E62" s="334">
        <v>28</v>
      </c>
      <c r="F62" s="334">
        <v>1875342</v>
      </c>
    </row>
    <row r="63" spans="1:6">
      <c r="A63" s="348" t="s">
        <v>49</v>
      </c>
      <c r="B63" s="348" t="s">
        <v>29</v>
      </c>
      <c r="C63" s="334">
        <v>167</v>
      </c>
      <c r="D63" s="334">
        <v>21245265.943999998</v>
      </c>
      <c r="E63" s="334">
        <v>0</v>
      </c>
      <c r="F63" s="334">
        <v>16895</v>
      </c>
    </row>
    <row r="64" spans="1:6">
      <c r="A64" s="348" t="s">
        <v>56</v>
      </c>
      <c r="B64" s="348" t="s">
        <v>57</v>
      </c>
      <c r="C64" s="334">
        <v>0</v>
      </c>
      <c r="D64" s="334">
        <v>0</v>
      </c>
      <c r="E64" s="334">
        <v>0</v>
      </c>
      <c r="F64" s="334">
        <v>0</v>
      </c>
    </row>
    <row r="65" spans="1:6">
      <c r="A65" s="348" t="s">
        <v>56</v>
      </c>
      <c r="B65" s="348" t="s">
        <v>29</v>
      </c>
      <c r="C65" s="334">
        <v>6</v>
      </c>
      <c r="D65" s="334">
        <v>149065.52945999999</v>
      </c>
      <c r="E65" s="334">
        <v>0</v>
      </c>
      <c r="F65" s="334">
        <v>11300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141188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112918648</v>
      </c>
      <c r="E73" s="475">
        <v>115287585.78748953</v>
      </c>
    </row>
    <row r="74" spans="1:6">
      <c r="A74" s="348" t="s">
        <v>64</v>
      </c>
      <c r="B74" s="348" t="s">
        <v>667</v>
      </c>
      <c r="C74" s="1294" t="s">
        <v>669</v>
      </c>
      <c r="D74" s="475">
        <v>7828846.1521502202</v>
      </c>
      <c r="E74" s="475">
        <v>7972883.0686778193</v>
      </c>
    </row>
    <row r="75" spans="1:6">
      <c r="A75" s="348" t="s">
        <v>65</v>
      </c>
      <c r="B75" s="348" t="s">
        <v>666</v>
      </c>
      <c r="C75" s="1294" t="s">
        <v>670</v>
      </c>
      <c r="D75" s="475">
        <v>17964855</v>
      </c>
      <c r="E75" s="475">
        <v>18337391.17392797</v>
      </c>
    </row>
    <row r="76" spans="1:6">
      <c r="A76" s="348" t="s">
        <v>65</v>
      </c>
      <c r="B76" s="348" t="s">
        <v>667</v>
      </c>
      <c r="C76" s="1294" t="s">
        <v>671</v>
      </c>
      <c r="D76" s="475">
        <v>499161.15215022041</v>
      </c>
      <c r="E76" s="475">
        <v>512067.69185506291</v>
      </c>
    </row>
    <row r="77" spans="1:6">
      <c r="A77" s="348" t="s">
        <v>66</v>
      </c>
      <c r="B77" s="348" t="s">
        <v>666</v>
      </c>
      <c r="C77" s="1294" t="s">
        <v>672</v>
      </c>
      <c r="D77" s="475">
        <v>39241521</v>
      </c>
      <c r="E77" s="475">
        <v>41943633.421880648</v>
      </c>
    </row>
    <row r="78" spans="1:6">
      <c r="A78" s="341" t="s">
        <v>66</v>
      </c>
      <c r="B78" s="341" t="s">
        <v>667</v>
      </c>
      <c r="C78" s="341" t="s">
        <v>673</v>
      </c>
      <c r="D78" s="1295">
        <v>4792717</v>
      </c>
      <c r="E78" s="1295">
        <v>4964076.6720139021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842377.69569955918</v>
      </c>
      <c r="C83" s="475">
        <v>842377.69569955918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16227.431914205365</v>
      </c>
    </row>
    <row r="91" spans="1:6">
      <c r="A91" s="348" t="s">
        <v>68</v>
      </c>
      <c r="B91" s="334">
        <v>4774.0413019697007</v>
      </c>
    </row>
    <row r="92" spans="1:6">
      <c r="A92" s="341" t="s">
        <v>69</v>
      </c>
      <c r="B92" s="342">
        <v>8704.2593134712333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2</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115980.48759075931</v>
      </c>
      <c r="C3" s="43" t="s">
        <v>170</v>
      </c>
      <c r="D3" s="43"/>
      <c r="E3" s="154"/>
      <c r="F3" s="43"/>
      <c r="G3" s="43"/>
      <c r="H3" s="43"/>
      <c r="I3" s="43"/>
      <c r="J3" s="43"/>
      <c r="K3" s="96"/>
    </row>
    <row r="4" spans="1:11">
      <c r="A4" s="383" t="s">
        <v>171</v>
      </c>
      <c r="B4" s="49">
        <f>IF(ISERROR('SEAP template'!B78+'SEAP template'!C78),0,'SEAP template'!B78+'SEAP template'!C78)</f>
        <v>43905.482529646295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3374.5288235294115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0.16643407303258617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4820.7554621848731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20285.357142857141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2014.837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2014.837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0.16643407303258617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335.3375284067568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35161.101000000002</v>
      </c>
      <c r="C5" s="17">
        <f>IF(ISERROR('Eigen informatie GS &amp; warmtenet'!B57),0,'Eigen informatie GS &amp; warmtenet'!B57)</f>
        <v>0</v>
      </c>
      <c r="D5" s="30">
        <f>(SUM(HH_hh_gas_kWh,HH_rest_gas_kWh)/1000)*0.902</f>
        <v>68592.481138522009</v>
      </c>
      <c r="E5" s="17">
        <f>B46*B57</f>
        <v>5578.4051869290697</v>
      </c>
      <c r="F5" s="17">
        <f>B51*B62</f>
        <v>68111.7814942119</v>
      </c>
      <c r="G5" s="18"/>
      <c r="H5" s="17"/>
      <c r="I5" s="17"/>
      <c r="J5" s="17">
        <f>B50*B61+C50*C61</f>
        <v>0</v>
      </c>
      <c r="K5" s="17"/>
      <c r="L5" s="17"/>
      <c r="M5" s="17"/>
      <c r="N5" s="17">
        <f>B48*B59+C48*C59</f>
        <v>9692.2119010835104</v>
      </c>
      <c r="O5" s="17">
        <f>B69*B70*B71</f>
        <v>303.28666666666669</v>
      </c>
      <c r="P5" s="17">
        <f>B77*B78*B79/1000-B77*B78*B79/1000/B80</f>
        <v>1067.7333333333333</v>
      </c>
    </row>
    <row r="6" spans="1:16">
      <c r="A6" s="16" t="s">
        <v>624</v>
      </c>
      <c r="B6" s="788">
        <f>kWh_PV_kleiner_dan_10kW</f>
        <v>4774.0413019697007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39935.142301969703</v>
      </c>
      <c r="C8" s="21">
        <f>C5</f>
        <v>0</v>
      </c>
      <c r="D8" s="21">
        <f>D5</f>
        <v>68592.481138522009</v>
      </c>
      <c r="E8" s="21">
        <f>E5</f>
        <v>5578.4051869290697</v>
      </c>
      <c r="F8" s="21">
        <f>F5</f>
        <v>68111.7814942119</v>
      </c>
      <c r="G8" s="21"/>
      <c r="H8" s="21"/>
      <c r="I8" s="21"/>
      <c r="J8" s="21">
        <f>J5</f>
        <v>0</v>
      </c>
      <c r="K8" s="21"/>
      <c r="L8" s="21">
        <f>L5</f>
        <v>0</v>
      </c>
      <c r="M8" s="21">
        <f>M5</f>
        <v>0</v>
      </c>
      <c r="N8" s="21">
        <f>N5</f>
        <v>9692.2119010835104</v>
      </c>
      <c r="O8" s="21">
        <f>O5</f>
        <v>303.28666666666669</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0.16643407303258617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6646.5683904527468</v>
      </c>
      <c r="C12" s="23">
        <f ca="1">C10*C8</f>
        <v>0</v>
      </c>
      <c r="D12" s="23">
        <f>D8*D10</f>
        <v>13855.681189981447</v>
      </c>
      <c r="E12" s="23">
        <f>E10*E8</f>
        <v>1266.297977432899</v>
      </c>
      <c r="F12" s="23">
        <f>F10*F8</f>
        <v>18185.845658954579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10023</v>
      </c>
      <c r="C28" s="36"/>
      <c r="D28" s="228"/>
    </row>
    <row r="29" spans="1:7" s="15" customFormat="1">
      <c r="A29" s="230" t="s">
        <v>699</v>
      </c>
      <c r="B29" s="37">
        <f>SUM(HH_hh_gas_aantal,HH_rest_gas_aantal)</f>
        <v>5367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5367</v>
      </c>
      <c r="C32" s="167">
        <f>IF(ISERROR(B32/SUM($B$32,$B$34,$B$35,$B$36,$B$38,$B$39)*100),0,B32/SUM($B$32,$B$34,$B$35,$B$36,$B$38,$B$39)*100)</f>
        <v>53.847697401424696</v>
      </c>
      <c r="D32" s="233"/>
      <c r="G32" s="15"/>
    </row>
    <row r="33" spans="1:7">
      <c r="A33" s="171" t="s">
        <v>72</v>
      </c>
      <c r="B33" s="34" t="s">
        <v>111</v>
      </c>
      <c r="C33" s="167"/>
      <c r="D33" s="233"/>
      <c r="G33" s="15"/>
    </row>
    <row r="34" spans="1:7">
      <c r="A34" s="171" t="s">
        <v>73</v>
      </c>
      <c r="B34" s="33">
        <f>IF((($B$28-$B$32-$B$39-$B$77-$B$38)*C20/100)&lt;0,0,($B$28-$B$32-$B$39-$B$77-$B$38)*C20/100)</f>
        <v>246.63687600644124</v>
      </c>
      <c r="C34" s="167">
        <f>IF(ISERROR(B34/SUM($B$32,$B$34,$B$35,$B$36,$B$38,$B$39)*100),0,B34/SUM($B$32,$B$34,$B$35,$B$36,$B$38,$B$39)*100)</f>
        <v>2.4745347246557765</v>
      </c>
      <c r="D34" s="233"/>
      <c r="G34" s="15"/>
    </row>
    <row r="35" spans="1:7">
      <c r="A35" s="171" t="s">
        <v>74</v>
      </c>
      <c r="B35" s="33">
        <f>IF((($B$28-$B$32-$B$39-$B$77-$B$38)*C21/100)&lt;0,0,($B$28-$B$32-$B$39-$B$77-$B$38)*C21/100)</f>
        <v>1404.3793880837361</v>
      </c>
      <c r="C35" s="167">
        <f>IF(ISERROR(B35/SUM($B$32,$B$34,$B$35,$B$36,$B$38,$B$39)*100),0,B35/SUM($B$32,$B$34,$B$35,$B$36,$B$38,$B$39)*100)</f>
        <v>14.090291843922303</v>
      </c>
      <c r="D35" s="233"/>
      <c r="G35" s="15"/>
    </row>
    <row r="36" spans="1:7">
      <c r="A36" s="171" t="s">
        <v>75</v>
      </c>
      <c r="B36" s="33">
        <f>IF((($B$28-$B$32-$B$39-$B$77-$B$38)*C22/100)&lt;0,0,($B$28-$B$32-$B$39-$B$77-$B$38)*C22/100)</f>
        <v>150.88373590982289</v>
      </c>
      <c r="C36" s="167">
        <f>IF(ISERROR(B36/SUM($B$32,$B$34,$B$35,$B$36,$B$38,$B$39)*100),0,B36/SUM($B$32,$B$34,$B$35,$B$36,$B$38,$B$39)*100)</f>
        <v>1.5138330080247104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2798.1</v>
      </c>
      <c r="C39" s="167">
        <f>IF(ISERROR(B39/SUM($B$32,$B$34,$B$35,$B$36,$B$38,$B$39)*100),0,B39/SUM($B$32,$B$34,$B$35,$B$36,$B$38,$B$39)*100)</f>
        <v>28.073643021972511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5367</v>
      </c>
      <c r="C44" s="34" t="s">
        <v>111</v>
      </c>
      <c r="D44" s="174"/>
    </row>
    <row r="45" spans="1:7">
      <c r="A45" s="171" t="s">
        <v>72</v>
      </c>
      <c r="B45" s="33" t="str">
        <f t="shared" si="0"/>
        <v>-</v>
      </c>
      <c r="C45" s="34" t="s">
        <v>111</v>
      </c>
      <c r="D45" s="174"/>
    </row>
    <row r="46" spans="1:7">
      <c r="A46" s="171" t="s">
        <v>73</v>
      </c>
      <c r="B46" s="33">
        <f t="shared" si="0"/>
        <v>246.63687600644124</v>
      </c>
      <c r="C46" s="34" t="s">
        <v>111</v>
      </c>
      <c r="D46" s="174"/>
    </row>
    <row r="47" spans="1:7">
      <c r="A47" s="171" t="s">
        <v>74</v>
      </c>
      <c r="B47" s="33">
        <f t="shared" si="0"/>
        <v>1404.3793880837361</v>
      </c>
      <c r="C47" s="34" t="s">
        <v>111</v>
      </c>
      <c r="D47" s="174"/>
    </row>
    <row r="48" spans="1:7">
      <c r="A48" s="171" t="s">
        <v>75</v>
      </c>
      <c r="B48" s="33">
        <f t="shared" si="0"/>
        <v>150.88373590982289</v>
      </c>
      <c r="C48" s="33">
        <f>B48*10</f>
        <v>1508.8373590982289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2798.1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46257.616999999998</v>
      </c>
      <c r="C5" s="17">
        <f>IF(ISERROR('Eigen informatie GS &amp; warmtenet'!B58),0,'Eigen informatie GS &amp; warmtenet'!B58)</f>
        <v>0</v>
      </c>
      <c r="D5" s="30">
        <f>SUM(D6:D12)</f>
        <v>50212.2445794046</v>
      </c>
      <c r="E5" s="17">
        <f>SUM(E6:E12)</f>
        <v>1011.0960616055202</v>
      </c>
      <c r="F5" s="17">
        <f>SUM(F6:F12)</f>
        <v>10849.419110369914</v>
      </c>
      <c r="G5" s="18"/>
      <c r="H5" s="17"/>
      <c r="I5" s="17"/>
      <c r="J5" s="17">
        <f>SUM(J6:J12)</f>
        <v>0</v>
      </c>
      <c r="K5" s="17"/>
      <c r="L5" s="17"/>
      <c r="M5" s="17"/>
      <c r="N5" s="17">
        <f>SUM(N6:N12)</f>
        <v>2481.857426811559</v>
      </c>
      <c r="O5" s="17">
        <f>B38*B39*B40</f>
        <v>3.1266666666666669</v>
      </c>
      <c r="P5" s="17">
        <f>B46*B47*B48/1000-B46*B47*B48/1000/B49</f>
        <v>19.066666666666666</v>
      </c>
      <c r="R5" s="32"/>
    </row>
    <row r="6" spans="1:18">
      <c r="A6" s="32" t="s">
        <v>54</v>
      </c>
      <c r="B6" s="37">
        <f>B26</f>
        <v>7577.3670000000002</v>
      </c>
      <c r="C6" s="33"/>
      <c r="D6" s="37">
        <f>IF(ISERROR(TER_kantoor_gas_kWh/1000),0,TER_kantoor_gas_kWh/1000)*0.902</f>
        <v>9616.976571707999</v>
      </c>
      <c r="E6" s="33">
        <f>$C$26*'E Balans VL '!I12/100/3.6*1000000</f>
        <v>99.197067992681852</v>
      </c>
      <c r="F6" s="33">
        <f>$C$26*('E Balans VL '!L12+'E Balans VL '!N12)/100/3.6*1000000</f>
        <v>1932.1502834143703</v>
      </c>
      <c r="G6" s="34"/>
      <c r="H6" s="33"/>
      <c r="I6" s="33"/>
      <c r="J6" s="33">
        <f>$C$26*('E Balans VL '!D12+'E Balans VL '!E12)/100/3.6*1000000</f>
        <v>0</v>
      </c>
      <c r="K6" s="33"/>
      <c r="L6" s="33"/>
      <c r="M6" s="33"/>
      <c r="N6" s="33">
        <f>$C$26*'E Balans VL '!Y12/100/3.6*1000000</f>
        <v>7.6028833775074371</v>
      </c>
      <c r="O6" s="33"/>
      <c r="P6" s="33"/>
      <c r="R6" s="32"/>
    </row>
    <row r="7" spans="1:18">
      <c r="A7" s="32" t="s">
        <v>53</v>
      </c>
      <c r="B7" s="37">
        <f t="shared" ref="B7:B12" si="0">B27</f>
        <v>2963.5450000000001</v>
      </c>
      <c r="C7" s="33"/>
      <c r="D7" s="37">
        <f>IF(ISERROR(TER_horeca_gas_kWh/1000),0,TER_horeca_gas_kWh/1000)*0.902</f>
        <v>3478.6793729732003</v>
      </c>
      <c r="E7" s="33">
        <f>$C$27*'E Balans VL '!I9/100/3.6*1000000</f>
        <v>98.075312860485582</v>
      </c>
      <c r="F7" s="33">
        <f>$C$27*('E Balans VL '!L9+'E Balans VL '!N9)/100/3.6*1000000</f>
        <v>1274.3129923198242</v>
      </c>
      <c r="G7" s="34"/>
      <c r="H7" s="33"/>
      <c r="I7" s="33"/>
      <c r="J7" s="33">
        <f>$C$27*('E Balans VL '!D9+'E Balans VL '!E9)/100/3.6*1000000</f>
        <v>0</v>
      </c>
      <c r="K7" s="33"/>
      <c r="L7" s="33"/>
      <c r="M7" s="33"/>
      <c r="N7" s="33">
        <f>$C$27*'E Balans VL '!Y9/100/3.6*1000000</f>
        <v>0.71336831689614233</v>
      </c>
      <c r="O7" s="33"/>
      <c r="P7" s="33"/>
      <c r="R7" s="32"/>
    </row>
    <row r="8" spans="1:18">
      <c r="A8" s="6" t="s">
        <v>52</v>
      </c>
      <c r="B8" s="37">
        <f t="shared" si="0"/>
        <v>25506.078000000001</v>
      </c>
      <c r="C8" s="33"/>
      <c r="D8" s="37">
        <f>IF(ISERROR(TER_handel_gas_kWh/1000),0,TER_handel_gas_kWh/1000)*0.902</f>
        <v>6410.9998242356005</v>
      </c>
      <c r="E8" s="33">
        <f>$C$28*'E Balans VL '!I13/100/3.6*1000000</f>
        <v>805.0107938071169</v>
      </c>
      <c r="F8" s="33">
        <f>$C$28*('E Balans VL '!L13+'E Balans VL '!N13)/100/3.6*1000000</f>
        <v>5002.19102994886</v>
      </c>
      <c r="G8" s="34"/>
      <c r="H8" s="33"/>
      <c r="I8" s="33"/>
      <c r="J8" s="33">
        <f>$C$28*('E Balans VL '!D13+'E Balans VL '!E13)/100/3.6*1000000</f>
        <v>0</v>
      </c>
      <c r="K8" s="33"/>
      <c r="L8" s="33"/>
      <c r="M8" s="33"/>
      <c r="N8" s="33">
        <f>$C$28*'E Balans VL '!Y13/100/3.6*1000000</f>
        <v>30.270762641748679</v>
      </c>
      <c r="O8" s="33"/>
      <c r="P8" s="33"/>
      <c r="R8" s="32"/>
    </row>
    <row r="9" spans="1:18">
      <c r="A9" s="32" t="s">
        <v>51</v>
      </c>
      <c r="B9" s="37">
        <f t="shared" si="0"/>
        <v>5303.4260000000004</v>
      </c>
      <c r="C9" s="33"/>
      <c r="D9" s="37">
        <f>IF(ISERROR(TER_gezond_gas_kWh/1000),0,TER_gezond_gas_kWh/1000)*0.902</f>
        <v>6505.9905656922001</v>
      </c>
      <c r="E9" s="33">
        <f>$C$29*'E Balans VL '!I10/100/3.6*1000000</f>
        <v>0.67899367628518037</v>
      </c>
      <c r="F9" s="33">
        <f>$C$29*('E Balans VL '!L10+'E Balans VL '!N10)/100/3.6*1000000</f>
        <v>1104.9259227547882</v>
      </c>
      <c r="G9" s="34"/>
      <c r="H9" s="33"/>
      <c r="I9" s="33"/>
      <c r="J9" s="33">
        <f>$C$29*('E Balans VL '!D10+'E Balans VL '!E10)/100/3.6*1000000</f>
        <v>0</v>
      </c>
      <c r="K9" s="33"/>
      <c r="L9" s="33"/>
      <c r="M9" s="33"/>
      <c r="N9" s="33">
        <f>$C$29*'E Balans VL '!Y10/100/3.6*1000000</f>
        <v>62.291245098676754</v>
      </c>
      <c r="O9" s="33"/>
      <c r="P9" s="33"/>
      <c r="R9" s="32"/>
    </row>
    <row r="10" spans="1:18">
      <c r="A10" s="32" t="s">
        <v>50</v>
      </c>
      <c r="B10" s="37">
        <f t="shared" si="0"/>
        <v>3014.9639999999999</v>
      </c>
      <c r="C10" s="33"/>
      <c r="D10" s="37">
        <f>IF(ISERROR(TER_ander_gas_kWh/1000),0,TER_ander_gas_kWh/1000)*0.902</f>
        <v>2162.5556219520004</v>
      </c>
      <c r="E10" s="33">
        <f>$C$30*'E Balans VL '!I14/100/3.6*1000000</f>
        <v>4.5337968402183817</v>
      </c>
      <c r="F10" s="33">
        <f>$C$30*('E Balans VL '!L14+'E Balans VL '!N14)/100/3.6*1000000</f>
        <v>665.60686505052809</v>
      </c>
      <c r="G10" s="34"/>
      <c r="H10" s="33"/>
      <c r="I10" s="33"/>
      <c r="J10" s="33">
        <f>$C$30*('E Balans VL '!D14+'E Balans VL '!E14)/100/3.6*1000000</f>
        <v>0</v>
      </c>
      <c r="K10" s="33"/>
      <c r="L10" s="33"/>
      <c r="M10" s="33"/>
      <c r="N10" s="33">
        <f>$C$30*'E Balans VL '!Y14/100/3.6*1000000</f>
        <v>2375.9945314271299</v>
      </c>
      <c r="O10" s="33"/>
      <c r="P10" s="33"/>
      <c r="R10" s="32"/>
    </row>
    <row r="11" spans="1:18">
      <c r="A11" s="32" t="s">
        <v>55</v>
      </c>
      <c r="B11" s="37">
        <f t="shared" si="0"/>
        <v>1875.3420000000001</v>
      </c>
      <c r="C11" s="33"/>
      <c r="D11" s="37">
        <f>IF(ISERROR(TER_onderwijs_gas_kWh/1000),0,TER_onderwijs_gas_kWh/1000)*0.902</f>
        <v>2873.8127413555999</v>
      </c>
      <c r="E11" s="33">
        <f>$C$31*'E Balans VL '!I11/100/3.6*1000000</f>
        <v>3.3026344151163785</v>
      </c>
      <c r="F11" s="33">
        <f>$C$31*('E Balans VL '!L11+'E Balans VL '!N11)/100/3.6*1000000</f>
        <v>865.87933565736512</v>
      </c>
      <c r="G11" s="34"/>
      <c r="H11" s="33"/>
      <c r="I11" s="33"/>
      <c r="J11" s="33">
        <f>$C$31*('E Balans VL '!D11+'E Balans VL '!E11)/100/3.6*1000000</f>
        <v>0</v>
      </c>
      <c r="K11" s="33"/>
      <c r="L11" s="33"/>
      <c r="M11" s="33"/>
      <c r="N11" s="33">
        <f>$C$31*'E Balans VL '!Y11/100/3.6*1000000</f>
        <v>3.4937880796895255</v>
      </c>
      <c r="O11" s="33"/>
      <c r="P11" s="33"/>
      <c r="R11" s="32"/>
    </row>
    <row r="12" spans="1:18">
      <c r="A12" s="32" t="s">
        <v>260</v>
      </c>
      <c r="B12" s="37">
        <f t="shared" si="0"/>
        <v>16.895</v>
      </c>
      <c r="C12" s="33"/>
      <c r="D12" s="37">
        <f>IF(ISERROR(TER_rest_gas_kWh/1000),0,TER_rest_gas_kWh/1000)*0.902</f>
        <v>19163.229881487998</v>
      </c>
      <c r="E12" s="33">
        <f>$C$32*'E Balans VL '!I8/100/3.6*1000000</f>
        <v>0.29746201361588859</v>
      </c>
      <c r="F12" s="33">
        <f>$C$32*('E Balans VL '!L8+'E Balans VL '!N8)/100/3.6*1000000</f>
        <v>4.3526812241784159</v>
      </c>
      <c r="G12" s="34"/>
      <c r="H12" s="33"/>
      <c r="I12" s="33"/>
      <c r="J12" s="33">
        <f>$C$32*('E Balans VL '!D8+'E Balans VL '!E8)/100/3.6*1000000</f>
        <v>0</v>
      </c>
      <c r="K12" s="33"/>
      <c r="L12" s="33"/>
      <c r="M12" s="33"/>
      <c r="N12" s="33">
        <f>$C$32*'E Balans VL '!Y8/100/3.6*1000000</f>
        <v>1.4908478699102099</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46282.366999999998</v>
      </c>
      <c r="C16" s="21">
        <f t="shared" ca="1" si="1"/>
        <v>35.357142857142861</v>
      </c>
      <c r="D16" s="21">
        <f t="shared" ca="1" si="1"/>
        <v>50141.530293690317</v>
      </c>
      <c r="E16" s="21">
        <f t="shared" si="1"/>
        <v>1011.0960616055202</v>
      </c>
      <c r="F16" s="21">
        <f t="shared" ca="1" si="1"/>
        <v>10849.419110369914</v>
      </c>
      <c r="G16" s="21">
        <f t="shared" si="1"/>
        <v>0</v>
      </c>
      <c r="H16" s="21">
        <f t="shared" si="1"/>
        <v>0</v>
      </c>
      <c r="I16" s="21">
        <f t="shared" si="1"/>
        <v>0</v>
      </c>
      <c r="J16" s="21">
        <f t="shared" si="1"/>
        <v>0</v>
      </c>
      <c r="K16" s="21">
        <f t="shared" si="1"/>
        <v>0</v>
      </c>
      <c r="L16" s="21">
        <f t="shared" ca="1" si="1"/>
        <v>0</v>
      </c>
      <c r="M16" s="21">
        <f t="shared" si="1"/>
        <v>0</v>
      </c>
      <c r="N16" s="21">
        <f t="shared" ca="1" si="1"/>
        <v>2481.857426811559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0.16643407303258617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7702.9628493989558</v>
      </c>
      <c r="C20" s="23">
        <f t="shared" ref="C20:P20" ca="1" si="2">C16*C18</f>
        <v>8.4025210084033617</v>
      </c>
      <c r="D20" s="23">
        <f t="shared" ca="1" si="2"/>
        <v>10128.589119325445</v>
      </c>
      <c r="E20" s="23">
        <f t="shared" si="2"/>
        <v>229.51880598445308</v>
      </c>
      <c r="F20" s="23">
        <f t="shared" ca="1" si="2"/>
        <v>2896.7949024687673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7577.3670000000002</v>
      </c>
      <c r="C26" s="39">
        <f>IF(ISERROR(B26*3.6/1000000/'E Balans VL '!Z12*100),0,B26*3.6/1000000/'E Balans VL '!Z12*100)</f>
        <v>0.16231308776719983</v>
      </c>
      <c r="D26" s="237" t="s">
        <v>660</v>
      </c>
      <c r="F26" s="6"/>
    </row>
    <row r="27" spans="1:18">
      <c r="A27" s="231" t="s">
        <v>53</v>
      </c>
      <c r="B27" s="33">
        <f>IF(ISERROR(TER_horeca_ele_kWh/1000),0,TER_horeca_ele_kWh/1000)</f>
        <v>2963.5450000000001</v>
      </c>
      <c r="C27" s="39">
        <f>IF(ISERROR(B27*3.6/1000000/'E Balans VL '!Z9*100),0,B27*3.6/1000000/'E Balans VL '!Z9*100)</f>
        <v>0.23781418507272581</v>
      </c>
      <c r="D27" s="237" t="s">
        <v>660</v>
      </c>
      <c r="F27" s="6"/>
    </row>
    <row r="28" spans="1:18">
      <c r="A28" s="171" t="s">
        <v>52</v>
      </c>
      <c r="B28" s="33">
        <f>IF(ISERROR(TER_handel_ele_kWh/1000),0,TER_handel_ele_kWh/1000)</f>
        <v>25506.078000000001</v>
      </c>
      <c r="C28" s="39">
        <f>IF(ISERROR(B28*3.6/1000000/'E Balans VL '!Z13*100),0,B28*3.6/1000000/'E Balans VL '!Z13*100)</f>
        <v>0.75228300397190651</v>
      </c>
      <c r="D28" s="237" t="s">
        <v>660</v>
      </c>
      <c r="F28" s="6"/>
    </row>
    <row r="29" spans="1:18">
      <c r="A29" s="231" t="s">
        <v>51</v>
      </c>
      <c r="B29" s="33">
        <f>IF(ISERROR(TER_gezond_ele_kWh/1000),0,TER_gezond_ele_kWh/1000)</f>
        <v>5303.4260000000004</v>
      </c>
      <c r="C29" s="39">
        <f>IF(ISERROR(B29*3.6/1000000/'E Balans VL '!Z10*100),0,B29*3.6/1000000/'E Balans VL '!Z10*100)</f>
        <v>0.56626370661685199</v>
      </c>
      <c r="D29" s="237" t="s">
        <v>660</v>
      </c>
      <c r="F29" s="6"/>
    </row>
    <row r="30" spans="1:18">
      <c r="A30" s="231" t="s">
        <v>50</v>
      </c>
      <c r="B30" s="33">
        <f>IF(ISERROR(TER_ander_ele_kWh/1000),0,TER_ander_ele_kWh/1000)</f>
        <v>3014.9639999999999</v>
      </c>
      <c r="C30" s="39">
        <f>IF(ISERROR(B30*3.6/1000000/'E Balans VL '!Z14*100),0,B30*3.6/1000000/'E Balans VL '!Z14*100)</f>
        <v>0.22773207020607059</v>
      </c>
      <c r="D30" s="237" t="s">
        <v>660</v>
      </c>
      <c r="F30" s="6"/>
    </row>
    <row r="31" spans="1:18">
      <c r="A31" s="231" t="s">
        <v>55</v>
      </c>
      <c r="B31" s="33">
        <f>IF(ISERROR(TER_onderwijs_ele_kWh/1000),0,TER_onderwijs_ele_kWh/1000)</f>
        <v>1875.3420000000001</v>
      </c>
      <c r="C31" s="39">
        <f>IF(ISERROR(B31*3.6/1000000/'E Balans VL '!Z11*100),0,B31*3.6/1000000/'E Balans VL '!Z11*100)</f>
        <v>0.37869415355236352</v>
      </c>
      <c r="D31" s="237" t="s">
        <v>660</v>
      </c>
    </row>
    <row r="32" spans="1:18">
      <c r="A32" s="231" t="s">
        <v>260</v>
      </c>
      <c r="B32" s="33">
        <f>IF(ISERROR(TER_rest_ele_kWh/1000),0,TER_rest_ele_kWh/1000)</f>
        <v>16.895</v>
      </c>
      <c r="C32" s="39">
        <f>IF(ISERROR(B32*3.6/1000000/'E Balans VL '!Z8*100),0,B32*3.6/1000000/'E Balans VL '!Z8*100)</f>
        <v>1.4008307611777977E-4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25242.615000000002</v>
      </c>
      <c r="C5" s="17">
        <f>IF(ISERROR('Eigen informatie GS &amp; warmtenet'!B59),0,'Eigen informatie GS &amp; warmtenet'!B59)</f>
        <v>0</v>
      </c>
      <c r="D5" s="30">
        <f>SUM(D6:D15)</f>
        <v>13623.91239039028</v>
      </c>
      <c r="E5" s="17">
        <f>SUM(E6:E15)</f>
        <v>4290.366212672473</v>
      </c>
      <c r="F5" s="17">
        <f>SUM(F6:F15)</f>
        <v>16350.018150961732</v>
      </c>
      <c r="G5" s="18"/>
      <c r="H5" s="17"/>
      <c r="I5" s="17"/>
      <c r="J5" s="17">
        <f>SUM(J6:J15)</f>
        <v>84.112888959656104</v>
      </c>
      <c r="K5" s="17"/>
      <c r="L5" s="17"/>
      <c r="M5" s="17"/>
      <c r="N5" s="17">
        <f>SUM(N6:N15)</f>
        <v>8597.7542651277236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4334.2030000000004</v>
      </c>
      <c r="C8" s="33"/>
      <c r="D8" s="37">
        <f>IF( ISERROR(IND_metaal_Gas_kWH/1000),0,IND_metaal_Gas_kWH/1000)*0.902</f>
        <v>0</v>
      </c>
      <c r="E8" s="33">
        <f>C30*'E Balans VL '!I18/100/3.6*1000000</f>
        <v>155.95773579290142</v>
      </c>
      <c r="F8" s="33">
        <f>C30*'E Balans VL '!L18/100/3.6*1000000+C30*'E Balans VL '!N18/100/3.6*1000000</f>
        <v>1892.6059503550896</v>
      </c>
      <c r="G8" s="34"/>
      <c r="H8" s="33"/>
      <c r="I8" s="33"/>
      <c r="J8" s="40">
        <f>C30*'E Balans VL '!D18/100/3.6*1000000+C30*'E Balans VL '!E18/100/3.6*1000000</f>
        <v>0</v>
      </c>
      <c r="K8" s="33"/>
      <c r="L8" s="33"/>
      <c r="M8" s="33"/>
      <c r="N8" s="33">
        <f>C30*'E Balans VL '!Y18/100/3.6*1000000</f>
        <v>217.22730895696782</v>
      </c>
      <c r="O8" s="33"/>
      <c r="P8" s="33"/>
      <c r="R8" s="32"/>
    </row>
    <row r="9" spans="1:18">
      <c r="A9" s="6" t="s">
        <v>33</v>
      </c>
      <c r="B9" s="37">
        <f t="shared" si="0"/>
        <v>15822.065000000001</v>
      </c>
      <c r="C9" s="33"/>
      <c r="D9" s="37">
        <f>IF( ISERROR(IND_andere_gas_kWh/1000),0,IND_andere_gas_kWh/1000)*0.902</f>
        <v>3194.7947059688004</v>
      </c>
      <c r="E9" s="33">
        <f>C31*'E Balans VL '!I19/100/3.6*1000000</f>
        <v>4037.4330037526083</v>
      </c>
      <c r="F9" s="33">
        <f>C31*'E Balans VL '!L19/100/3.6*1000000+C31*'E Balans VL '!N19/100/3.6*1000000</f>
        <v>13621.608732361206</v>
      </c>
      <c r="G9" s="34"/>
      <c r="H9" s="33"/>
      <c r="I9" s="33"/>
      <c r="J9" s="40">
        <f>C31*'E Balans VL '!D19/100/3.6*1000000+C31*'E Balans VL '!E19/100/3.6*1000000</f>
        <v>0</v>
      </c>
      <c r="K9" s="33"/>
      <c r="L9" s="33"/>
      <c r="M9" s="33"/>
      <c r="N9" s="33">
        <f>C31*'E Balans VL '!Y19/100/3.6*1000000</f>
        <v>4948.1015746361882</v>
      </c>
      <c r="O9" s="33"/>
      <c r="P9" s="33"/>
      <c r="R9" s="32"/>
    </row>
    <row r="10" spans="1:18">
      <c r="A10" s="6" t="s">
        <v>41</v>
      </c>
      <c r="B10" s="37">
        <f t="shared" si="0"/>
        <v>3101.7469999999998</v>
      </c>
      <c r="C10" s="33"/>
      <c r="D10" s="37">
        <f>IF( ISERROR(IND_voed_gas_kWh/1000),0,IND_voed_gas_kWh/1000)*0.902</f>
        <v>388.69747913722</v>
      </c>
      <c r="E10" s="33">
        <f>C32*'E Balans VL '!I20/100/3.6*1000000</f>
        <v>78.850667787652739</v>
      </c>
      <c r="F10" s="33">
        <f>C32*'E Balans VL '!L20/100/3.6*1000000+C32*'E Balans VL '!N20/100/3.6*1000000</f>
        <v>701.87878486208615</v>
      </c>
      <c r="G10" s="34"/>
      <c r="H10" s="33"/>
      <c r="I10" s="33"/>
      <c r="J10" s="40">
        <f>C32*'E Balans VL '!D20/100/3.6*1000000+C32*'E Balans VL '!E20/100/3.6*1000000</f>
        <v>0</v>
      </c>
      <c r="K10" s="33"/>
      <c r="L10" s="33"/>
      <c r="M10" s="33"/>
      <c r="N10" s="33">
        <f>C32*'E Balans VL '!Y20/100/3.6*1000000</f>
        <v>1163.2392011594577</v>
      </c>
      <c r="O10" s="33"/>
      <c r="P10" s="33"/>
      <c r="R10" s="32"/>
    </row>
    <row r="11" spans="1:18">
      <c r="A11" s="6" t="s">
        <v>40</v>
      </c>
      <c r="B11" s="37">
        <f t="shared" si="0"/>
        <v>144.024</v>
      </c>
      <c r="C11" s="33"/>
      <c r="D11" s="37">
        <f>IF( ISERROR(IND_textiel_gas_kWh/1000),0,IND_textiel_gas_kWh/1000)*0.902</f>
        <v>0</v>
      </c>
      <c r="E11" s="33">
        <f>C33*'E Balans VL '!I21/100/3.6*1000000</f>
        <v>0.39538461134457514</v>
      </c>
      <c r="F11" s="33">
        <f>C33*'E Balans VL '!L21/100/3.6*1000000+C33*'E Balans VL '!N21/100/3.6*1000000</f>
        <v>7.6355522546505945</v>
      </c>
      <c r="G11" s="34"/>
      <c r="H11" s="33"/>
      <c r="I11" s="33"/>
      <c r="J11" s="40">
        <f>C33*'E Balans VL '!D21/100/3.6*1000000+C33*'E Balans VL '!E21/100/3.6*1000000</f>
        <v>0</v>
      </c>
      <c r="K11" s="33"/>
      <c r="L11" s="33"/>
      <c r="M11" s="33"/>
      <c r="N11" s="33">
        <f>C33*'E Balans VL '!Y21/100/3.6*1000000</f>
        <v>0.28946440653311645</v>
      </c>
      <c r="O11" s="33"/>
      <c r="P11" s="33"/>
      <c r="R11" s="32"/>
    </row>
    <row r="12" spans="1:18">
      <c r="A12" s="6" t="s">
        <v>37</v>
      </c>
      <c r="B12" s="37">
        <f t="shared" si="0"/>
        <v>581.40899999999999</v>
      </c>
      <c r="C12" s="33"/>
      <c r="D12" s="37">
        <f>IF( ISERROR(IND_min_gas_kWh/1000),0,IND_min_gas_kWh/1000)*0.902</f>
        <v>0</v>
      </c>
      <c r="E12" s="33">
        <f>C34*'E Balans VL '!I22/100/3.6*1000000</f>
        <v>12.353484109848214</v>
      </c>
      <c r="F12" s="33">
        <f>C34*'E Balans VL '!L22/100/3.6*1000000+C34*'E Balans VL '!N22/100/3.6*1000000</f>
        <v>94.861833174833976</v>
      </c>
      <c r="G12" s="34"/>
      <c r="H12" s="33"/>
      <c r="I12" s="33"/>
      <c r="J12" s="40">
        <f>C34*'E Balans VL '!D22/100/3.6*1000000+C34*'E Balans VL '!E22/100/3.6*1000000</f>
        <v>0.67739574238553268</v>
      </c>
      <c r="K12" s="33"/>
      <c r="L12" s="33"/>
      <c r="M12" s="33"/>
      <c r="N12" s="33">
        <f>C34*'E Balans VL '!Y22/100/3.6*1000000</f>
        <v>0</v>
      </c>
      <c r="O12" s="33"/>
      <c r="P12" s="33"/>
      <c r="R12" s="32"/>
    </row>
    <row r="13" spans="1:18">
      <c r="A13" s="6" t="s">
        <v>39</v>
      </c>
      <c r="B13" s="37">
        <f t="shared" si="0"/>
        <v>1246.338</v>
      </c>
      <c r="C13" s="33"/>
      <c r="D13" s="37">
        <f>IF( ISERROR(IND_papier_gas_kWh/1000),0,IND_papier_gas_kWh/1000)*0.902</f>
        <v>610.56400712625998</v>
      </c>
      <c r="E13" s="33">
        <f>C35*'E Balans VL '!I23/100/3.6*1000000</f>
        <v>5.345181100111458</v>
      </c>
      <c r="F13" s="33">
        <f>C35*'E Balans VL '!L23/100/3.6*1000000+C35*'E Balans VL '!N23/100/3.6*1000000</f>
        <v>31.324342326890317</v>
      </c>
      <c r="G13" s="34"/>
      <c r="H13" s="33"/>
      <c r="I13" s="33"/>
      <c r="J13" s="40">
        <f>C35*'E Balans VL '!D23/100/3.6*1000000+C35*'E Balans VL '!E23/100/3.6*1000000</f>
        <v>83.435493217270576</v>
      </c>
      <c r="K13" s="33"/>
      <c r="L13" s="33"/>
      <c r="M13" s="33"/>
      <c r="N13" s="33">
        <f>C35*'E Balans VL '!Y23/100/3.6*1000000</f>
        <v>2268.6315504843983</v>
      </c>
      <c r="O13" s="33"/>
      <c r="P13" s="33"/>
      <c r="R13" s="32"/>
    </row>
    <row r="14" spans="1:18">
      <c r="A14" s="6" t="s">
        <v>34</v>
      </c>
      <c r="B14" s="37">
        <f t="shared" si="0"/>
        <v>12.829000000000001</v>
      </c>
      <c r="C14" s="33"/>
      <c r="D14" s="37">
        <f>IF( ISERROR(IND_chemie_gas_kWh/1000),0,IND_chemie_gas_kWh/1000)*0.902</f>
        <v>0</v>
      </c>
      <c r="E14" s="33">
        <f>C36*'E Balans VL '!I24/100/3.6*1000000</f>
        <v>3.075551800622053E-2</v>
      </c>
      <c r="F14" s="33">
        <f>C36*'E Balans VL '!L24/100/3.6*1000000+C36*'E Balans VL '!N24/100/3.6*1000000</f>
        <v>0.10295562697405398</v>
      </c>
      <c r="G14" s="34"/>
      <c r="H14" s="33"/>
      <c r="I14" s="33"/>
      <c r="J14" s="40">
        <f>C36*'E Balans VL '!D24/100/3.6*1000000+C36*'E Balans VL '!E24/100/3.6*1000000</f>
        <v>0</v>
      </c>
      <c r="K14" s="33"/>
      <c r="L14" s="33"/>
      <c r="M14" s="33"/>
      <c r="N14" s="33">
        <f>C36*'E Balans VL '!Y24/100/3.6*1000000</f>
        <v>0.26516548417948338</v>
      </c>
      <c r="O14" s="33"/>
      <c r="P14" s="33"/>
      <c r="R14" s="32"/>
    </row>
    <row r="15" spans="1:18">
      <c r="A15" s="6" t="s">
        <v>270</v>
      </c>
      <c r="B15" s="37">
        <f t="shared" si="0"/>
        <v>0</v>
      </c>
      <c r="C15" s="33"/>
      <c r="D15" s="37">
        <f>IF( ISERROR(IND_rest_gas_kWh/1000),0,IND_rest_gas_kWh/1000)*0.902</f>
        <v>9429.8561981579987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25242.615000000002</v>
      </c>
      <c r="C18" s="21">
        <f>C5+C16</f>
        <v>0</v>
      </c>
      <c r="D18" s="21">
        <f>MAX((D5+D16),0)</f>
        <v>13623.91239039028</v>
      </c>
      <c r="E18" s="21">
        <f>MAX((E5+E16),0)</f>
        <v>4290.366212672473</v>
      </c>
      <c r="F18" s="21">
        <f>MAX((F5+F16),0)</f>
        <v>16350.018150961732</v>
      </c>
      <c r="G18" s="21"/>
      <c r="H18" s="21"/>
      <c r="I18" s="21"/>
      <c r="J18" s="21">
        <f>MAX((J5+J16),0)</f>
        <v>84.112888959656104</v>
      </c>
      <c r="K18" s="21"/>
      <c r="L18" s="21">
        <f>MAX((L5+L16),0)</f>
        <v>0</v>
      </c>
      <c r="M18" s="21"/>
      <c r="N18" s="21">
        <f>MAX((N5+N16),0)</f>
        <v>8597.7542651277236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0.16643407303258617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4201.2312284434556</v>
      </c>
      <c r="C22" s="23">
        <f ca="1">C18*C20</f>
        <v>0</v>
      </c>
      <c r="D22" s="23">
        <f>D18*D20</f>
        <v>2752.0303028588369</v>
      </c>
      <c r="E22" s="23">
        <f>E18*E20</f>
        <v>973.91313027665137</v>
      </c>
      <c r="F22" s="23">
        <f>F18*F20</f>
        <v>4365.4548463067831</v>
      </c>
      <c r="G22" s="23"/>
      <c r="H22" s="23"/>
      <c r="I22" s="23"/>
      <c r="J22" s="23">
        <f>J18*J20</f>
        <v>29.775962691718259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4334.2030000000004</v>
      </c>
      <c r="C30" s="39">
        <f>IF(ISERROR(B30*3.6/1000000/'E Balans VL '!Z18*100),0,B30*3.6/1000000/'E Balans VL '!Z18*100)</f>
        <v>0.91832469283671259</v>
      </c>
      <c r="D30" s="237" t="s">
        <v>660</v>
      </c>
    </row>
    <row r="31" spans="1:18">
      <c r="A31" s="6" t="s">
        <v>33</v>
      </c>
      <c r="B31" s="37">
        <f>IF( ISERROR(IND_ander_ele_kWh/1000),0,IND_ander_ele_kWh/1000)</f>
        <v>15822.065000000001</v>
      </c>
      <c r="C31" s="39">
        <f>IF(ISERROR(B31*3.6/1000000/'E Balans VL '!Z19*100),0,B31*3.6/1000000/'E Balans VL '!Z19*100)</f>
        <v>0.66598664246137818</v>
      </c>
      <c r="D31" s="237" t="s">
        <v>660</v>
      </c>
    </row>
    <row r="32" spans="1:18">
      <c r="A32" s="171" t="s">
        <v>41</v>
      </c>
      <c r="B32" s="37">
        <f>IF( ISERROR(IND_voed_ele_kWh/1000),0,IND_voed_ele_kWh/1000)</f>
        <v>3101.7469999999998</v>
      </c>
      <c r="C32" s="39">
        <f>IF(ISERROR(B32*3.6/1000000/'E Balans VL '!Z20*100),0,B32*3.6/1000000/'E Balans VL '!Z20*100)</f>
        <v>0.51818193020366643</v>
      </c>
      <c r="D32" s="237" t="s">
        <v>660</v>
      </c>
    </row>
    <row r="33" spans="1:5">
      <c r="A33" s="171" t="s">
        <v>40</v>
      </c>
      <c r="B33" s="37">
        <f>IF( ISERROR(IND_textiel_ele_kWh/1000),0,IND_textiel_ele_kWh/1000)</f>
        <v>144.024</v>
      </c>
      <c r="C33" s="39">
        <f>IF(ISERROR(B33*3.6/1000000/'E Balans VL '!Z21*100),0,B33*3.6/1000000/'E Balans VL '!Z21*100)</f>
        <v>8.4085521142517484E-3</v>
      </c>
      <c r="D33" s="237" t="s">
        <v>660</v>
      </c>
    </row>
    <row r="34" spans="1:5">
      <c r="A34" s="171" t="s">
        <v>37</v>
      </c>
      <c r="B34" s="37">
        <f>IF( ISERROR(IND_min_ele_kWh/1000),0,IND_min_ele_kWh/1000)</f>
        <v>581.40899999999999</v>
      </c>
      <c r="C34" s="39">
        <f>IF(ISERROR(B34*3.6/1000000/'E Balans VL '!Z22*100),0,B34*3.6/1000000/'E Balans VL '!Z22*100)</f>
        <v>7.3696726279476335E-2</v>
      </c>
      <c r="D34" s="237" t="s">
        <v>660</v>
      </c>
    </row>
    <row r="35" spans="1:5">
      <c r="A35" s="171" t="s">
        <v>39</v>
      </c>
      <c r="B35" s="37">
        <f>IF( ISERROR(IND_papier_ele_kWh/1000),0,IND_papier_ele_kWh/1000)</f>
        <v>1246.338</v>
      </c>
      <c r="C35" s="39">
        <f>IF(ISERROR(B35*3.6/1000000/'E Balans VL '!Z22*100),0,B35*3.6/1000000/'E Balans VL '!Z22*100)</f>
        <v>0.15798006298098233</v>
      </c>
      <c r="D35" s="237" t="s">
        <v>660</v>
      </c>
    </row>
    <row r="36" spans="1:5">
      <c r="A36" s="171" t="s">
        <v>34</v>
      </c>
      <c r="B36" s="37">
        <f>IF( ISERROR(IND_chemie_ele_kWh/1000),0,IND_chemie_ele_kWh/1000)</f>
        <v>12.829000000000001</v>
      </c>
      <c r="C36" s="39">
        <f>IF(ISERROR(B36*3.6/1000000/'E Balans VL '!Z24*100),0,B36*3.6/1000000/'E Balans VL '!Z24*100)</f>
        <v>4.1668633370597598E-4</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1224.079</v>
      </c>
      <c r="C5" s="17">
        <f>'Eigen informatie GS &amp; warmtenet'!B60</f>
        <v>0</v>
      </c>
      <c r="D5" s="30">
        <f>IF(ISERROR(SUM(LB_lb_gas_kWh,LB_rest_gas_kWh)/1000),0,SUM(LB_lb_gas_kWh,LB_rest_gas_kWh)/1000)*0.902</f>
        <v>26693.025706079676</v>
      </c>
      <c r="E5" s="17">
        <f>B17*'E Balans VL '!I25/3.6*1000000/100</f>
        <v>31.56429749002011</v>
      </c>
      <c r="F5" s="17">
        <f>B17*('E Balans VL '!L25/3.6*1000000+'E Balans VL '!N25/3.6*1000000)/100</f>
        <v>4474.2418595215131</v>
      </c>
      <c r="G5" s="18"/>
      <c r="H5" s="17"/>
      <c r="I5" s="17"/>
      <c r="J5" s="17">
        <f>('E Balans VL '!D25+'E Balans VL '!E25)/3.6*1000000*landbouw!B17/100</f>
        <v>176.2223462255954</v>
      </c>
      <c r="K5" s="17"/>
      <c r="L5" s="17">
        <f>L6*(-1)</f>
        <v>0</v>
      </c>
      <c r="M5" s="17"/>
      <c r="N5" s="17">
        <f>N6*(-1)</f>
        <v>0</v>
      </c>
      <c r="O5" s="17"/>
      <c r="P5" s="17"/>
      <c r="R5" s="32"/>
    </row>
    <row r="6" spans="1:18">
      <c r="A6" s="16" t="s">
        <v>491</v>
      </c>
      <c r="B6" s="17" t="s">
        <v>211</v>
      </c>
      <c r="C6" s="17">
        <f>'lokale energieproductie'!O92+'lokale energieproductie'!O61</f>
        <v>20250</v>
      </c>
      <c r="D6" s="310">
        <f>('lokale energieproductie'!P61+'lokale energieproductie'!P92)*(-1)</f>
        <v>-40500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1224.079</v>
      </c>
      <c r="C8" s="21">
        <f>C5+C6</f>
        <v>20250</v>
      </c>
      <c r="D8" s="21">
        <f>MAX((D5+D6),0)</f>
        <v>0</v>
      </c>
      <c r="E8" s="21">
        <f>MAX((E5+E6),0)</f>
        <v>31.56429749002011</v>
      </c>
      <c r="F8" s="21">
        <f>MAX((F5+F6),0)</f>
        <v>4474.2418595215131</v>
      </c>
      <c r="G8" s="21"/>
      <c r="H8" s="21"/>
      <c r="I8" s="21"/>
      <c r="J8" s="21">
        <f>MAX((J5+J6),0)</f>
        <v>176.2223462255954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0.16643407303258617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203.72845368365503</v>
      </c>
      <c r="C12" s="23">
        <f ca="1">C8*C10</f>
        <v>4812.3529411764703</v>
      </c>
      <c r="D12" s="23">
        <f>D8*D10</f>
        <v>0</v>
      </c>
      <c r="E12" s="23">
        <f>E8*E10</f>
        <v>7.1650955302345647</v>
      </c>
      <c r="F12" s="23">
        <f>F8*F10</f>
        <v>1194.622576492244</v>
      </c>
      <c r="G12" s="23"/>
      <c r="H12" s="23"/>
      <c r="I12" s="23"/>
      <c r="J12" s="23">
        <f>J8*J10</f>
        <v>62.382710563860769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0.17260324711748873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161.73028580948633</v>
      </c>
      <c r="C26" s="247">
        <f>B26*'GWP N2O_CH4'!B5</f>
        <v>3396.3360019992128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68.476270978737801</v>
      </c>
      <c r="C27" s="247">
        <f>B27*'GWP N2O_CH4'!B5</f>
        <v>1438.0016905534937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2.5202858119658154</v>
      </c>
      <c r="C28" s="247">
        <f>B28*'GWP N2O_CH4'!B4</f>
        <v>781.28860170940277</v>
      </c>
      <c r="D28" s="50"/>
    </row>
    <row r="29" spans="1:4">
      <c r="A29" s="41" t="s">
        <v>277</v>
      </c>
      <c r="B29" s="247">
        <f>B34*'ha_N2O bodem landbouw'!B4</f>
        <v>16.271897251458732</v>
      </c>
      <c r="C29" s="247">
        <f>B29*'GWP N2O_CH4'!B4</f>
        <v>5044.2881479522066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3.6620611221968836E-3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1.4351863964257079E-4</v>
      </c>
      <c r="C5" s="463" t="s">
        <v>211</v>
      </c>
      <c r="D5" s="448">
        <f>SUM(D6:D11)</f>
        <v>3.1146206502363603E-4</v>
      </c>
      <c r="E5" s="448">
        <f>SUM(E6:E11)</f>
        <v>1.2766225201088566E-3</v>
      </c>
      <c r="F5" s="461" t="s">
        <v>211</v>
      </c>
      <c r="G5" s="448">
        <f>SUM(G6:G11)</f>
        <v>0.41710696807054387</v>
      </c>
      <c r="H5" s="448">
        <f>SUM(H6:H11)</f>
        <v>8.4705995051030658E-2</v>
      </c>
      <c r="I5" s="463" t="s">
        <v>211</v>
      </c>
      <c r="J5" s="463" t="s">
        <v>211</v>
      </c>
      <c r="K5" s="463" t="s">
        <v>211</v>
      </c>
      <c r="L5" s="463" t="s">
        <v>211</v>
      </c>
      <c r="M5" s="448">
        <f>SUM(M6:M11)</f>
        <v>1.5678967000318646E-2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9.5258947626883486E-5</v>
      </c>
      <c r="C6" s="449"/>
      <c r="D6" s="892">
        <f>vkm_2011_GW_PW*SUMIFS(TableVerdeelsleutelVkm[CNG],TableVerdeelsleutelVkm[Voertuigtype],"Lichte voertuigen")*SUMIFS(TableECFTransport[EnergieConsumptieFactor (PJ per km)],TableECFTransport[Index],CONCATENATE($A6,"_CNG_CNG"))</f>
        <v>1.8928119754125632E-4</v>
      </c>
      <c r="E6" s="892">
        <f>vkm_2011_GW_PW*SUMIFS(TableVerdeelsleutelVkm[LPG],TableVerdeelsleutelVkm[Voertuigtype],"Lichte voertuigen")*SUMIFS(TableECFTransport[EnergieConsumptieFactor (PJ per km)],TableECFTransport[Index],CONCATENATE($A6,"_LPG_LPG"))</f>
        <v>7.4488936454765659E-4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0.17710913224496719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5.1244114573354954E-2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7.1156980353301045E-3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7.5017551472336963E-2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2.4233873388333478E-5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2.363688264333311E-3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1.5155275163846771E-5</v>
      </c>
      <c r="C8" s="449"/>
      <c r="D8" s="451">
        <f>vkm_2011_NGW_PW*SUMIFS(TableVerdeelsleutelVkm[CNG],TableVerdeelsleutelVkm[Voertuigtype],"Lichte voertuigen")*SUMIFS(TableECFTransport[EnergieConsumptieFactor (PJ per km)],TableECFTransport[Index],CONCATENATE($A8,"_CNG_CNG"))</f>
        <v>5.3320549652618136E-5</v>
      </c>
      <c r="E8" s="451">
        <f>vkm_2011_NGW_PW*SUMIFS(TableVerdeelsleutelVkm[LPG],TableVerdeelsleutelVkm[Voertuigtype],"Lichte voertuigen")*SUMIFS(TableECFTransport[EnergieConsumptieFactor (PJ per km)],TableECFTransport[Index],CONCATENATE($A8,"_LPG_LPG"))</f>
        <v>1.9406074556429262E-4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4.3086940761444002E-2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1.399742507427462E-2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1.7770140335725418E-3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6.105111661066775E-3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1.8651633783408599E-6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1.9235951642639003E-4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3.3104416851840528E-5</v>
      </c>
      <c r="C10" s="449"/>
      <c r="D10" s="451">
        <f>vkm_2011_SW_PW*SUMIFS(TableVerdeelsleutelVkm[CNG],TableVerdeelsleutelVkm[Voertuigtype],"Lichte voertuigen")*SUMIFS(TableECFTransport[EnergieConsumptieFactor (PJ per km)],TableECFTransport[Index],CONCATENATE($A10,"_CNG_CNG"))</f>
        <v>6.8860317829761575E-5</v>
      </c>
      <c r="E10" s="451">
        <f>vkm_2011_SW_PW*SUMIFS(TableVerdeelsleutelVkm[LPG],TableVerdeelsleutelVkm[Voertuigtype],"Lichte voertuigen")*SUMIFS(TableECFTransport[EnergieConsumptieFactor (PJ per km)],TableECFTransport[Index],CONCATENATE($A10,"_LPG_LPG"))</f>
        <v>3.3767240999690737E-4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7.192034630178204E-2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1.9423087776604175E-2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2.8479642814474323E-3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4.3867885628946897E-2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1.5268590030229272E-5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1.3822428692088664E-3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39.866288789602997</v>
      </c>
      <c r="C14" s="21"/>
      <c r="D14" s="21">
        <f t="shared" ref="D14:M14" si="0">((D5)*10^9/3600)+D12</f>
        <v>86.517240284343345</v>
      </c>
      <c r="E14" s="21">
        <f t="shared" si="0"/>
        <v>354.61736669690464</v>
      </c>
      <c r="F14" s="21"/>
      <c r="G14" s="21">
        <f t="shared" si="0"/>
        <v>115863.04668626218</v>
      </c>
      <c r="H14" s="21">
        <f t="shared" si="0"/>
        <v>23529.443069730736</v>
      </c>
      <c r="I14" s="21"/>
      <c r="J14" s="21"/>
      <c r="K14" s="21"/>
      <c r="L14" s="21"/>
      <c r="M14" s="21">
        <f t="shared" si="0"/>
        <v>4355.2686111996236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0.16643407303258617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6.6351088199469563</v>
      </c>
      <c r="C18" s="23"/>
      <c r="D18" s="23">
        <f t="shared" ref="D18:M18" si="1">D14*D16</f>
        <v>17.476482537437356</v>
      </c>
      <c r="E18" s="23">
        <f t="shared" si="1"/>
        <v>80.498142240197353</v>
      </c>
      <c r="F18" s="23"/>
      <c r="G18" s="23">
        <f t="shared" si="1"/>
        <v>30935.433465232003</v>
      </c>
      <c r="H18" s="23">
        <f t="shared" si="1"/>
        <v>5858.8313243629536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1.0951137898391208E-2</v>
      </c>
      <c r="H50" s="321">
        <f t="shared" si="2"/>
        <v>0</v>
      </c>
      <c r="I50" s="321">
        <f t="shared" si="2"/>
        <v>0</v>
      </c>
      <c r="J50" s="321">
        <f t="shared" si="2"/>
        <v>0</v>
      </c>
      <c r="K50" s="321">
        <f t="shared" si="2"/>
        <v>0</v>
      </c>
      <c r="L50" s="321">
        <f t="shared" si="2"/>
        <v>0</v>
      </c>
      <c r="M50" s="321">
        <f t="shared" si="2"/>
        <v>3.3967979791854435E-4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1.0951137898391208E-2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3.3967979791854435E-4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3041.9827495531131</v>
      </c>
      <c r="H54" s="21">
        <f t="shared" si="3"/>
        <v>0</v>
      </c>
      <c r="I54" s="21">
        <f t="shared" si="3"/>
        <v>0</v>
      </c>
      <c r="J54" s="21">
        <f t="shared" si="3"/>
        <v>0</v>
      </c>
      <c r="K54" s="21">
        <f t="shared" si="3"/>
        <v>0</v>
      </c>
      <c r="L54" s="21">
        <f t="shared" si="3"/>
        <v>0</v>
      </c>
      <c r="M54" s="21">
        <f t="shared" si="3"/>
        <v>94.355499421817868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0.16643407303258617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812.20939413068129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48297.203999999998</v>
      </c>
      <c r="D10" s="1012">
        <f ca="1">tertiair!C16</f>
        <v>35.357142857142861</v>
      </c>
      <c r="E10" s="1012">
        <f ca="1">tertiair!D16</f>
        <v>50141.530293690317</v>
      </c>
      <c r="F10" s="1012">
        <f>tertiair!E16</f>
        <v>1011.0960616055202</v>
      </c>
      <c r="G10" s="1012">
        <f ca="1">tertiair!F16</f>
        <v>10849.419110369914</v>
      </c>
      <c r="H10" s="1012">
        <f>tertiair!G16</f>
        <v>0</v>
      </c>
      <c r="I10" s="1012">
        <f>tertiair!H16</f>
        <v>0</v>
      </c>
      <c r="J10" s="1012">
        <f>tertiair!I16</f>
        <v>0</v>
      </c>
      <c r="K10" s="1012">
        <f>tertiair!J16</f>
        <v>0</v>
      </c>
      <c r="L10" s="1012">
        <f>tertiair!K16</f>
        <v>0</v>
      </c>
      <c r="M10" s="1012">
        <f ca="1">tertiair!L16</f>
        <v>0</v>
      </c>
      <c r="N10" s="1012">
        <f>tertiair!M16</f>
        <v>0</v>
      </c>
      <c r="O10" s="1012">
        <f ca="1">tertiair!N16</f>
        <v>2481.857426811559</v>
      </c>
      <c r="P10" s="1012">
        <f>tertiair!O16</f>
        <v>3.1266666666666669</v>
      </c>
      <c r="Q10" s="1013">
        <f>tertiair!P16</f>
        <v>19.066666666666666</v>
      </c>
      <c r="R10" s="700">
        <f ca="1">SUM(C10:Q10)</f>
        <v>112838.65736866779</v>
      </c>
      <c r="S10" s="67"/>
    </row>
    <row r="11" spans="1:19" s="473" customFormat="1">
      <c r="A11" s="809" t="s">
        <v>225</v>
      </c>
      <c r="B11" s="814"/>
      <c r="C11" s="1012">
        <f>huishoudens!B8</f>
        <v>39935.142301969703</v>
      </c>
      <c r="D11" s="1012">
        <f>huishoudens!C8</f>
        <v>0</v>
      </c>
      <c r="E11" s="1012">
        <f>huishoudens!D8</f>
        <v>68592.481138522009</v>
      </c>
      <c r="F11" s="1012">
        <f>huishoudens!E8</f>
        <v>5578.4051869290697</v>
      </c>
      <c r="G11" s="1012">
        <f>huishoudens!F8</f>
        <v>68111.7814942119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9692.2119010835104</v>
      </c>
      <c r="P11" s="1012">
        <f>huishoudens!O8</f>
        <v>303.28666666666669</v>
      </c>
      <c r="Q11" s="1013">
        <f>huishoudens!P8</f>
        <v>1067.7333333333333</v>
      </c>
      <c r="R11" s="700">
        <f>SUM(C11:Q11)</f>
        <v>193281.04202271617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25242.615000000002</v>
      </c>
      <c r="D13" s="1012">
        <f>industrie!C18</f>
        <v>0</v>
      </c>
      <c r="E13" s="1012">
        <f>industrie!D18</f>
        <v>13623.91239039028</v>
      </c>
      <c r="F13" s="1012">
        <f>industrie!E18</f>
        <v>4290.366212672473</v>
      </c>
      <c r="G13" s="1012">
        <f>industrie!F18</f>
        <v>16350.018150961732</v>
      </c>
      <c r="H13" s="1012">
        <f>industrie!G18</f>
        <v>0</v>
      </c>
      <c r="I13" s="1012">
        <f>industrie!H18</f>
        <v>0</v>
      </c>
      <c r="J13" s="1012">
        <f>industrie!I18</f>
        <v>0</v>
      </c>
      <c r="K13" s="1012">
        <f>industrie!J18</f>
        <v>84.112888959656104</v>
      </c>
      <c r="L13" s="1012">
        <f>industrie!K18</f>
        <v>0</v>
      </c>
      <c r="M13" s="1012">
        <f>industrie!L18</f>
        <v>0</v>
      </c>
      <c r="N13" s="1012">
        <f>industrie!M18</f>
        <v>0</v>
      </c>
      <c r="O13" s="1012">
        <f>industrie!N18</f>
        <v>8597.7542651277236</v>
      </c>
      <c r="P13" s="1012">
        <f>industrie!O18</f>
        <v>0</v>
      </c>
      <c r="Q13" s="1013">
        <f>industrie!P18</f>
        <v>0</v>
      </c>
      <c r="R13" s="700">
        <f>SUM(C13:Q13)</f>
        <v>68188.778908111868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113474.9613019697</v>
      </c>
      <c r="D16" s="732">
        <f t="shared" ref="D16:R16" ca="1" si="0">SUM(D9:D15)</f>
        <v>35.357142857142861</v>
      </c>
      <c r="E16" s="732">
        <f t="shared" ca="1" si="0"/>
        <v>132357.92382260261</v>
      </c>
      <c r="F16" s="732">
        <f t="shared" si="0"/>
        <v>10879.867461207063</v>
      </c>
      <c r="G16" s="732">
        <f t="shared" ca="1" si="0"/>
        <v>95311.218755543552</v>
      </c>
      <c r="H16" s="732">
        <f t="shared" si="0"/>
        <v>0</v>
      </c>
      <c r="I16" s="732">
        <f t="shared" si="0"/>
        <v>0</v>
      </c>
      <c r="J16" s="732">
        <f t="shared" si="0"/>
        <v>0</v>
      </c>
      <c r="K16" s="732">
        <f t="shared" si="0"/>
        <v>84.112888959656104</v>
      </c>
      <c r="L16" s="732">
        <f t="shared" si="0"/>
        <v>0</v>
      </c>
      <c r="M16" s="732">
        <f t="shared" ca="1" si="0"/>
        <v>0</v>
      </c>
      <c r="N16" s="732">
        <f t="shared" si="0"/>
        <v>0</v>
      </c>
      <c r="O16" s="732">
        <f t="shared" ca="1" si="0"/>
        <v>20771.823593022793</v>
      </c>
      <c r="P16" s="732">
        <f t="shared" si="0"/>
        <v>306.41333333333336</v>
      </c>
      <c r="Q16" s="732">
        <f t="shared" si="0"/>
        <v>1086.8</v>
      </c>
      <c r="R16" s="732">
        <f t="shared" ca="1" si="0"/>
        <v>374308.47829949582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3041.9827495531131</v>
      </c>
      <c r="I19" s="1012">
        <f>transport!H54</f>
        <v>0</v>
      </c>
      <c r="J19" s="1012">
        <f>transport!I54</f>
        <v>0</v>
      </c>
      <c r="K19" s="1012">
        <f>transport!J54</f>
        <v>0</v>
      </c>
      <c r="L19" s="1012">
        <f>transport!K54</f>
        <v>0</v>
      </c>
      <c r="M19" s="1012">
        <f>transport!L54</f>
        <v>0</v>
      </c>
      <c r="N19" s="1012">
        <f>transport!M54</f>
        <v>94.355499421817868</v>
      </c>
      <c r="O19" s="1012">
        <f>transport!N54</f>
        <v>0</v>
      </c>
      <c r="P19" s="1012">
        <f>transport!O54</f>
        <v>0</v>
      </c>
      <c r="Q19" s="1013">
        <f>transport!P54</f>
        <v>0</v>
      </c>
      <c r="R19" s="700">
        <f>SUM(C19:Q19)</f>
        <v>3136.338248974931</v>
      </c>
      <c r="S19" s="67"/>
    </row>
    <row r="20" spans="1:19" s="473" customFormat="1">
      <c r="A20" s="809" t="s">
        <v>307</v>
      </c>
      <c r="B20" s="814"/>
      <c r="C20" s="1012">
        <f>transport!B14</f>
        <v>39.866288789602997</v>
      </c>
      <c r="D20" s="1012">
        <f>transport!C14</f>
        <v>0</v>
      </c>
      <c r="E20" s="1012">
        <f>transport!D14</f>
        <v>86.517240284343345</v>
      </c>
      <c r="F20" s="1012">
        <f>transport!E14</f>
        <v>354.61736669690464</v>
      </c>
      <c r="G20" s="1012">
        <f>transport!F14</f>
        <v>0</v>
      </c>
      <c r="H20" s="1012">
        <f>transport!G14</f>
        <v>115863.04668626218</v>
      </c>
      <c r="I20" s="1012">
        <f>transport!H14</f>
        <v>23529.443069730736</v>
      </c>
      <c r="J20" s="1012">
        <f>transport!I14</f>
        <v>0</v>
      </c>
      <c r="K20" s="1012">
        <f>transport!J14</f>
        <v>0</v>
      </c>
      <c r="L20" s="1012">
        <f>transport!K14</f>
        <v>0</v>
      </c>
      <c r="M20" s="1012">
        <f>transport!L14</f>
        <v>0</v>
      </c>
      <c r="N20" s="1012">
        <f>transport!M14</f>
        <v>4355.2686111996236</v>
      </c>
      <c r="O20" s="1012">
        <f>transport!N14</f>
        <v>0</v>
      </c>
      <c r="P20" s="1012">
        <f>transport!O14</f>
        <v>0</v>
      </c>
      <c r="Q20" s="1013">
        <f>transport!P14</f>
        <v>0</v>
      </c>
      <c r="R20" s="700">
        <f>SUM(C20:Q20)</f>
        <v>144228.7592629634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39.866288789602997</v>
      </c>
      <c r="D22" s="812">
        <f t="shared" ref="D22:R22" si="1">SUM(D18:D21)</f>
        <v>0</v>
      </c>
      <c r="E22" s="812">
        <f t="shared" si="1"/>
        <v>86.517240284343345</v>
      </c>
      <c r="F22" s="812">
        <f t="shared" si="1"/>
        <v>354.61736669690464</v>
      </c>
      <c r="G22" s="812">
        <f t="shared" si="1"/>
        <v>0</v>
      </c>
      <c r="H22" s="812">
        <f t="shared" si="1"/>
        <v>118905.02943581529</v>
      </c>
      <c r="I22" s="812">
        <f t="shared" si="1"/>
        <v>23529.443069730736</v>
      </c>
      <c r="J22" s="812">
        <f t="shared" si="1"/>
        <v>0</v>
      </c>
      <c r="K22" s="812">
        <f t="shared" si="1"/>
        <v>0</v>
      </c>
      <c r="L22" s="812">
        <f t="shared" si="1"/>
        <v>0</v>
      </c>
      <c r="M22" s="812">
        <f t="shared" si="1"/>
        <v>0</v>
      </c>
      <c r="N22" s="812">
        <f t="shared" si="1"/>
        <v>4449.6241106214411</v>
      </c>
      <c r="O22" s="812">
        <f t="shared" si="1"/>
        <v>0</v>
      </c>
      <c r="P22" s="812">
        <f t="shared" si="1"/>
        <v>0</v>
      </c>
      <c r="Q22" s="812">
        <f t="shared" si="1"/>
        <v>0</v>
      </c>
      <c r="R22" s="812">
        <f t="shared" si="1"/>
        <v>147365.09751193834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1224.079</v>
      </c>
      <c r="D24" s="1012">
        <f>+landbouw!C8</f>
        <v>20250</v>
      </c>
      <c r="E24" s="1012">
        <f>+landbouw!D8</f>
        <v>0</v>
      </c>
      <c r="F24" s="1012">
        <f>+landbouw!E8</f>
        <v>31.56429749002011</v>
      </c>
      <c r="G24" s="1012">
        <f>+landbouw!F8</f>
        <v>4474.2418595215131</v>
      </c>
      <c r="H24" s="1012">
        <f>+landbouw!G8</f>
        <v>0</v>
      </c>
      <c r="I24" s="1012">
        <f>+landbouw!H8</f>
        <v>0</v>
      </c>
      <c r="J24" s="1012">
        <f>+landbouw!I8</f>
        <v>0</v>
      </c>
      <c r="K24" s="1012">
        <f>+landbouw!J8</f>
        <v>176.2223462255954</v>
      </c>
      <c r="L24" s="1012">
        <f>+landbouw!K8</f>
        <v>0</v>
      </c>
      <c r="M24" s="1012">
        <f>+landbouw!L8</f>
        <v>0</v>
      </c>
      <c r="N24" s="1012">
        <f>+landbouw!M8</f>
        <v>0</v>
      </c>
      <c r="O24" s="1012">
        <f>+landbouw!N8</f>
        <v>0</v>
      </c>
      <c r="P24" s="1012">
        <f>+landbouw!O8</f>
        <v>0</v>
      </c>
      <c r="Q24" s="1013">
        <f>+landbouw!P8</f>
        <v>0</v>
      </c>
      <c r="R24" s="700">
        <f>SUM(C24:Q24)</f>
        <v>26156.10750323713</v>
      </c>
      <c r="S24" s="67"/>
    </row>
    <row r="25" spans="1:19" s="473" customFormat="1" ht="15" thickBot="1">
      <c r="A25" s="831" t="s">
        <v>848</v>
      </c>
      <c r="B25" s="1015"/>
      <c r="C25" s="1016">
        <f>IF(Onbekend_ele_kWh="---",0,Onbekend_ele_kWh)/1000+IF(REST_rest_ele_kWh="---",0,REST_rest_ele_kWh)/1000</f>
        <v>1241.5809999999999</v>
      </c>
      <c r="D25" s="1016"/>
      <c r="E25" s="1016">
        <f>IF(onbekend_gas_kWh="---",0,onbekend_gas_kWh)/1000+IF(REST_rest_gas_kWh="---",0,REST_rest_gas_kWh)/1000</f>
        <v>7747.0372692999999</v>
      </c>
      <c r="F25" s="1016"/>
      <c r="G25" s="1016"/>
      <c r="H25" s="1016"/>
      <c r="I25" s="1016"/>
      <c r="J25" s="1016"/>
      <c r="K25" s="1016"/>
      <c r="L25" s="1016"/>
      <c r="M25" s="1016"/>
      <c r="N25" s="1016"/>
      <c r="O25" s="1016"/>
      <c r="P25" s="1016"/>
      <c r="Q25" s="1017"/>
      <c r="R25" s="700">
        <f>SUM(C25:Q25)</f>
        <v>8988.6182692999992</v>
      </c>
      <c r="S25" s="67"/>
    </row>
    <row r="26" spans="1:19" s="473" customFormat="1" ht="15.75" thickBot="1">
      <c r="A26" s="705" t="s">
        <v>849</v>
      </c>
      <c r="B26" s="817"/>
      <c r="C26" s="812">
        <f>SUM(C24:C25)</f>
        <v>2465.66</v>
      </c>
      <c r="D26" s="812">
        <f t="shared" ref="D26:R26" si="2">SUM(D24:D25)</f>
        <v>20250</v>
      </c>
      <c r="E26" s="812">
        <f t="shared" si="2"/>
        <v>7747.0372692999999</v>
      </c>
      <c r="F26" s="812">
        <f t="shared" si="2"/>
        <v>31.56429749002011</v>
      </c>
      <c r="G26" s="812">
        <f t="shared" si="2"/>
        <v>4474.2418595215131</v>
      </c>
      <c r="H26" s="812">
        <f t="shared" si="2"/>
        <v>0</v>
      </c>
      <c r="I26" s="812">
        <f t="shared" si="2"/>
        <v>0</v>
      </c>
      <c r="J26" s="812">
        <f t="shared" si="2"/>
        <v>0</v>
      </c>
      <c r="K26" s="812">
        <f t="shared" si="2"/>
        <v>176.2223462255954</v>
      </c>
      <c r="L26" s="812">
        <f t="shared" si="2"/>
        <v>0</v>
      </c>
      <c r="M26" s="812">
        <f t="shared" si="2"/>
        <v>0</v>
      </c>
      <c r="N26" s="812">
        <f t="shared" si="2"/>
        <v>0</v>
      </c>
      <c r="O26" s="812">
        <f t="shared" si="2"/>
        <v>0</v>
      </c>
      <c r="P26" s="812">
        <f t="shared" si="2"/>
        <v>0</v>
      </c>
      <c r="Q26" s="812">
        <f t="shared" si="2"/>
        <v>0</v>
      </c>
      <c r="R26" s="812">
        <f t="shared" si="2"/>
        <v>35144.725772537131</v>
      </c>
      <c r="S26" s="67"/>
    </row>
    <row r="27" spans="1:19" s="473" customFormat="1" ht="17.25" thickTop="1" thickBot="1">
      <c r="A27" s="706" t="s">
        <v>116</v>
      </c>
      <c r="B27" s="805"/>
      <c r="C27" s="707">
        <f ca="1">C22+C16+C26</f>
        <v>115980.48759075931</v>
      </c>
      <c r="D27" s="707">
        <f t="shared" ref="D27:R27" ca="1" si="3">D22+D16+D26</f>
        <v>20285.357142857141</v>
      </c>
      <c r="E27" s="707">
        <f t="shared" ca="1" si="3"/>
        <v>140191.47833218693</v>
      </c>
      <c r="F27" s="707">
        <f t="shared" si="3"/>
        <v>11266.049125393987</v>
      </c>
      <c r="G27" s="707">
        <f t="shared" ca="1" si="3"/>
        <v>99785.460615065065</v>
      </c>
      <c r="H27" s="707">
        <f t="shared" si="3"/>
        <v>118905.02943581529</v>
      </c>
      <c r="I27" s="707">
        <f t="shared" si="3"/>
        <v>23529.443069730736</v>
      </c>
      <c r="J27" s="707">
        <f t="shared" si="3"/>
        <v>0</v>
      </c>
      <c r="K27" s="707">
        <f t="shared" si="3"/>
        <v>260.33523518525152</v>
      </c>
      <c r="L27" s="707">
        <f t="shared" si="3"/>
        <v>0</v>
      </c>
      <c r="M27" s="707">
        <f t="shared" ca="1" si="3"/>
        <v>0</v>
      </c>
      <c r="N27" s="707">
        <f t="shared" si="3"/>
        <v>4449.6241106214411</v>
      </c>
      <c r="O27" s="707">
        <f t="shared" ca="1" si="3"/>
        <v>20771.823593022793</v>
      </c>
      <c r="P27" s="707">
        <f t="shared" si="3"/>
        <v>306.41333333333336</v>
      </c>
      <c r="Q27" s="707">
        <f t="shared" si="3"/>
        <v>1086.8</v>
      </c>
      <c r="R27" s="707">
        <f t="shared" ca="1" si="3"/>
        <v>556818.30158397136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8038.3003778057127</v>
      </c>
      <c r="D40" s="1012">
        <f ca="1">tertiair!C20</f>
        <v>8.4025210084033617</v>
      </c>
      <c r="E40" s="1012">
        <f ca="1">tertiair!D20</f>
        <v>10128.589119325445</v>
      </c>
      <c r="F40" s="1012">
        <f>tertiair!E20</f>
        <v>229.51880598445308</v>
      </c>
      <c r="G40" s="1012">
        <f ca="1">tertiair!F20</f>
        <v>2896.7949024687673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21301.605726592778</v>
      </c>
    </row>
    <row r="41" spans="1:18">
      <c r="A41" s="822" t="s">
        <v>225</v>
      </c>
      <c r="B41" s="829"/>
      <c r="C41" s="1012">
        <f ca="1">huishoudens!B12</f>
        <v>6646.5683904527468</v>
      </c>
      <c r="D41" s="1012">
        <f ca="1">huishoudens!C12</f>
        <v>0</v>
      </c>
      <c r="E41" s="1012">
        <f>huishoudens!D12</f>
        <v>13855.681189981447</v>
      </c>
      <c r="F41" s="1012">
        <f>huishoudens!E12</f>
        <v>1266.297977432899</v>
      </c>
      <c r="G41" s="1012">
        <f>huishoudens!F12</f>
        <v>18185.845658954579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39954.393216821671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4201.2312284434556</v>
      </c>
      <c r="D43" s="1012">
        <f ca="1">industrie!C22</f>
        <v>0</v>
      </c>
      <c r="E43" s="1012">
        <f>industrie!D22</f>
        <v>2752.0303028588369</v>
      </c>
      <c r="F43" s="1012">
        <f>industrie!E22</f>
        <v>973.91313027665137</v>
      </c>
      <c r="G43" s="1012">
        <f>industrie!F22</f>
        <v>4365.4548463067831</v>
      </c>
      <c r="H43" s="1012">
        <f>industrie!G22</f>
        <v>0</v>
      </c>
      <c r="I43" s="1012">
        <f>industrie!H22</f>
        <v>0</v>
      </c>
      <c r="J43" s="1012">
        <f>industrie!I22</f>
        <v>0</v>
      </c>
      <c r="K43" s="1012">
        <f>industrie!J22</f>
        <v>29.775962691718259</v>
      </c>
      <c r="L43" s="1012">
        <f>industrie!K22</f>
        <v>0</v>
      </c>
      <c r="M43" s="1012">
        <f>industrie!L22</f>
        <v>0</v>
      </c>
      <c r="N43" s="1012">
        <f>industrie!M22</f>
        <v>0</v>
      </c>
      <c r="O43" s="1012">
        <f>industrie!N22</f>
        <v>0</v>
      </c>
      <c r="P43" s="1012">
        <f>industrie!O22</f>
        <v>0</v>
      </c>
      <c r="Q43" s="774">
        <f>industrie!P22</f>
        <v>0</v>
      </c>
      <c r="R43" s="849">
        <f t="shared" ca="1" si="4"/>
        <v>12322.405470577443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18886.099996701916</v>
      </c>
      <c r="D46" s="732">
        <f t="shared" ref="D46:Q46" ca="1" si="5">SUM(D39:D45)</f>
        <v>8.4025210084033617</v>
      </c>
      <c r="E46" s="732">
        <f t="shared" ca="1" si="5"/>
        <v>26736.300612165731</v>
      </c>
      <c r="F46" s="732">
        <f t="shared" si="5"/>
        <v>2469.7299136940037</v>
      </c>
      <c r="G46" s="732">
        <f t="shared" ca="1" si="5"/>
        <v>25448.095407730128</v>
      </c>
      <c r="H46" s="732">
        <f t="shared" si="5"/>
        <v>0</v>
      </c>
      <c r="I46" s="732">
        <f t="shared" si="5"/>
        <v>0</v>
      </c>
      <c r="J46" s="732">
        <f t="shared" si="5"/>
        <v>0</v>
      </c>
      <c r="K46" s="732">
        <f t="shared" si="5"/>
        <v>29.775962691718259</v>
      </c>
      <c r="L46" s="732">
        <f t="shared" si="5"/>
        <v>0</v>
      </c>
      <c r="M46" s="732">
        <f t="shared" ca="1" si="5"/>
        <v>0</v>
      </c>
      <c r="N46" s="732">
        <f t="shared" si="5"/>
        <v>0</v>
      </c>
      <c r="O46" s="732">
        <f t="shared" ca="1" si="5"/>
        <v>0</v>
      </c>
      <c r="P46" s="732">
        <f t="shared" si="5"/>
        <v>0</v>
      </c>
      <c r="Q46" s="732">
        <f t="shared" si="5"/>
        <v>0</v>
      </c>
      <c r="R46" s="732">
        <f ca="1">SUM(R39:R45)</f>
        <v>73578.404413991899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812.20939413068129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812.20939413068129</v>
      </c>
    </row>
    <row r="50" spans="1:18">
      <c r="A50" s="825" t="s">
        <v>307</v>
      </c>
      <c r="B50" s="835"/>
      <c r="C50" s="703">
        <f ca="1">transport!B18</f>
        <v>6.6351088199469563</v>
      </c>
      <c r="D50" s="703">
        <f>transport!C18</f>
        <v>0</v>
      </c>
      <c r="E50" s="703">
        <f>transport!D18</f>
        <v>17.476482537437356</v>
      </c>
      <c r="F50" s="703">
        <f>transport!E18</f>
        <v>80.498142240197353</v>
      </c>
      <c r="G50" s="703">
        <f>transport!F18</f>
        <v>0</v>
      </c>
      <c r="H50" s="703">
        <f>transport!G18</f>
        <v>30935.433465232003</v>
      </c>
      <c r="I50" s="703">
        <f>transport!H18</f>
        <v>5858.8313243629536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36898.874523192542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6.6351088199469563</v>
      </c>
      <c r="D52" s="732">
        <f t="shared" ref="D52:Q52" ca="1" si="6">SUM(D48:D51)</f>
        <v>0</v>
      </c>
      <c r="E52" s="732">
        <f t="shared" si="6"/>
        <v>17.476482537437356</v>
      </c>
      <c r="F52" s="732">
        <f t="shared" si="6"/>
        <v>80.498142240197353</v>
      </c>
      <c r="G52" s="732">
        <f t="shared" si="6"/>
        <v>0</v>
      </c>
      <c r="H52" s="732">
        <f t="shared" si="6"/>
        <v>31747.642859362684</v>
      </c>
      <c r="I52" s="732">
        <f t="shared" si="6"/>
        <v>5858.8313243629536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37711.083917323223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203.72845368365503</v>
      </c>
      <c r="D54" s="703">
        <f ca="1">+landbouw!C12</f>
        <v>4812.3529411764703</v>
      </c>
      <c r="E54" s="703">
        <f>+landbouw!D12</f>
        <v>0</v>
      </c>
      <c r="F54" s="703">
        <f>+landbouw!E12</f>
        <v>7.1650955302345647</v>
      </c>
      <c r="G54" s="703">
        <f>+landbouw!F12</f>
        <v>1194.622576492244</v>
      </c>
      <c r="H54" s="703">
        <f>+landbouw!G12</f>
        <v>0</v>
      </c>
      <c r="I54" s="703">
        <f>+landbouw!H12</f>
        <v>0</v>
      </c>
      <c r="J54" s="703">
        <f>+landbouw!I12</f>
        <v>0</v>
      </c>
      <c r="K54" s="703">
        <f>+landbouw!J12</f>
        <v>62.382710563860769</v>
      </c>
      <c r="L54" s="703">
        <f>+landbouw!K12</f>
        <v>0</v>
      </c>
      <c r="M54" s="703">
        <f>+landbouw!L12</f>
        <v>0</v>
      </c>
      <c r="N54" s="703">
        <f>+landbouw!M12</f>
        <v>0</v>
      </c>
      <c r="O54" s="703">
        <f>+landbouw!N12</f>
        <v>0</v>
      </c>
      <c r="P54" s="703">
        <f>+landbouw!O12</f>
        <v>0</v>
      </c>
      <c r="Q54" s="704">
        <f>+landbouw!P12</f>
        <v>0</v>
      </c>
      <c r="R54" s="731">
        <f ca="1">SUM(C54:Q54)</f>
        <v>6280.251777446465</v>
      </c>
    </row>
    <row r="55" spans="1:18" ht="15" thickBot="1">
      <c r="A55" s="825" t="s">
        <v>848</v>
      </c>
      <c r="B55" s="835"/>
      <c r="C55" s="703">
        <f ca="1">C25*'EF ele_warmte'!B12</f>
        <v>206.64138282987136</v>
      </c>
      <c r="D55" s="703"/>
      <c r="E55" s="703">
        <f>E25*EF_CO2_aardgas</f>
        <v>1564.9015283986</v>
      </c>
      <c r="F55" s="703"/>
      <c r="G55" s="703"/>
      <c r="H55" s="703"/>
      <c r="I55" s="703"/>
      <c r="J55" s="703"/>
      <c r="K55" s="703"/>
      <c r="L55" s="703"/>
      <c r="M55" s="703"/>
      <c r="N55" s="703"/>
      <c r="O55" s="703"/>
      <c r="P55" s="703"/>
      <c r="Q55" s="704"/>
      <c r="R55" s="731">
        <f ca="1">SUM(C55:Q55)</f>
        <v>1771.5429112284714</v>
      </c>
    </row>
    <row r="56" spans="1:18" ht="15.75" thickBot="1">
      <c r="A56" s="823" t="s">
        <v>849</v>
      </c>
      <c r="B56" s="836"/>
      <c r="C56" s="732">
        <f ca="1">SUM(C54:C55)</f>
        <v>410.36983651352637</v>
      </c>
      <c r="D56" s="732">
        <f t="shared" ref="D56:Q56" ca="1" si="7">SUM(D54:D55)</f>
        <v>4812.3529411764703</v>
      </c>
      <c r="E56" s="732">
        <f t="shared" si="7"/>
        <v>1564.9015283986</v>
      </c>
      <c r="F56" s="732">
        <f t="shared" si="7"/>
        <v>7.1650955302345647</v>
      </c>
      <c r="G56" s="732">
        <f t="shared" si="7"/>
        <v>1194.622576492244</v>
      </c>
      <c r="H56" s="732">
        <f t="shared" si="7"/>
        <v>0</v>
      </c>
      <c r="I56" s="732">
        <f t="shared" si="7"/>
        <v>0</v>
      </c>
      <c r="J56" s="732">
        <f t="shared" si="7"/>
        <v>0</v>
      </c>
      <c r="K56" s="732">
        <f t="shared" si="7"/>
        <v>62.382710563860769</v>
      </c>
      <c r="L56" s="732">
        <f t="shared" si="7"/>
        <v>0</v>
      </c>
      <c r="M56" s="732">
        <f t="shared" si="7"/>
        <v>0</v>
      </c>
      <c r="N56" s="732">
        <f t="shared" si="7"/>
        <v>0</v>
      </c>
      <c r="O56" s="732">
        <f t="shared" si="7"/>
        <v>0</v>
      </c>
      <c r="P56" s="732">
        <f t="shared" si="7"/>
        <v>0</v>
      </c>
      <c r="Q56" s="733">
        <f t="shared" si="7"/>
        <v>0</v>
      </c>
      <c r="R56" s="734">
        <f ca="1">SUM(R54:R55)</f>
        <v>8051.794688674936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19303.104942035392</v>
      </c>
      <c r="D61" s="740">
        <f t="shared" ref="D61:Q61" ca="1" si="8">D46+D52+D56</f>
        <v>4820.755462184874</v>
      </c>
      <c r="E61" s="740">
        <f t="shared" ca="1" si="8"/>
        <v>28318.678623101769</v>
      </c>
      <c r="F61" s="740">
        <f t="shared" si="8"/>
        <v>2557.3931514644355</v>
      </c>
      <c r="G61" s="740">
        <f t="shared" ca="1" si="8"/>
        <v>26642.717984222374</v>
      </c>
      <c r="H61" s="740">
        <f t="shared" si="8"/>
        <v>31747.642859362684</v>
      </c>
      <c r="I61" s="740">
        <f t="shared" si="8"/>
        <v>5858.8313243629536</v>
      </c>
      <c r="J61" s="740">
        <f t="shared" si="8"/>
        <v>0</v>
      </c>
      <c r="K61" s="740">
        <f t="shared" si="8"/>
        <v>92.158673255579032</v>
      </c>
      <c r="L61" s="740">
        <f t="shared" si="8"/>
        <v>0</v>
      </c>
      <c r="M61" s="740">
        <f t="shared" ca="1" si="8"/>
        <v>0</v>
      </c>
      <c r="N61" s="740">
        <f t="shared" si="8"/>
        <v>0</v>
      </c>
      <c r="O61" s="740">
        <f t="shared" ca="1" si="8"/>
        <v>0</v>
      </c>
      <c r="P61" s="740">
        <f t="shared" si="8"/>
        <v>0</v>
      </c>
      <c r="Q61" s="740">
        <f t="shared" si="8"/>
        <v>0</v>
      </c>
      <c r="R61" s="740">
        <f ca="1">R46+R52+R56</f>
        <v>119341.28301999006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0.1664340730325862</v>
      </c>
      <c r="D63" s="781">
        <f t="shared" ca="1" si="9"/>
        <v>0.23764705882352943</v>
      </c>
      <c r="E63" s="1023">
        <f t="shared" ca="1" si="9"/>
        <v>0.20200000000000007</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16227.431914205365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13478.300615440934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14199.75</v>
      </c>
      <c r="D76" s="1033">
        <f>'lokale energieproductie'!C8</f>
        <v>16705.588235294115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3374.5288235294115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29705.732529646299</v>
      </c>
      <c r="C78" s="755">
        <f>SUM(C72:C77)</f>
        <v>14199.75</v>
      </c>
      <c r="D78" s="756">
        <f t="shared" ref="D78:H78" si="10">SUM(D76:D77)</f>
        <v>16705.588235294115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3374.5288235294115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20285.357142857141</v>
      </c>
      <c r="D87" s="777">
        <f>'lokale energieproductie'!C17</f>
        <v>23865.126050420164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4820.7554621848731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20285.357142857141</v>
      </c>
      <c r="D90" s="755">
        <f t="shared" ref="D90:H90" si="12">SUM(D87:D89)</f>
        <v>23865.126050420164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4820.7554621848731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16227.431914205365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13478.300615440934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14199.75</v>
      </c>
      <c r="C8" s="570">
        <f>B101</f>
        <v>16705.588235294115</v>
      </c>
      <c r="D8" s="1043"/>
      <c r="E8" s="1043">
        <f>E101</f>
        <v>0</v>
      </c>
      <c r="F8" s="1044"/>
      <c r="G8" s="571"/>
      <c r="H8" s="1043">
        <f>I101</f>
        <v>0</v>
      </c>
      <c r="I8" s="1043">
        <f>G101+F101</f>
        <v>0</v>
      </c>
      <c r="J8" s="1043">
        <f>H101+D101+C101</f>
        <v>0</v>
      </c>
      <c r="K8" s="1043"/>
      <c r="L8" s="1043"/>
      <c r="M8" s="1043"/>
      <c r="N8" s="572"/>
      <c r="O8" s="573">
        <f>C8*$C$12+D8*$D$12+E8*$E$12+F8*$F$12+G8*$G$12+H8*$H$12+I8*$I$12+J8*$J$12</f>
        <v>3374.5288235294115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43905.482529646295</v>
      </c>
      <c r="C10" s="583">
        <f t="shared" ref="C10:L10" si="0">SUM(C8:C9)</f>
        <v>16705.588235294115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3374.5288235294115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20285.357142857141</v>
      </c>
      <c r="C17" s="595">
        <f>B102</f>
        <v>23865.126050420164</v>
      </c>
      <c r="D17" s="596"/>
      <c r="E17" s="596">
        <f>E102</f>
        <v>0</v>
      </c>
      <c r="F17" s="1049"/>
      <c r="G17" s="597"/>
      <c r="H17" s="595">
        <f>I102</f>
        <v>0</v>
      </c>
      <c r="I17" s="596">
        <f>G102+F102</f>
        <v>0</v>
      </c>
      <c r="J17" s="596">
        <f>H102+D102+C102</f>
        <v>0</v>
      </c>
      <c r="K17" s="596"/>
      <c r="L17" s="596"/>
      <c r="M17" s="596"/>
      <c r="N17" s="1050"/>
      <c r="O17" s="598">
        <f>C17*$C$22+E17*$E$22+H17*$H$22+I17*$I$22+J17*$J$22+D17*$D$22+F17*$F$22+G17*$G$22+K17*$K$22+L17*$L$22</f>
        <v>4820.7554621848731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20285.357142857141</v>
      </c>
      <c r="C20" s="582">
        <f>SUM(C17:C19)</f>
        <v>23865.126050420164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4820.7554621848731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24020</v>
      </c>
      <c r="C28" s="796">
        <v>3290</v>
      </c>
      <c r="D28" s="653" t="s">
        <v>890</v>
      </c>
      <c r="E28" s="652" t="s">
        <v>891</v>
      </c>
      <c r="F28" s="652" t="s">
        <v>892</v>
      </c>
      <c r="G28" s="652" t="s">
        <v>893</v>
      </c>
      <c r="H28" s="652" t="s">
        <v>894</v>
      </c>
      <c r="I28" s="652" t="s">
        <v>895</v>
      </c>
      <c r="J28" s="795">
        <v>37839</v>
      </c>
      <c r="K28" s="795">
        <v>38687</v>
      </c>
      <c r="L28" s="652" t="s">
        <v>896</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25.5">
      <c r="A29" s="605"/>
      <c r="B29" s="796">
        <v>24020</v>
      </c>
      <c r="C29" s="796">
        <v>3294</v>
      </c>
      <c r="D29" s="653" t="s">
        <v>897</v>
      </c>
      <c r="E29" s="652" t="s">
        <v>898</v>
      </c>
      <c r="F29" s="652" t="s">
        <v>899</v>
      </c>
      <c r="G29" s="652" t="s">
        <v>893</v>
      </c>
      <c r="H29" s="652" t="s">
        <v>894</v>
      </c>
      <c r="I29" s="652" t="s">
        <v>898</v>
      </c>
      <c r="J29" s="795">
        <v>40165</v>
      </c>
      <c r="K29" s="795">
        <v>39211</v>
      </c>
      <c r="L29" s="652" t="s">
        <v>896</v>
      </c>
      <c r="M29" s="652">
        <v>3150</v>
      </c>
      <c r="N29" s="652">
        <v>14175</v>
      </c>
      <c r="O29" s="652">
        <v>20250</v>
      </c>
      <c r="P29" s="652">
        <v>40500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3155.5</v>
      </c>
      <c r="N58" s="610">
        <f>SUM(N28:N57)</f>
        <v>14199.75</v>
      </c>
      <c r="O58" s="610">
        <f t="shared" ref="O58:W58" si="2">SUM(O28:O57)</f>
        <v>20285.357142857141</v>
      </c>
      <c r="P58" s="610">
        <f t="shared" si="2"/>
        <v>40570.714285714283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3150</v>
      </c>
      <c r="N61" s="615">
        <f t="shared" si="4"/>
        <v>14175</v>
      </c>
      <c r="O61" s="615">
        <f t="shared" si="4"/>
        <v>20250</v>
      </c>
      <c r="P61" s="615">
        <f t="shared" si="4"/>
        <v>40500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16705.588235294115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23865.126050420164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39935.142301969703</v>
      </c>
      <c r="C4" s="477">
        <f>huishoudens!C8</f>
        <v>0</v>
      </c>
      <c r="D4" s="477">
        <f>huishoudens!D8</f>
        <v>68592.481138522009</v>
      </c>
      <c r="E4" s="477">
        <f>huishoudens!E8</f>
        <v>5578.4051869290697</v>
      </c>
      <c r="F4" s="477">
        <f>huishoudens!F8</f>
        <v>68111.7814942119</v>
      </c>
      <c r="G4" s="477">
        <f>huishoudens!G8</f>
        <v>0</v>
      </c>
      <c r="H4" s="477">
        <f>huishoudens!H8</f>
        <v>0</v>
      </c>
      <c r="I4" s="477">
        <f>huishoudens!I8</f>
        <v>0</v>
      </c>
      <c r="J4" s="477">
        <f>huishoudens!J8</f>
        <v>0</v>
      </c>
      <c r="K4" s="477">
        <f>huishoudens!K8</f>
        <v>0</v>
      </c>
      <c r="L4" s="477">
        <f>huishoudens!L8</f>
        <v>0</v>
      </c>
      <c r="M4" s="477">
        <f>huishoudens!M8</f>
        <v>0</v>
      </c>
      <c r="N4" s="477">
        <f>huishoudens!N8</f>
        <v>9692.2119010835104</v>
      </c>
      <c r="O4" s="477">
        <f>huishoudens!O8</f>
        <v>303.28666666666669</v>
      </c>
      <c r="P4" s="478">
        <f>huishoudens!P8</f>
        <v>1067.7333333333333</v>
      </c>
      <c r="Q4" s="479">
        <f>SUM(B4:P4)</f>
        <v>193281.04202271617</v>
      </c>
    </row>
    <row r="5" spans="1:17">
      <c r="A5" s="476" t="s">
        <v>156</v>
      </c>
      <c r="B5" s="477">
        <f ca="1">tertiair!B16</f>
        <v>46282.366999999998</v>
      </c>
      <c r="C5" s="477">
        <f ca="1">tertiair!C16</f>
        <v>35.357142857142861</v>
      </c>
      <c r="D5" s="477">
        <f ca="1">tertiair!D16</f>
        <v>50141.530293690317</v>
      </c>
      <c r="E5" s="477">
        <f>tertiair!E16</f>
        <v>1011.0960616055202</v>
      </c>
      <c r="F5" s="477">
        <f ca="1">tertiair!F16</f>
        <v>10849.419110369914</v>
      </c>
      <c r="G5" s="477">
        <f>tertiair!G16</f>
        <v>0</v>
      </c>
      <c r="H5" s="477">
        <f>tertiair!H16</f>
        <v>0</v>
      </c>
      <c r="I5" s="477">
        <f>tertiair!I16</f>
        <v>0</v>
      </c>
      <c r="J5" s="477">
        <f>tertiair!J16</f>
        <v>0</v>
      </c>
      <c r="K5" s="477">
        <f>tertiair!K16</f>
        <v>0</v>
      </c>
      <c r="L5" s="477">
        <f ca="1">tertiair!L16</f>
        <v>0</v>
      </c>
      <c r="M5" s="477">
        <f>tertiair!M16</f>
        <v>0</v>
      </c>
      <c r="N5" s="477">
        <f ca="1">tertiair!N16</f>
        <v>2481.857426811559</v>
      </c>
      <c r="O5" s="477">
        <f>tertiair!O16</f>
        <v>3.1266666666666669</v>
      </c>
      <c r="P5" s="478">
        <f>tertiair!P16</f>
        <v>19.066666666666666</v>
      </c>
      <c r="Q5" s="476">
        <f t="shared" ref="Q5:Q14" ca="1" si="0">SUM(B5:P5)</f>
        <v>110823.82036866779</v>
      </c>
    </row>
    <row r="6" spans="1:17">
      <c r="A6" s="476" t="s">
        <v>194</v>
      </c>
      <c r="B6" s="477">
        <f>'openbare verlichting'!B8</f>
        <v>2014.837</v>
      </c>
      <c r="C6" s="477"/>
      <c r="D6" s="477"/>
      <c r="E6" s="477"/>
      <c r="F6" s="477"/>
      <c r="G6" s="477"/>
      <c r="H6" s="477"/>
      <c r="I6" s="477"/>
      <c r="J6" s="477"/>
      <c r="K6" s="477"/>
      <c r="L6" s="477"/>
      <c r="M6" s="477"/>
      <c r="N6" s="477"/>
      <c r="O6" s="477"/>
      <c r="P6" s="478"/>
      <c r="Q6" s="476">
        <f t="shared" si="0"/>
        <v>2014.837</v>
      </c>
    </row>
    <row r="7" spans="1:17">
      <c r="A7" s="476" t="s">
        <v>112</v>
      </c>
      <c r="B7" s="477">
        <f>landbouw!B8</f>
        <v>1224.079</v>
      </c>
      <c r="C7" s="477">
        <f>landbouw!C8</f>
        <v>20250</v>
      </c>
      <c r="D7" s="477">
        <f>landbouw!D8</f>
        <v>0</v>
      </c>
      <c r="E7" s="477">
        <f>landbouw!E8</f>
        <v>31.56429749002011</v>
      </c>
      <c r="F7" s="477">
        <f>landbouw!F8</f>
        <v>4474.2418595215131</v>
      </c>
      <c r="G7" s="477">
        <f>landbouw!G8</f>
        <v>0</v>
      </c>
      <c r="H7" s="477">
        <f>landbouw!H8</f>
        <v>0</v>
      </c>
      <c r="I7" s="477">
        <f>landbouw!I8</f>
        <v>0</v>
      </c>
      <c r="J7" s="477">
        <f>landbouw!J8</f>
        <v>176.2223462255954</v>
      </c>
      <c r="K7" s="477">
        <f>landbouw!K8</f>
        <v>0</v>
      </c>
      <c r="L7" s="477">
        <f>landbouw!L8</f>
        <v>0</v>
      </c>
      <c r="M7" s="477">
        <f>landbouw!M8</f>
        <v>0</v>
      </c>
      <c r="N7" s="477">
        <f>landbouw!N8</f>
        <v>0</v>
      </c>
      <c r="O7" s="477">
        <f>landbouw!O8</f>
        <v>0</v>
      </c>
      <c r="P7" s="478">
        <f>landbouw!P8</f>
        <v>0</v>
      </c>
      <c r="Q7" s="476">
        <f t="shared" si="0"/>
        <v>26156.10750323713</v>
      </c>
    </row>
    <row r="8" spans="1:17">
      <c r="A8" s="476" t="s">
        <v>638</v>
      </c>
      <c r="B8" s="477">
        <f>industrie!B18</f>
        <v>25242.615000000002</v>
      </c>
      <c r="C8" s="477">
        <f>industrie!C18</f>
        <v>0</v>
      </c>
      <c r="D8" s="477">
        <f>industrie!D18</f>
        <v>13623.91239039028</v>
      </c>
      <c r="E8" s="477">
        <f>industrie!E18</f>
        <v>4290.366212672473</v>
      </c>
      <c r="F8" s="477">
        <f>industrie!F18</f>
        <v>16350.018150961732</v>
      </c>
      <c r="G8" s="477">
        <f>industrie!G18</f>
        <v>0</v>
      </c>
      <c r="H8" s="477">
        <f>industrie!H18</f>
        <v>0</v>
      </c>
      <c r="I8" s="477">
        <f>industrie!I18</f>
        <v>0</v>
      </c>
      <c r="J8" s="477">
        <f>industrie!J18</f>
        <v>84.112888959656104</v>
      </c>
      <c r="K8" s="477">
        <f>industrie!K18</f>
        <v>0</v>
      </c>
      <c r="L8" s="477">
        <f>industrie!L18</f>
        <v>0</v>
      </c>
      <c r="M8" s="477">
        <f>industrie!M18</f>
        <v>0</v>
      </c>
      <c r="N8" s="477">
        <f>industrie!N18</f>
        <v>8597.7542651277236</v>
      </c>
      <c r="O8" s="477">
        <f>industrie!O18</f>
        <v>0</v>
      </c>
      <c r="P8" s="478">
        <f>industrie!P18</f>
        <v>0</v>
      </c>
      <c r="Q8" s="476">
        <f t="shared" si="0"/>
        <v>68188.778908111868</v>
      </c>
    </row>
    <row r="9" spans="1:17" s="482" customFormat="1">
      <c r="A9" s="480" t="s">
        <v>564</v>
      </c>
      <c r="B9" s="481">
        <f>transport!B14</f>
        <v>39.866288789602997</v>
      </c>
      <c r="C9" s="481">
        <f>transport!C14</f>
        <v>0</v>
      </c>
      <c r="D9" s="481">
        <f>transport!D14</f>
        <v>86.517240284343345</v>
      </c>
      <c r="E9" s="481">
        <f>transport!E14</f>
        <v>354.61736669690464</v>
      </c>
      <c r="F9" s="481">
        <f>transport!F14</f>
        <v>0</v>
      </c>
      <c r="G9" s="481">
        <f>transport!G14</f>
        <v>115863.04668626218</v>
      </c>
      <c r="H9" s="481">
        <f>transport!H14</f>
        <v>23529.443069730736</v>
      </c>
      <c r="I9" s="481">
        <f>transport!I14</f>
        <v>0</v>
      </c>
      <c r="J9" s="481">
        <f>transport!J14</f>
        <v>0</v>
      </c>
      <c r="K9" s="481">
        <f>transport!K14</f>
        <v>0</v>
      </c>
      <c r="L9" s="481">
        <f>transport!L14</f>
        <v>0</v>
      </c>
      <c r="M9" s="481">
        <f>transport!M14</f>
        <v>4355.2686111996236</v>
      </c>
      <c r="N9" s="481">
        <f>transport!N14</f>
        <v>0</v>
      </c>
      <c r="O9" s="481">
        <f>transport!O14</f>
        <v>0</v>
      </c>
      <c r="P9" s="481">
        <f>transport!P14</f>
        <v>0</v>
      </c>
      <c r="Q9" s="480">
        <f>SUM(B9:P9)</f>
        <v>144228.7592629634</v>
      </c>
    </row>
    <row r="10" spans="1:17">
      <c r="A10" s="476" t="s">
        <v>554</v>
      </c>
      <c r="B10" s="477">
        <f>transport!B54</f>
        <v>0</v>
      </c>
      <c r="C10" s="477">
        <f>transport!C54</f>
        <v>0</v>
      </c>
      <c r="D10" s="477">
        <f>transport!D54</f>
        <v>0</v>
      </c>
      <c r="E10" s="477">
        <f>transport!E54</f>
        <v>0</v>
      </c>
      <c r="F10" s="477">
        <f>transport!F54</f>
        <v>0</v>
      </c>
      <c r="G10" s="477">
        <f>transport!G54</f>
        <v>3041.9827495531131</v>
      </c>
      <c r="H10" s="477">
        <f>transport!H54</f>
        <v>0</v>
      </c>
      <c r="I10" s="477">
        <f>transport!I54</f>
        <v>0</v>
      </c>
      <c r="J10" s="477">
        <f>transport!J54</f>
        <v>0</v>
      </c>
      <c r="K10" s="477">
        <f>transport!K54</f>
        <v>0</v>
      </c>
      <c r="L10" s="477">
        <f>transport!L54</f>
        <v>0</v>
      </c>
      <c r="M10" s="477">
        <f>transport!M54</f>
        <v>94.355499421817868</v>
      </c>
      <c r="N10" s="477">
        <f>transport!N54</f>
        <v>0</v>
      </c>
      <c r="O10" s="477">
        <f>transport!O54</f>
        <v>0</v>
      </c>
      <c r="P10" s="478">
        <f>transport!P54</f>
        <v>0</v>
      </c>
      <c r="Q10" s="476">
        <f t="shared" si="0"/>
        <v>3136.338248974931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1241.5809999999999</v>
      </c>
      <c r="C14" s="484"/>
      <c r="D14" s="484">
        <f>'SEAP template'!E25</f>
        <v>7747.0372692999999</v>
      </c>
      <c r="E14" s="484"/>
      <c r="F14" s="484"/>
      <c r="G14" s="484"/>
      <c r="H14" s="484"/>
      <c r="I14" s="484"/>
      <c r="J14" s="484"/>
      <c r="K14" s="484"/>
      <c r="L14" s="484"/>
      <c r="M14" s="484"/>
      <c r="N14" s="484"/>
      <c r="O14" s="484"/>
      <c r="P14" s="485"/>
      <c r="Q14" s="476">
        <f t="shared" si="0"/>
        <v>8988.6182692999992</v>
      </c>
    </row>
    <row r="15" spans="1:17" s="486" customFormat="1">
      <c r="A15" s="1038" t="s">
        <v>558</v>
      </c>
      <c r="B15" s="978">
        <f ca="1">SUM(B4:B14)</f>
        <v>115980.48759075931</v>
      </c>
      <c r="C15" s="978">
        <f t="shared" ref="C15:Q15" ca="1" si="1">SUM(C4:C14)</f>
        <v>20285.357142857141</v>
      </c>
      <c r="D15" s="978">
        <f t="shared" ca="1" si="1"/>
        <v>140191.47833218693</v>
      </c>
      <c r="E15" s="978">
        <f t="shared" si="1"/>
        <v>11266.049125393987</v>
      </c>
      <c r="F15" s="978">
        <f t="shared" ca="1" si="1"/>
        <v>99785.460615065065</v>
      </c>
      <c r="G15" s="978">
        <f t="shared" si="1"/>
        <v>118905.02943581529</v>
      </c>
      <c r="H15" s="978">
        <f t="shared" si="1"/>
        <v>23529.443069730736</v>
      </c>
      <c r="I15" s="978">
        <f t="shared" si="1"/>
        <v>0</v>
      </c>
      <c r="J15" s="978">
        <f t="shared" si="1"/>
        <v>260.33523518525152</v>
      </c>
      <c r="K15" s="978">
        <f t="shared" si="1"/>
        <v>0</v>
      </c>
      <c r="L15" s="978">
        <f t="shared" ca="1" si="1"/>
        <v>0</v>
      </c>
      <c r="M15" s="978">
        <f t="shared" si="1"/>
        <v>4449.6241106214411</v>
      </c>
      <c r="N15" s="978">
        <f t="shared" ca="1" si="1"/>
        <v>20771.823593022793</v>
      </c>
      <c r="O15" s="978">
        <f t="shared" si="1"/>
        <v>306.41333333333336</v>
      </c>
      <c r="P15" s="978">
        <f t="shared" si="1"/>
        <v>1086.8</v>
      </c>
      <c r="Q15" s="978">
        <f t="shared" ca="1" si="1"/>
        <v>556818.30158397125</v>
      </c>
    </row>
    <row r="17" spans="1:17">
      <c r="A17" s="487" t="s">
        <v>559</v>
      </c>
      <c r="B17" s="786">
        <f ca="1">huishoudens!B10</f>
        <v>0.16643407303258617</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6646.5683904527468</v>
      </c>
      <c r="C22" s="477">
        <f t="shared" ref="C22:C32" ca="1" si="3">C4*$C$17</f>
        <v>0</v>
      </c>
      <c r="D22" s="477">
        <f t="shared" ref="D22:D32" si="4">D4*$D$17</f>
        <v>13855.681189981447</v>
      </c>
      <c r="E22" s="477">
        <f t="shared" ref="E22:E32" si="5">E4*$E$17</f>
        <v>1266.297977432899</v>
      </c>
      <c r="F22" s="477">
        <f t="shared" ref="F22:F32" si="6">F4*$F$17</f>
        <v>18185.845658954579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39954.393216821671</v>
      </c>
    </row>
    <row r="23" spans="1:17">
      <c r="A23" s="476" t="s">
        <v>156</v>
      </c>
      <c r="B23" s="477">
        <f t="shared" ca="1" si="2"/>
        <v>7702.9628493989558</v>
      </c>
      <c r="C23" s="477">
        <f t="shared" ca="1" si="3"/>
        <v>8.4025210084033617</v>
      </c>
      <c r="D23" s="477">
        <f t="shared" ca="1" si="4"/>
        <v>10128.589119325445</v>
      </c>
      <c r="E23" s="477">
        <f t="shared" si="5"/>
        <v>229.51880598445308</v>
      </c>
      <c r="F23" s="477">
        <f t="shared" ca="1" si="6"/>
        <v>2896.7949024687673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20966.268198186022</v>
      </c>
    </row>
    <row r="24" spans="1:17">
      <c r="A24" s="476" t="s">
        <v>194</v>
      </c>
      <c r="B24" s="477">
        <f t="shared" ca="1" si="2"/>
        <v>335.3375284067568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335.3375284067568</v>
      </c>
    </row>
    <row r="25" spans="1:17">
      <c r="A25" s="476" t="s">
        <v>112</v>
      </c>
      <c r="B25" s="477">
        <f t="shared" ca="1" si="2"/>
        <v>203.72845368365503</v>
      </c>
      <c r="C25" s="477">
        <f t="shared" ca="1" si="3"/>
        <v>4812.3529411764703</v>
      </c>
      <c r="D25" s="477">
        <f t="shared" si="4"/>
        <v>0</v>
      </c>
      <c r="E25" s="477">
        <f t="shared" si="5"/>
        <v>7.1650955302345647</v>
      </c>
      <c r="F25" s="477">
        <f t="shared" si="6"/>
        <v>1194.622576492244</v>
      </c>
      <c r="G25" s="477">
        <f t="shared" si="7"/>
        <v>0</v>
      </c>
      <c r="H25" s="477">
        <f t="shared" si="8"/>
        <v>0</v>
      </c>
      <c r="I25" s="477">
        <f t="shared" si="9"/>
        <v>0</v>
      </c>
      <c r="J25" s="477">
        <f t="shared" si="10"/>
        <v>62.382710563860769</v>
      </c>
      <c r="K25" s="477">
        <f t="shared" si="11"/>
        <v>0</v>
      </c>
      <c r="L25" s="477">
        <f t="shared" si="12"/>
        <v>0</v>
      </c>
      <c r="M25" s="477">
        <f t="shared" si="13"/>
        <v>0</v>
      </c>
      <c r="N25" s="477">
        <f t="shared" si="14"/>
        <v>0</v>
      </c>
      <c r="O25" s="477">
        <f t="shared" si="15"/>
        <v>0</v>
      </c>
      <c r="P25" s="478">
        <f t="shared" si="16"/>
        <v>0</v>
      </c>
      <c r="Q25" s="476">
        <f t="shared" ca="1" si="17"/>
        <v>6280.251777446465</v>
      </c>
    </row>
    <row r="26" spans="1:17">
      <c r="A26" s="476" t="s">
        <v>638</v>
      </c>
      <c r="B26" s="477">
        <f t="shared" ca="1" si="2"/>
        <v>4201.2312284434556</v>
      </c>
      <c r="C26" s="477">
        <f t="shared" ca="1" si="3"/>
        <v>0</v>
      </c>
      <c r="D26" s="477">
        <f t="shared" si="4"/>
        <v>2752.0303028588369</v>
      </c>
      <c r="E26" s="477">
        <f t="shared" si="5"/>
        <v>973.91313027665137</v>
      </c>
      <c r="F26" s="477">
        <f t="shared" si="6"/>
        <v>4365.4548463067831</v>
      </c>
      <c r="G26" s="477">
        <f t="shared" si="7"/>
        <v>0</v>
      </c>
      <c r="H26" s="477">
        <f t="shared" si="8"/>
        <v>0</v>
      </c>
      <c r="I26" s="477">
        <f t="shared" si="9"/>
        <v>0</v>
      </c>
      <c r="J26" s="477">
        <f t="shared" si="10"/>
        <v>29.775962691718259</v>
      </c>
      <c r="K26" s="477">
        <f t="shared" si="11"/>
        <v>0</v>
      </c>
      <c r="L26" s="477">
        <f t="shared" si="12"/>
        <v>0</v>
      </c>
      <c r="M26" s="477">
        <f t="shared" si="13"/>
        <v>0</v>
      </c>
      <c r="N26" s="477">
        <f t="shared" si="14"/>
        <v>0</v>
      </c>
      <c r="O26" s="477">
        <f t="shared" si="15"/>
        <v>0</v>
      </c>
      <c r="P26" s="478">
        <f t="shared" si="16"/>
        <v>0</v>
      </c>
      <c r="Q26" s="476">
        <f t="shared" ca="1" si="17"/>
        <v>12322.405470577443</v>
      </c>
    </row>
    <row r="27" spans="1:17" s="482" customFormat="1">
      <c r="A27" s="480" t="s">
        <v>564</v>
      </c>
      <c r="B27" s="780">
        <f t="shared" ca="1" si="2"/>
        <v>6.6351088199469563</v>
      </c>
      <c r="C27" s="481">
        <f t="shared" ca="1" si="3"/>
        <v>0</v>
      </c>
      <c r="D27" s="481">
        <f t="shared" si="4"/>
        <v>17.476482537437356</v>
      </c>
      <c r="E27" s="481">
        <f t="shared" si="5"/>
        <v>80.498142240197353</v>
      </c>
      <c r="F27" s="481">
        <f t="shared" si="6"/>
        <v>0</v>
      </c>
      <c r="G27" s="481">
        <f t="shared" si="7"/>
        <v>30935.433465232003</v>
      </c>
      <c r="H27" s="481">
        <f t="shared" si="8"/>
        <v>5858.8313243629536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36898.874523192542</v>
      </c>
    </row>
    <row r="28" spans="1:17">
      <c r="A28" s="476" t="s">
        <v>554</v>
      </c>
      <c r="B28" s="477">
        <f t="shared" ca="1" si="2"/>
        <v>0</v>
      </c>
      <c r="C28" s="477">
        <f t="shared" ca="1" si="3"/>
        <v>0</v>
      </c>
      <c r="D28" s="477">
        <f t="shared" si="4"/>
        <v>0</v>
      </c>
      <c r="E28" s="477">
        <f t="shared" si="5"/>
        <v>0</v>
      </c>
      <c r="F28" s="477">
        <f t="shared" si="6"/>
        <v>0</v>
      </c>
      <c r="G28" s="477">
        <f t="shared" si="7"/>
        <v>812.20939413068129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812.20939413068129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206.64138282987136</v>
      </c>
      <c r="C32" s="477">
        <f t="shared" ca="1" si="3"/>
        <v>0</v>
      </c>
      <c r="D32" s="477">
        <f t="shared" si="4"/>
        <v>1564.9015283986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1771.5429112284714</v>
      </c>
    </row>
    <row r="33" spans="1:17" s="486" customFormat="1">
      <c r="A33" s="1038" t="s">
        <v>558</v>
      </c>
      <c r="B33" s="978">
        <f ca="1">SUM(B22:B32)</f>
        <v>19303.104942035388</v>
      </c>
      <c r="C33" s="978">
        <f t="shared" ref="C33:Q33" ca="1" si="18">SUM(C22:C32)</f>
        <v>4820.755462184874</v>
      </c>
      <c r="D33" s="978">
        <f t="shared" ca="1" si="18"/>
        <v>28318.678623101769</v>
      </c>
      <c r="E33" s="978">
        <f t="shared" si="18"/>
        <v>2557.3931514644355</v>
      </c>
      <c r="F33" s="978">
        <f t="shared" ca="1" si="18"/>
        <v>26642.717984222374</v>
      </c>
      <c r="G33" s="978">
        <f t="shared" si="18"/>
        <v>31747.642859362684</v>
      </c>
      <c r="H33" s="978">
        <f t="shared" si="18"/>
        <v>5858.8313243629536</v>
      </c>
      <c r="I33" s="978">
        <f t="shared" si="18"/>
        <v>0</v>
      </c>
      <c r="J33" s="978">
        <f t="shared" si="18"/>
        <v>92.158673255579032</v>
      </c>
      <c r="K33" s="978">
        <f t="shared" si="18"/>
        <v>0</v>
      </c>
      <c r="L33" s="978">
        <f t="shared" ca="1" si="18"/>
        <v>0</v>
      </c>
      <c r="M33" s="978">
        <f t="shared" si="18"/>
        <v>0</v>
      </c>
      <c r="N33" s="978">
        <f t="shared" ca="1" si="18"/>
        <v>0</v>
      </c>
      <c r="O33" s="978">
        <f t="shared" si="18"/>
        <v>0</v>
      </c>
      <c r="P33" s="978">
        <f t="shared" si="18"/>
        <v>0</v>
      </c>
      <c r="Q33" s="978">
        <f t="shared" ca="1" si="18"/>
        <v>119341.28301999006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16227.431914205365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13478.300615440934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14199.75</v>
      </c>
      <c r="D8" s="1055">
        <f>'SEAP template'!D76</f>
        <v>16705.588235294115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3374.5288235294115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29705.732529646299</v>
      </c>
      <c r="C10" s="1059">
        <f>SUM(C4:C9)</f>
        <v>14199.75</v>
      </c>
      <c r="D10" s="1059">
        <f t="shared" ref="D10:H10" si="0">SUM(D8:D9)</f>
        <v>16705.588235294115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3374.5288235294115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0.16643407303258617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20285.357142857141</v>
      </c>
      <c r="D17" s="1056">
        <f>'SEAP template'!D87</f>
        <v>23865.126050420164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4820.7554621848731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20285.357142857141</v>
      </c>
      <c r="D20" s="1059">
        <f t="shared" ref="D20:H20" si="2">SUM(D17:D19)</f>
        <v>23865.126050420164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4820.7554621848731</v>
      </c>
    </row>
    <row r="22" spans="1:16">
      <c r="A22" s="487" t="s">
        <v>871</v>
      </c>
      <c r="B22" s="786" t="s">
        <v>865</v>
      </c>
      <c r="C22" s="786">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0.16643407303258617</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2019-08-12T08:23:44Z</dcterms:modified>
</cp:coreProperties>
</file>