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O88" i="14" s="1"/>
  <c r="O18" i="59" s="1"/>
  <c r="K18" i="18"/>
  <c r="N88" i="14" s="1"/>
  <c r="N18" i="59" s="1"/>
  <c r="N20" s="1"/>
  <c r="J18" i="18"/>
  <c r="J88" i="14" s="1"/>
  <c r="J18" i="59" s="1"/>
  <c r="I18" i="18"/>
  <c r="H18"/>
  <c r="G18"/>
  <c r="F18"/>
  <c r="E18"/>
  <c r="F88" i="14" s="1"/>
  <c r="F18" i="59" s="1"/>
  <c r="D18" i="18"/>
  <c r="D20" s="1"/>
  <c r="C18"/>
  <c r="D88" i="14" s="1"/>
  <c r="D18" i="59" s="1"/>
  <c r="B18" i="18"/>
  <c r="L9"/>
  <c r="L10" s="1"/>
  <c r="K9"/>
  <c r="G9"/>
  <c r="G10" s="1"/>
  <c r="F9"/>
  <c r="G77" i="14" s="1"/>
  <c r="E9" i="18"/>
  <c r="F77" i="14" s="1"/>
  <c r="F9" i="59" s="1"/>
  <c r="D9" i="18"/>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S61"/>
  <c r="R61"/>
  <c r="Q61"/>
  <c r="N6" i="17" s="1"/>
  <c r="P61" i="18"/>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B17"/>
  <c r="G12"/>
  <c r="F12"/>
  <c r="E12"/>
  <c r="D12"/>
  <c r="C12"/>
  <c r="K10"/>
  <c r="F10"/>
  <c r="D10"/>
  <c r="B8"/>
  <c r="B6"/>
  <c r="B5"/>
  <c r="B4"/>
  <c r="F6" i="17"/>
  <c r="D6"/>
  <c r="C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Q11" s="1"/>
  <c r="B11"/>
  <c r="P32"/>
  <c r="O32"/>
  <c r="P31"/>
  <c r="O31"/>
  <c r="O29"/>
  <c r="P28"/>
  <c r="O28"/>
  <c r="P27"/>
  <c r="O27"/>
  <c r="P25"/>
  <c r="O25"/>
  <c r="M89" i="14"/>
  <c r="M19" i="59" s="1"/>
  <c r="L89" i="14"/>
  <c r="L19" i="59" s="1"/>
  <c r="K89" i="14"/>
  <c r="K19" i="59" s="1"/>
  <c r="K20" s="1"/>
  <c r="J89" i="14"/>
  <c r="J19" i="59" s="1"/>
  <c r="M88" i="14"/>
  <c r="M18" i="59" s="1"/>
  <c r="L88" i="14"/>
  <c r="L18" i="59" s="1"/>
  <c r="K88" i="14"/>
  <c r="K18" i="59" s="1"/>
  <c r="I88" i="14"/>
  <c r="I18" i="59" s="1"/>
  <c r="H88" i="14"/>
  <c r="O87"/>
  <c r="O17" i="59" s="1"/>
  <c r="N87" i="14"/>
  <c r="N17" i="59" s="1"/>
  <c r="L87" i="14"/>
  <c r="L17" i="59" s="1"/>
  <c r="K87" i="14"/>
  <c r="K17" i="59" s="1"/>
  <c r="H87" i="14"/>
  <c r="H17" i="59" s="1"/>
  <c r="G87" i="14"/>
  <c r="G17" i="59" s="1"/>
  <c r="E87" i="14"/>
  <c r="E17" i="59" s="1"/>
  <c r="O77" i="14"/>
  <c r="N77"/>
  <c r="N9" i="59" s="1"/>
  <c r="L77" i="14"/>
  <c r="L9" i="59" s="1"/>
  <c r="K77" i="14"/>
  <c r="K9" i="59" s="1"/>
  <c r="E77" i="14"/>
  <c r="E9" i="59" s="1"/>
  <c r="O76" i="14"/>
  <c r="O8" i="59" s="1"/>
  <c r="N76" i="14"/>
  <c r="N8" i="59" s="1"/>
  <c r="L76" i="14"/>
  <c r="K76"/>
  <c r="K8" i="59" s="1"/>
  <c r="H76" i="14"/>
  <c r="G76"/>
  <c r="G8" i="59" s="1"/>
  <c r="E76" i="14"/>
  <c r="E8" i="59" s="1"/>
  <c r="E10" s="1"/>
  <c r="B75" i="14"/>
  <c r="B7" i="59" s="1"/>
  <c r="B74" i="14"/>
  <c r="B6" i="59" s="1"/>
  <c r="B73" i="14"/>
  <c r="B5" i="59" s="1"/>
  <c r="B72" i="14"/>
  <c r="B4" i="59" s="1"/>
  <c r="C64" i="14"/>
  <c r="Q54"/>
  <c r="P54"/>
  <c r="P56" s="1"/>
  <c r="L54"/>
  <c r="L56" s="1"/>
  <c r="J54"/>
  <c r="I54"/>
  <c r="H54"/>
  <c r="Q24"/>
  <c r="Q26" s="1"/>
  <c r="P24"/>
  <c r="P26" s="1"/>
  <c r="N24"/>
  <c r="N26" s="1"/>
  <c r="L24"/>
  <c r="L26" s="1"/>
  <c r="J24"/>
  <c r="I24"/>
  <c r="H24"/>
  <c r="Q50"/>
  <c r="Q52" s="1"/>
  <c r="P50"/>
  <c r="O50"/>
  <c r="M50"/>
  <c r="L50"/>
  <c r="K50"/>
  <c r="J50"/>
  <c r="G50"/>
  <c r="D50"/>
  <c r="Q49"/>
  <c r="P49"/>
  <c r="P52" s="1"/>
  <c r="Q20"/>
  <c r="P20"/>
  <c r="O20"/>
  <c r="M20"/>
  <c r="M22" s="1"/>
  <c r="L20"/>
  <c r="K20"/>
  <c r="J20"/>
  <c r="G20"/>
  <c r="D20"/>
  <c r="Q19"/>
  <c r="P19"/>
  <c r="O19"/>
  <c r="M19"/>
  <c r="L19"/>
  <c r="L22" s="1"/>
  <c r="K19"/>
  <c r="J19"/>
  <c r="I19"/>
  <c r="G19"/>
  <c r="F19"/>
  <c r="E19"/>
  <c r="D19"/>
  <c r="D22" s="1"/>
  <c r="Q48"/>
  <c r="P48"/>
  <c r="O48"/>
  <c r="M48"/>
  <c r="L48"/>
  <c r="K48"/>
  <c r="J48"/>
  <c r="G48"/>
  <c r="D48"/>
  <c r="Q18"/>
  <c r="Q22" s="1"/>
  <c r="P18"/>
  <c r="P22" s="1"/>
  <c r="O18"/>
  <c r="O22" s="1"/>
  <c r="M18"/>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R9" s="1"/>
  <c r="C9"/>
  <c r="R90"/>
  <c r="L90"/>
  <c r="R78"/>
  <c r="K78"/>
  <c r="J56"/>
  <c r="H56"/>
  <c r="Q56"/>
  <c r="I56"/>
  <c r="R44"/>
  <c r="R25"/>
  <c r="E25"/>
  <c r="E55" s="1"/>
  <c r="C25"/>
  <c r="J26"/>
  <c r="I26"/>
  <c r="H26"/>
  <c r="J22"/>
  <c r="G22"/>
  <c r="R12"/>
  <c r="G9" i="59" l="1"/>
  <c r="G10" s="1"/>
  <c r="G78" i="14"/>
  <c r="O20" i="59"/>
  <c r="L78" i="14"/>
  <c r="L8" i="59"/>
  <c r="L10" s="1"/>
  <c r="H18"/>
  <c r="H20" s="1"/>
  <c r="H8"/>
  <c r="N10"/>
  <c r="L20"/>
  <c r="H89" i="14"/>
  <c r="H19" i="59" s="1"/>
  <c r="O19" i="18"/>
  <c r="L20"/>
  <c r="K10" i="59"/>
  <c r="K20" i="18"/>
  <c r="C98"/>
  <c r="H101" s="1"/>
  <c r="D13" i="15"/>
  <c r="O90" i="14"/>
  <c r="H77"/>
  <c r="H9" i="59" s="1"/>
  <c r="H10" s="1"/>
  <c r="B10" i="18"/>
  <c r="C13" i="15"/>
  <c r="O78" i="14"/>
  <c r="O9" i="59"/>
  <c r="O10" s="1"/>
  <c r="K90" i="14"/>
  <c r="E20" i="59"/>
  <c r="E88" i="14"/>
  <c r="E18" i="59" s="1"/>
  <c r="F20" i="18"/>
  <c r="N90" i="14"/>
  <c r="B20" i="18"/>
  <c r="L13" i="15"/>
  <c r="N13"/>
  <c r="O9" i="18"/>
  <c r="O18"/>
  <c r="B89" i="14"/>
  <c r="B19" i="59" s="1"/>
  <c r="G88" i="14"/>
  <c r="F89"/>
  <c r="I102" i="18"/>
  <c r="H17" s="1"/>
  <c r="E102"/>
  <c r="E17" s="1"/>
  <c r="H102"/>
  <c r="D102"/>
  <c r="G102"/>
  <c r="C102"/>
  <c r="F102"/>
  <c r="B102"/>
  <c r="C17" s="1"/>
  <c r="Q88" i="14"/>
  <c r="P18" i="59" s="1"/>
  <c r="B88" i="14"/>
  <c r="B18" i="59" s="1"/>
  <c r="Q14" i="48"/>
  <c r="O24"/>
  <c r="O30"/>
  <c r="P24"/>
  <c r="P30"/>
  <c r="C77" i="14"/>
  <c r="C9" i="59" s="1"/>
  <c r="C88" i="14"/>
  <c r="C18" i="59" s="1"/>
  <c r="E78" i="14"/>
  <c r="N78"/>
  <c r="G90" l="1"/>
  <c r="G18" i="59"/>
  <c r="G20" s="1"/>
  <c r="C89" i="14"/>
  <c r="C19" i="59" s="1"/>
  <c r="F19"/>
  <c r="I101" i="18"/>
  <c r="H8" s="1"/>
  <c r="E101"/>
  <c r="E8" s="1"/>
  <c r="D101"/>
  <c r="G101"/>
  <c r="I8" s="1"/>
  <c r="H78" i="14"/>
  <c r="C101" i="18"/>
  <c r="J8" s="1"/>
  <c r="F101"/>
  <c r="B101"/>
  <c r="C8" s="1"/>
  <c r="C10" s="1"/>
  <c r="E90" i="14"/>
  <c r="B77"/>
  <c r="B9" i="59" s="1"/>
  <c r="Q77" i="14"/>
  <c r="P9" i="59" s="1"/>
  <c r="H90" i="14"/>
  <c r="Q89"/>
  <c r="P19" i="59" s="1"/>
  <c r="C20" i="18"/>
  <c r="D87" i="14"/>
  <c r="D17" i="59" s="1"/>
  <c r="D20" s="1"/>
  <c r="D76" i="14"/>
  <c r="D8" i="59" s="1"/>
  <c r="D10" s="1"/>
  <c r="J17" i="18"/>
  <c r="F87" i="14"/>
  <c r="E20" i="18"/>
  <c r="E10"/>
  <c r="F76" i="14"/>
  <c r="F8" i="59" s="1"/>
  <c r="F10" s="1"/>
  <c r="I17" i="18"/>
  <c r="O17" s="1"/>
  <c r="O20" s="1"/>
  <c r="H20"/>
  <c r="M87" i="14"/>
  <c r="M76"/>
  <c r="H10" i="18"/>
  <c r="H14" i="15"/>
  <c r="H16" s="1"/>
  <c r="G14"/>
  <c r="G16" s="1"/>
  <c r="O8" i="18" l="1"/>
  <c r="O10" s="1"/>
  <c r="M78" i="14"/>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B78" i="14"/>
  <c r="B8" i="59"/>
  <c r="B1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32"/>
  <c r="I22"/>
  <c r="I28"/>
  <c r="I27"/>
  <c r="I31"/>
  <c r="I26"/>
  <c r="I24"/>
  <c r="I29"/>
  <c r="I30"/>
  <c r="I25"/>
  <c r="D4"/>
  <c r="D22" s="1"/>
  <c r="E11" i="14"/>
  <c r="H28" i="48"/>
  <c r="H32"/>
  <c r="H30"/>
  <c r="H29"/>
  <c r="H24"/>
  <c r="H25"/>
  <c r="H26"/>
  <c r="H22"/>
  <c r="H23"/>
  <c r="C4"/>
  <c r="D11" i="14"/>
  <c r="G29" i="48"/>
  <c r="G32"/>
  <c r="G25"/>
  <c r="G26"/>
  <c r="G30"/>
  <c r="G24"/>
  <c r="G22"/>
  <c r="G23"/>
  <c r="B4"/>
  <c r="C11" i="14"/>
  <c r="F29" i="48"/>
  <c r="F27"/>
  <c r="F32"/>
  <c r="F31"/>
  <c r="F24"/>
  <c r="F30"/>
  <c r="F28"/>
  <c r="N29"/>
  <c r="N31"/>
  <c r="N27"/>
  <c r="N32"/>
  <c r="N30"/>
  <c r="N28"/>
  <c r="N24"/>
  <c r="B10"/>
  <c r="C19" i="14"/>
  <c r="E28" i="48"/>
  <c r="E29"/>
  <c r="E32"/>
  <c r="E31"/>
  <c r="E24"/>
  <c r="E30"/>
  <c r="M29"/>
  <c r="M32"/>
  <c r="M25"/>
  <c r="M26"/>
  <c r="M30"/>
  <c r="M22"/>
  <c r="M24"/>
  <c r="M23"/>
  <c r="K5"/>
  <c r="L10" i="14"/>
  <c r="L16" s="1"/>
  <c r="L27" s="1"/>
  <c r="D30" i="48"/>
  <c r="D29"/>
  <c r="D32"/>
  <c r="D24"/>
  <c r="D31"/>
  <c r="D28"/>
  <c r="L29"/>
  <c r="L32"/>
  <c r="L31"/>
  <c r="L28"/>
  <c r="L22"/>
  <c r="L30"/>
  <c r="L27"/>
  <c r="L24"/>
  <c r="Q10" i="14"/>
  <c r="P5" i="48"/>
  <c r="P23" s="1"/>
  <c r="K32"/>
  <c r="K31"/>
  <c r="K25"/>
  <c r="K26"/>
  <c r="K28"/>
  <c r="K22"/>
  <c r="K27"/>
  <c r="K24"/>
  <c r="K29"/>
  <c r="K30"/>
  <c r="B7"/>
  <c r="C24" i="14"/>
  <c r="C26" s="1"/>
  <c r="J32" i="48"/>
  <c r="J28"/>
  <c r="J29"/>
  <c r="J27"/>
  <c r="J30"/>
  <c r="J31"/>
  <c r="J24"/>
  <c r="Q11" i="14"/>
  <c r="P4"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M12" i="22"/>
  <c r="M13" i="48"/>
  <c r="M31" s="1"/>
  <c r="N18" i="14"/>
  <c r="K15" i="48"/>
  <c r="K23"/>
  <c r="K33" s="1"/>
  <c r="O22"/>
  <c r="H18" i="14"/>
  <c r="G13" i="48"/>
  <c r="I18" i="14"/>
  <c r="H13" i="48"/>
  <c r="H31" s="1"/>
  <c r="C22" i="14"/>
  <c r="P8" i="48"/>
  <c r="P26" s="1"/>
  <c r="Q13" i="14"/>
  <c r="Q16" s="1"/>
  <c r="Q27" s="1"/>
  <c r="Q63" s="1"/>
  <c r="F20"/>
  <c r="F22" s="1"/>
  <c r="E9" i="48"/>
  <c r="E27" s="1"/>
  <c r="D9"/>
  <c r="D27" s="1"/>
  <c r="E20" i="14"/>
  <c r="E22" s="1"/>
  <c r="O5" i="48"/>
  <c r="O23" s="1"/>
  <c r="P10" i="14"/>
  <c r="J7" i="48"/>
  <c r="J25" s="1"/>
  <c r="K24" i="14"/>
  <c r="K26" s="1"/>
  <c r="B9" i="48"/>
  <c r="C20" i="14"/>
  <c r="P22" i="48"/>
  <c r="J46" i="14"/>
  <c r="J61"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E12" i="13"/>
  <c r="F41" i="14" s="1"/>
  <c r="E4" i="48"/>
  <c r="F11" i="14"/>
  <c r="R11" s="1"/>
  <c r="I23" i="48"/>
  <c r="I33" s="1"/>
  <c r="I15"/>
  <c r="R18" i="14"/>
  <c r="J4" i="48"/>
  <c r="K11" i="14"/>
  <c r="F24"/>
  <c r="F26" s="1"/>
  <c r="E7" i="48"/>
  <c r="E25" s="1"/>
  <c r="G31"/>
  <c r="Q13"/>
  <c r="O22" i="16"/>
  <c r="P43" i="14" s="1"/>
  <c r="P13"/>
  <c r="O8" i="48"/>
  <c r="I20" i="14"/>
  <c r="H9" i="48"/>
  <c r="P16" i="14"/>
  <c r="P27" s="1"/>
  <c r="P46"/>
  <c r="P61" s="1"/>
  <c r="J63"/>
  <c r="M14" i="22"/>
  <c r="P15" i="48"/>
  <c r="I22" i="14"/>
  <c r="I27" s="1"/>
  <c r="G14" i="22"/>
  <c r="P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N22"/>
  <c r="N27" s="1"/>
  <c r="J5" i="48"/>
  <c r="J23" s="1"/>
  <c r="K10" i="14"/>
  <c r="N20"/>
  <c r="M9" i="48"/>
  <c r="G28"/>
  <c r="Q10"/>
  <c r="H20" i="14"/>
  <c r="G9" i="48"/>
  <c r="O26"/>
  <c r="O33" s="1"/>
  <c r="O15"/>
  <c r="J22"/>
  <c r="F10" i="14"/>
  <c r="E5" i="48"/>
  <c r="E23" s="1"/>
  <c r="H27"/>
  <c r="H33" s="1"/>
  <c r="H15"/>
  <c r="E22"/>
  <c r="Q4"/>
  <c r="P63" i="14"/>
  <c r="R24"/>
  <c r="R26" s="1"/>
  <c r="I63"/>
  <c r="M18" i="22"/>
  <c r="N50" i="14" s="1"/>
  <c r="N52" s="1"/>
  <c r="N61" s="1"/>
  <c r="N63" s="1"/>
  <c r="R19"/>
  <c r="J20" i="15"/>
  <c r="K40" i="14" s="1"/>
  <c r="Q7" i="48"/>
  <c r="E20" i="15"/>
  <c r="F40" i="14" s="1"/>
  <c r="J18" i="16"/>
  <c r="E18"/>
  <c r="F18"/>
  <c r="F22" s="1"/>
  <c r="G43" i="14" s="1"/>
  <c r="N18" i="16"/>
  <c r="G18" i="22"/>
  <c r="H50" i="14" s="1"/>
  <c r="H18" i="22"/>
  <c r="I50" i="14" s="1"/>
  <c r="I52" s="1"/>
  <c r="I61" s="1"/>
  <c r="F13" l="1"/>
  <c r="F16" s="1"/>
  <c r="F27" s="1"/>
  <c r="E8" i="48"/>
  <c r="E26" s="1"/>
  <c r="E33" s="1"/>
  <c r="H22" i="14"/>
  <c r="H27" s="1"/>
  <c r="H63" s="1"/>
  <c r="R20"/>
  <c r="R22" s="1"/>
  <c r="G27" i="48"/>
  <c r="G33" s="1"/>
  <c r="G15"/>
  <c r="Q9"/>
  <c r="M27"/>
  <c r="M33" s="1"/>
  <c r="M15"/>
  <c r="J22" i="16"/>
  <c r="K43" i="14" s="1"/>
  <c r="K46" s="1"/>
  <c r="K61" s="1"/>
  <c r="K63" s="1"/>
  <c r="J8" i="48"/>
  <c r="J26" s="1"/>
  <c r="J33" s="1"/>
  <c r="K13" i="14"/>
  <c r="E22" i="16"/>
  <c r="F43" i="14" s="1"/>
  <c r="E15" i="48"/>
  <c r="K16" i="14"/>
  <c r="K27" s="1"/>
  <c r="J15" i="48"/>
  <c r="F46" i="14"/>
  <c r="F61" s="1"/>
  <c r="N8" i="48"/>
  <c r="N26" s="1"/>
  <c r="O13" i="14"/>
  <c r="N22" i="16"/>
  <c r="O43" i="14" s="1"/>
  <c r="G13"/>
  <c r="F8" i="48"/>
  <c r="R13" i="14" l="1"/>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<sst xmlns="http://schemas.openxmlformats.org/spreadsheetml/2006/main" count="2392" uniqueCount="890">
  <si>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</si>
  <si>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</si>
  <si>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</si>
  <si>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</si>
  <si>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</si>
  <si>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</si>
  <si>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</si>
  <si>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</si>
  <si>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</si>
  <si>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</si>
  <si>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</si>
  <si>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</si>
  <si>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</si>
  <si>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</si>
  <si>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</si>
  <si>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</si>
  <si>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</si>
  <si>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</si>
  <si>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</si>
  <si>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</si>
  <si>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</si>
  <si>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</si>
  <si>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</si>
  <si>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</si>
  <si>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</si>
  <si>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</si>
  <si>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</si>
  <si>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</si>
  <si>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</si>
  <si>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</si>
  <si>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</si>
  <si>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</si>
  <si>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</si>
  <si>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</si>
  <si>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</si>
  <si>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</si>
  <si>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</si>
  <si>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</si>
  <si>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</si>
  <si>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</si>
  <si>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</si>
  <si>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</si>
  <si>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</si>
  <si>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</si>
  <si>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</si>
  <si>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</si>
  <si>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</si>
  <si>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</si>
  <si>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</si>
  <si>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</si>
  <si>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</si>
  <si>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</si>
  <si>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</si>
  <si>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</si>
  <si>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</si>
  <si>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</si>
  <si>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</si>
  <si>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</si>
  <si>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</si>
  <si>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</si>
  <si>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</si>
  <si>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</si>
  <si>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</si>
  <si>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</si>
  <si>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</si>
  <si>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</si>
  <si>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</si>
  <si>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</si>
  <si>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</si>
  <si>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</si>
  <si>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</si>
  <si>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</si>
  <si>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</si>
  <si>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</si>
  <si>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</si>
  <si>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</si>
  <si>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</si>
  <si>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</si>
  <si>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</si>
  <si>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</si>
  <si>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</si>
  <si>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</si>
  <si>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</si>
  <si>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</si>
  <si>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</si>
  <si>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</si>
  <si>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</si>
  <si>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</si>
  <si>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</si>
  <si>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</si>
  <si>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</si>
  <si>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</si>
  <si>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</si>
  <si>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</si>
  <si>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</si>
  <si>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</si>
  <si>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</si>
  <si>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</si>
  <si>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</si>
  <si>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</si>
  <si>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</si>
  <si>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</si>
  <si>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</si>
  <si>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</si>
  <si>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</si>
  <si>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</si>
  <si>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</si>
  <si>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</si>
  <si>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</si>
  <si>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</si>
  <si>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</si>
  <si>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</si>
  <si>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</si>
  <si>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</si>
  <si>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</si>
  <si>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</si>
  <si>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</si>
  <si>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</si>
  <si>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</si>
  <si>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</si>
  <si>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</si>
  <si>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</si>
  <si>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</si>
  <si>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</si>
  <si>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</si>
  <si>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</si>
  <si>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</si>
  <si>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</si>
  <si>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</si>
  <si>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</si>
  <si>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</si>
  <si>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</si>
  <si>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</si>
  <si>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</si>
  <si>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</si>
  <si>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</si>
  <si>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</si>
  <si>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</si>
  <si>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</si>
  <si>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</si>
  <si>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</si>
  <si>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</si>
  <si>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</si>
  <si>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</si>
  <si>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</si>
  <si>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</si>
  <si>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</si>
  <si>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</si>
  <si>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</si>
  <si>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</si>
  <si>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</si>
  <si>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</si>
  <si>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</si>
  <si>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</si>
  <si>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</si>
  <si>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</si>
  <si>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</si>
  <si>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</si>
  <si>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</si>
  <si>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</si>
  <si>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</si>
  <si>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</si>
  <si>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</si>
  <si>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</si>
  <si>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</si>
  <si>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</si>
  <si>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</si>
  <si>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</si>
  <si>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</si>
  <si>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</si>
  <si>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</si>
  <si>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</si>
  <si>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</si>
  <si>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</si>
  <si>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</si>
  <si>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</si>
  <si>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</si>
  <si>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</si>
  <si>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</si>
  <si>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</si>
  <si>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</si>
  <si>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</si>
  <si>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</si>
  <si>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</si>
  <si>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</si>
  <si>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</si>
  <si>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</si>
  <si>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</si>
  <si>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</si>
  <si>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</si>
  <si>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</si>
  <si>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</si>
  <si>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</si>
  <si>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</si>
  <si>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</si>
  <si>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</si>
  <si>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</si>
  <si>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</si>
  <si>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</si>
  <si>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</si>
  <si>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</si>
  <si>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</si>
  <si>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</si>
  <si>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</si>
  <si>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</si>
  <si>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</si>
  <si>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</si>
  <si>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</si>
  <si>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</si>
  <si>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</si>
  <si>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</si>
  <si>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</si>
  <si>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</si>
  <si>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</si>
  <si>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</si>
  <si>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</si>
  <si>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</si>
  <si>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</si>
  <si>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</si>
  <si>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</si>
  <si>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</si>
  <si>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</si>
  <si>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</si>
  <si>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</si>
  <si>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</si>
  <si>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</si>
  <si>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</si>
  <si>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</si>
  <si>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</si>
  <si>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</si>
  <si>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</si>
  <si>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</si>
  <si>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</si>
  <si>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</si>
  <si>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</si>
  <si>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</si>
  <si>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</si>
  <si>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</si>
  <si>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</si>
  <si>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</si>
  <si>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</si>
  <si>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</si>
  <si>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</si>
  <si>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</si>
  <si>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</si>
  <si>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</si>
  <si>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</si>
  <si>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</si>
  <si>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</si>
  <si>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</si>
  <si>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</si>
  <si>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</si>
  <si>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</si>
  <si>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</si>
  <si>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</si>
  <si>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</si>
  <si>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</si>
  <si>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</si>
  <si>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</si>
  <si>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</si>
  <si>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</si>
  <si>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</si>
  <si>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</si>
  <si>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</si>
  <si>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</si>
  <si>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</si>
  <si>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</si>
  <si>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</si>
  <si>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</si>
  <si>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</si>
  <si>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</si>
  <si>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</si>
  <si>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</si>
  <si>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</si>
  <si>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</si>
  <si>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</si>
  <si>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</si>
  <si>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</si>
  <si>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</si>
  <si>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</si>
  <si>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</si>
  <si>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</si>
  <si>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</si>
  <si>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</si>
  <si>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</si>
  <si>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</si>
  <si>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</si>
  <si>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</si>
  <si>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</si>
  <si>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</si>
  <si>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</si>
  <si>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</si>
  <si>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</si>
  <si>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</si>
  <si>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</si>
  <si>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</si>
  <si>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</si>
  <si>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</si>
  <si>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</si>
  <si>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</si>
  <si>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</si>
  <si>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</si>
  <si>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</si>
  <si>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</si>
  <si>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</si>
  <si>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</si>
  <si>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</si>
  <si>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</si>
  <si>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</si>
  <si>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</si>
  <si>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</si>
  <si>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</si>
  <si>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</si>
  <si>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</si>
  <si>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</si>
  <si>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</si>
  <si>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</si>
  <si>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</si>
  <si>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</si>
  <si>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</si>
  <si>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</si>
  <si>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</si>
  <si>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</si>
  <si>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</si>
  <si>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</si>
  <si>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</si>
  <si>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</si>
  <si>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</si>
  <si>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</si>
  <si>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</si>
  <si>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</si>
  <si>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</si>
  <si>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</si>
  <si>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</si>
  <si>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</si>
  <si>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</si>
  <si>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</si>
  <si>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</si>
  <si>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</si>
  <si>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</si>
  <si>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</si>
  <si>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</si>
  <si>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</si>
  <si>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</si>
  <si>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</si>
  <si>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</si>
  <si>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</si>
  <si>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</si>
  <si>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</si>
  <si>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</si>
  <si>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</si>
  <si>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</si>
  <si>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</si>
  <si>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</si>
  <si>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</si>
  <si>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</si>
  <si>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</si>
  <si>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</si>
  <si>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</si>
  <si>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</si>
  <si>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</si>
  <si>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</si>
  <si>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</si>
  <si>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</si>
  <si>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</si>
  <si>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</si>
  <si>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</si>
  <si>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</si>
  <si>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</si>
  <si>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</si>
  <si>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</si>
  <si>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</si>
  <si>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</si>
  <si>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</si>
  <si>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</si>
  <si>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</si>
  <si>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</si>
  <si>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</si>
  <si>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</si>
  <si>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</si>
  <si>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</si>
  <si>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</si>
  <si>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</si>
  <si>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</si>
  <si>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</si>
  <si>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</si>
  <si>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</si>
  <si>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</si>
  <si>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</si>
  <si>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</si>
  <si>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</si>
  <si>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</si>
  <si>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</si>
  <si>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</si>
  <si>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</si>
  <si>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</si>
  <si>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</si>
  <si>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</si>
  <si>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</si>
  <si>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</si>
  <si>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</si>
  <si>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</si>
  <si>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</si>
  <si>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</si>
  <si>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</si>
  <si>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</si>
  <si>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</si>
  <si>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</si>
  <si>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</si>
  <si>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</si>
  <si>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</si>
  <si>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</si>
  <si>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</si>
  <si>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</si>
  <si>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</si>
  <si>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</si>
  <si>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</si>
  <si>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</si>
  <si>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</si>
  <si>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</si>
  <si>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</si>
  <si>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</si>
  <si>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</si>
  <si>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</si>
  <si>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</si>
  <si>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</si>
  <si>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</si>
  <si>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</si>
  <si>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</si>
  <si>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</si>
  <si>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</si>
  <si>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</si>
  <si>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</si>
  <si>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</si>
  <si>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</si>
  <si>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</si>
  <si>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</si>
  <si>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</si>
  <si>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</si>
  <si>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</si>
  <si>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</si>
  <si>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</si>
  <si>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</si>
  <si>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</si>
  <si>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</si>
  <si>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</si>
  <si>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</si>
  <si>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</si>
  <si>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</si>
  <si>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</si>
  <si>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</si>
  <si>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</si>
  <si>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</si>
  <si>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</si>
  <si>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</si>
  <si>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</si>
  <si>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</si>
  <si>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</si>
  <si>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</si>
  <si>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</si>
  <si>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</si>
  <si>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</si>
  <si>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</si>
  <si>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</si>
  <si>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</si>
  <si>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</si>
  <si>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</si>
  <si>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</si>
  <si>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</si>
  <si>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</si>
  <si>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</si>
  <si>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</si>
  <si>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</si>
  <si>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</si>
  <si>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</si>
  <si>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</si>
  <si>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</si>
  <si>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</si>
  <si>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</si>
  <si>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</si>
  <si>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</si>
  <si>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</si>
  <si>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</si>
  <si>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</si>
  <si>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</si>
  <si>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</si>
  <si>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</si>
  <si>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</si>
  <si>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</si>
  <si>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</si>
  <si>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</si>
  <si>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</si>
  <si>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</si>
  <si>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</si>
  <si>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</si>
  <si>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</si>
  <si>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</si>
  <si>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</si>
  <si>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</si>
  <si>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</si>
  <si>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</si>
  <si>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</si>
  <si>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</si>
  <si>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</si>
  <si>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</si>
  <si>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</si>
  <si>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</si>
  <si>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</si>
  <si>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</si>
  <si>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</si>
  <si>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</si>
  <si>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</si>
  <si>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</si>
  <si>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</si>
  <si>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</si>
  <si>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</si>
  <si>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</si>
  <si>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</si>
  <si>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</si>
  <si>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</si>
  <si>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</si>
  <si>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</si>
  <si>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</si>
  <si>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</si>
  <si>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</si>
  <si>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</si>
  <si>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</si>
  <si>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</si>
  <si>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</si>
  <si>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</si>
  <si>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</si>
  <si>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</si>
  <si>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</si>
  <si>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</si>
  <si>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</si>
  <si>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</si>
  <si>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</si>
  <si>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</si>
  <si>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</si>
  <si>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</si>
  <si>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</si>
  <si>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</si>
  <si>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</si>
  <si>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</si>
  <si>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</si>
  <si>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</si>
  <si>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</si>
  <si>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</si>
  <si>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</si>
  <si>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</si>
  <si>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</si>
  <si>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</si>
  <si>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</si>
  <si>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</si>
  <si>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</si>
  <si>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</si>
  <si>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</si>
  <si>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</si>
  <si>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</si>
  <si>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</si>
  <si>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</si>
  <si>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</si>
  <si>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</si>
  <si>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</si>
  <si>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</si>
  <si>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</si>
  <si>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</si>
  <si>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</si>
  <si>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</si>
  <si>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</si>
  <si>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</si>
  <si>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</si>
  <si>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</si>
  <si>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</si>
  <si>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</si>
  <si>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</si>
  <si>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</si>
  <si>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</si>
  <si>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</si>
  <si>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</si>
  <si>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</si>
  <si>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</si>
  <si>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</si>
  <si>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</si>
  <si>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</si>
  <si>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</si>
  <si>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</si>
  <si>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</si>
  <si>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</si>
  <si>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</si>
  <si>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</si>
  <si>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</si>
  <si>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</si>
  <si>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</si>
  <si>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</si>
  <si>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</si>
  <si>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</si>
  <si>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</si>
  <si>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</si>
  <si>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</si>
  <si>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</si>
  <si>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</si>
  <si>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</si>
  <si>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</si>
  <si>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</si>
  <si>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</si>
  <si>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</si>
  <si>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</si>
  <si>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</si>
  <si>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</si>
  <si>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</si>
  <si>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</si>
  <si>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</si>
  <si>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</si>
  <si>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</si>
  <si>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</si>
  <si>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</si>
  <si>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</si>
  <si>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</si>
  <si>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</si>
  <si>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</si>
  <si>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</si>
  <si>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</si>
  <si>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</si>
  <si>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</si>
  <si>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</si>
  <si>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</si>
  <si>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</si>
  <si>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</si>
  <si>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</si>
  <si>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</si>
  <si>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</si>
  <si>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</si>
  <si>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</si>
  <si>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</si>
  <si>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</si>
  <si>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</si>
  <si>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</si>
  <si>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</si>
  <si>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</si>
  <si>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</si>
  <si>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</si>
  <si>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</si>
  <si>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</si>
  <si>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</si>
  <si>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</si>
  <si>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</si>
  <si>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</si>
  <si>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</si>
  <si>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</si>
  <si>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</si>
  <si>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</si>
  <si>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</si>
  <si>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</si>
  <si>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</si>
  <si>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</si>
  <si>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</si>
  <si>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</si>
  <si>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</si>
  <si>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</si>
  <si>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</si>
  <si>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</si>
  <si>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</si>
  <si>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</si>
  <si>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</si>
  <si>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</si>
  <si>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</si>
  <si>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</si>
  <si>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</si>
  <si>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</si>
  <si>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</si>
  <si>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</si>
  <si>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</si>
  <si>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</si>
  <si>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</si>
  <si>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</si>
  <si>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</si>
  <si>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</si>
  <si>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</si>
  <si>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</si>
  <si>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</si>
  <si>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</si>
  <si>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</si>
  <si>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</si>
  <si>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</si>
  <si>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</si>
  <si>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</si>
  <si>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</si>
  <si>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</si>
  <si>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</si>
  <si>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</si>
  <si>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</si>
  <si>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</si>
  <si>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</si>
  <si>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</si>
  <si>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</si>
  <si>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</si>
  <si>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</si>
  <si>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</si>
  <si>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</si>
  <si>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</si>
  <si>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</si>
  <si>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</si>
  <si>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</si>
  <si>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</si>
  <si>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</si>
  <si>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</si>
  <si>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</si>
  <si>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</si>
  <si>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</si>
  <si>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</si>
  <si>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</si>
  <si>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</si>
  <si>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</si>
  <si>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</si>
  <si>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</si>
  <si>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</si>
  <si>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</si>
  <si>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</si>
  <si>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</si>
  <si>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</si>
  <si>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</si>
  <si>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</si>
  <si>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</si>
  <si>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</si>
  <si>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</si>
  <si>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</si>
  <si>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</si>
  <si>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</si>
  <si>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</si>
  <si>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</si>
  <si>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</si>
  <si>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</si>
  <si>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</si>
  <si>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</si>
  <si>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</si>
  <si>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</si>
  <si>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</si>
  <si>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</si>
  <si>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</si>
  <si>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</si>
  <si>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</si>
  <si>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</si>
  <si>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</si>
  <si>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</si>
  <si>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</si>
  <si>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</si>
  <si>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</si>
  <si>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</si>
  <si>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</si>
  <si>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</si>
  <si>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</si>
  <si>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</si>
  <si>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</si>
  <si>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</si>
  <si>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</si>
  <si>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</si>
  <si>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</si>
  <si>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</si>
  <si>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</si>
  <si>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</si>
  <si>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</si>
  <si>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</si>
  <si>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</si>
  <si>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</si>
  <si>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</si>
  <si>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</si>
  <si>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</si>
  <si>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</si>
  <si>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</si>
  <si>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</si>
  <si>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</si>
  <si>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</si>
  <si>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</si>
  <si>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</si>
  <si>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</si>
  <si>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</si>
  <si>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</si>
  <si>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</si>
  <si>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</si>
  <si>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</si>
  <si>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</si>
  <si>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</si>
  <si>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</si>
  <si>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</si>
  <si>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</si>
  <si>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</si>
  <si>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</si>
  <si>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</si>
  <si>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</si>
  <si>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</si>
  <si>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</si>
  <si>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</si>
  <si>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</si>
  <si>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</si>
  <si>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</si>
  <si>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</si>
  <si>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</si>
  <si>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</si>
  <si>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</si>
  <si>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</si>
  <si>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</si>
  <si>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</si>
  <si>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</si>
  <si>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</si>
  <si>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</si>
  <si>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</si>
  <si>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</si>
  <si>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</si>
  <si>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</si>
  <si>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</si>
  <si>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</si>
  <si>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</si>
  <si>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</si>
  <si>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</si>
  <si>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</si>
  <si>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</si>
  <si>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</si>
  <si>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</si>
  <si>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</si>
  <si>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</si>
  <si>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</si>
  <si>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</si>
  <si>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</si>
  <si>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</si>
  <si>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</si>
  <si>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</si>
  <si>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</si>
  <si>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</si>
  <si>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</si>
  <si>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</si>
  <si>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</si>
  <si>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</si>
  <si>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</si>
  <si>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</si>
  <si>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</si>
  <si>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</si>
  <si>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</si>
  <si>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</si>
  <si>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</si>
  <si>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</si>
  <si>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</si>
  <si>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</si>
  <si>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</si>
  <si>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</si>
  <si>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</si>
  <si>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</si>
  <si>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</si>
  <si>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</si>
  <si>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</si>
  <si>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</si>
  <si>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</si>
  <si>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</si>
  <si>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</si>
  <si>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</si>
  <si>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</si>
  <si>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</si>
  <si>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</si>
  <si>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</si>
  <si>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</si>
  <si>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</si>
  <si>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</si>
  <si>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</si>
  <si>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</si>
  <si>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</si>
  <si>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</si>
  <si>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</si>
  <si>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</si>
  <si>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</si>
  <si>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</si>
  <si>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</si>
  <si>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</si>
  <si>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</si>
  <si>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</si>
  <si>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</si>
  <si>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</si>
  <si>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</si>
  <si>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</si>
  <si>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</si>
  <si>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</si>
  <si>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</si>
  <si>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</si>
  <si>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24009</t>
  </si>
  <si>
    <t>BERTEM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</si>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</sst>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80034.907391107059</c:v>
                </c:pt>
                <c:pt idx="1">
                  <c:v>18509.187623945869</c:v>
                </c:pt>
                <c:pt idx="2">
                  <c:v>518.76800000000003</c:v>
                </c:pt>
                <c:pt idx="3">
                  <c:v>1305.0403762455378</c:v>
                </c:pt>
                <c:pt idx="4">
                  <c:v>2114.8445361141021</c:v>
                </c:pt>
                <c:pt idx="5">
                  <c:v>219485.59592698878</c:v>
                </c:pt>
                <c:pt idx="6">
                  <c:v>3390.7783075610723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80034.907391107059</c:v>
                </c:pt>
                <c:pt idx="1">
                  <c:v>18509.187623945869</c:v>
                </c:pt>
                <c:pt idx="2">
                  <c:v>518.76800000000003</c:v>
                </c:pt>
                <c:pt idx="3">
                  <c:v>1305.0403762455378</c:v>
                </c:pt>
                <c:pt idx="4">
                  <c:v>2114.8445361141021</c:v>
                </c:pt>
                <c:pt idx="5">
                  <c:v>219485.59592698878</c:v>
                </c:pt>
                <c:pt idx="6">
                  <c:v>3390.7783075610723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16651.65555749632</c:v>
                </c:pt>
                <c:pt idx="2">
                  <c:v>3404.6939290818691</c:v>
                </c:pt>
                <c:pt idx="3">
                  <c:v>106.13392389193406</c:v>
                </c:pt>
                <c:pt idx="4">
                  <c:v>317.71810404055992</c:v>
                </c:pt>
                <c:pt idx="5">
                  <c:v>421.53345924148198</c:v>
                </c:pt>
                <c:pt idx="6">
                  <c:v>56133.610270810532</c:v>
                </c:pt>
                <c:pt idx="7">
                  <c:v>878.10107717678397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16651.65555749632</c:v>
                </c:pt>
                <c:pt idx="2">
                  <c:v>3404.6939290818691</c:v>
                </c:pt>
                <c:pt idx="3">
                  <c:v>106.13392389193406</c:v>
                </c:pt>
                <c:pt idx="4">
                  <c:v>317.71810404055992</c:v>
                </c:pt>
                <c:pt idx="5">
                  <c:v>421.53345924148198</c:v>
                </c:pt>
                <c:pt idx="6">
                  <c:v>56133.610270810532</c:v>
                </c:pt>
                <c:pt idx="7">
                  <c:v>878.10107717678397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24009</v>
      </c>
      <c r="B6" s="415"/>
      <c r="C6" s="416"/>
    </row>
    <row r="7" spans="1:7" s="413" customFormat="1" ht="15.75" customHeight="1">
      <c r="A7" s="417" t="str">
        <f>txtMunicipality</f>
        <v>BERTEM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0.2045884169646818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0.2045884169646818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3775</v>
      </c>
      <c r="C9" s="342">
        <v>4080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1829.77</v>
      </c>
    </row>
    <row r="15" spans="1:6">
      <c r="A15" s="348" t="s">
        <v>184</v>
      </c>
      <c r="B15" s="334">
        <v>5</v>
      </c>
    </row>
    <row r="16" spans="1:6">
      <c r="A16" s="348" t="s">
        <v>6</v>
      </c>
      <c r="B16" s="334">
        <v>87</v>
      </c>
    </row>
    <row r="17" spans="1:6">
      <c r="A17" s="348" t="s">
        <v>7</v>
      </c>
      <c r="B17" s="334">
        <v>403</v>
      </c>
    </row>
    <row r="18" spans="1:6">
      <c r="A18" s="348" t="s">
        <v>8</v>
      </c>
      <c r="B18" s="334">
        <v>434</v>
      </c>
    </row>
    <row r="19" spans="1:6">
      <c r="A19" s="348" t="s">
        <v>9</v>
      </c>
      <c r="B19" s="334">
        <v>324</v>
      </c>
    </row>
    <row r="20" spans="1:6">
      <c r="A20" s="348" t="s">
        <v>10</v>
      </c>
      <c r="B20" s="334">
        <v>369</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159</v>
      </c>
    </row>
    <row r="27" spans="1:6">
      <c r="A27" s="348" t="s">
        <v>17</v>
      </c>
      <c r="B27" s="334">
        <v>0</v>
      </c>
    </row>
    <row r="28" spans="1:6" s="356" customFormat="1">
      <c r="A28" s="355" t="s">
        <v>18</v>
      </c>
      <c r="B28" s="355">
        <v>0</v>
      </c>
    </row>
    <row r="29" spans="1:6">
      <c r="A29" s="355" t="s">
        <v>884</v>
      </c>
      <c r="B29" s="355">
        <v>62</v>
      </c>
      <c r="C29" s="356"/>
      <c r="D29" s="356"/>
      <c r="E29" s="356"/>
      <c r="F29" s="356"/>
    </row>
    <row r="30" spans="1:6">
      <c r="A30" s="355" t="s">
        <v>885</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5619.6542415000004</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2163</v>
      </c>
      <c r="D39" s="334">
        <v>39676259.016000003</v>
      </c>
      <c r="E39" s="334">
        <v>3726</v>
      </c>
      <c r="F39" s="334">
        <v>14744823.341</v>
      </c>
    </row>
    <row r="40" spans="1:6">
      <c r="A40" s="348" t="s">
        <v>30</v>
      </c>
      <c r="B40" s="348" t="s">
        <v>29</v>
      </c>
      <c r="C40" s="334">
        <v>1</v>
      </c>
      <c r="D40" s="334">
        <v>5696.5682994999997</v>
      </c>
      <c r="E40" s="334">
        <v>1</v>
      </c>
      <c r="F40" s="334">
        <v>1338.8402891999999</v>
      </c>
    </row>
    <row r="41" spans="1:6">
      <c r="A41" s="348" t="s">
        <v>32</v>
      </c>
      <c r="B41" s="348" t="s">
        <v>33</v>
      </c>
      <c r="C41" s="334">
        <v>13</v>
      </c>
      <c r="D41" s="334">
        <v>173854.90916000001</v>
      </c>
      <c r="E41" s="334">
        <v>47</v>
      </c>
      <c r="F41" s="334">
        <v>323517.13514000003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59568.495439999999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644238.14211999997</v>
      </c>
      <c r="E48" s="334">
        <v>26</v>
      </c>
      <c r="F48" s="334">
        <v>327418.46704999998</v>
      </c>
    </row>
    <row r="49" spans="1:6">
      <c r="A49" s="348" t="s">
        <v>32</v>
      </c>
      <c r="B49" s="348" t="s">
        <v>40</v>
      </c>
      <c r="C49" s="334">
        <v>0</v>
      </c>
      <c r="D49" s="334">
        <v>0</v>
      </c>
      <c r="E49" s="334">
        <v>0</v>
      </c>
      <c r="F49" s="334">
        <v>0</v>
      </c>
    </row>
    <row r="50" spans="1:6">
      <c r="A50" s="348" t="s">
        <v>32</v>
      </c>
      <c r="B50" s="348" t="s">
        <v>41</v>
      </c>
      <c r="C50" s="334">
        <v>0</v>
      </c>
      <c r="D50" s="334">
        <v>0</v>
      </c>
      <c r="E50" s="334">
        <v>4</v>
      </c>
      <c r="F50" s="334">
        <v>9410.796171</v>
      </c>
    </row>
    <row r="51" spans="1:6">
      <c r="A51" s="348" t="s">
        <v>42</v>
      </c>
      <c r="B51" s="348" t="s">
        <v>43</v>
      </c>
      <c r="C51" s="334">
        <v>6</v>
      </c>
      <c r="D51" s="334">
        <v>203390.56346999999</v>
      </c>
      <c r="E51" s="334">
        <v>22</v>
      </c>
      <c r="F51" s="334">
        <v>122793.91618</v>
      </c>
    </row>
    <row r="52" spans="1:6">
      <c r="A52" s="348" t="s">
        <v>42</v>
      </c>
      <c r="B52" s="348" t="s">
        <v>29</v>
      </c>
      <c r="C52" s="334">
        <v>5</v>
      </c>
      <c r="D52" s="334">
        <v>141855.64499</v>
      </c>
      <c r="E52" s="334">
        <v>12</v>
      </c>
      <c r="F52" s="334">
        <v>83141.978237000003</v>
      </c>
    </row>
    <row r="53" spans="1:6">
      <c r="A53" s="348" t="s">
        <v>44</v>
      </c>
      <c r="B53" s="348" t="s">
        <v>45</v>
      </c>
      <c r="C53" s="334">
        <v>52</v>
      </c>
      <c r="D53" s="334">
        <v>1213517.1329000001</v>
      </c>
      <c r="E53" s="334">
        <v>139</v>
      </c>
      <c r="F53" s="334">
        <v>1086685.9493</v>
      </c>
    </row>
    <row r="54" spans="1:6">
      <c r="A54" s="348" t="s">
        <v>46</v>
      </c>
      <c r="B54" s="348" t="s">
        <v>47</v>
      </c>
      <c r="C54" s="334">
        <v>0</v>
      </c>
      <c r="D54" s="334">
        <v>0</v>
      </c>
      <c r="E54" s="334">
        <v>1</v>
      </c>
      <c r="F54" s="334">
        <v>518768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326165.33642000001</v>
      </c>
      <c r="E57" s="334">
        <v>27</v>
      </c>
      <c r="F57" s="334">
        <v>2677596.0868000002</v>
      </c>
    </row>
    <row r="58" spans="1:6">
      <c r="A58" s="348" t="s">
        <v>49</v>
      </c>
      <c r="B58" s="348" t="s">
        <v>51</v>
      </c>
      <c r="C58" s="334">
        <v>7</v>
      </c>
      <c r="D58" s="334">
        <v>995322.26433999999</v>
      </c>
      <c r="E58" s="334">
        <v>12</v>
      </c>
      <c r="F58" s="334">
        <v>769386.09068999998</v>
      </c>
    </row>
    <row r="59" spans="1:6">
      <c r="A59" s="348" t="s">
        <v>49</v>
      </c>
      <c r="B59" s="348" t="s">
        <v>52</v>
      </c>
      <c r="C59" s="334">
        <v>3</v>
      </c>
      <c r="D59" s="334">
        <v>113171.08963</v>
      </c>
      <c r="E59" s="334">
        <v>33</v>
      </c>
      <c r="F59" s="334">
        <v>780909.38488000003</v>
      </c>
    </row>
    <row r="60" spans="1:6">
      <c r="A60" s="348" t="s">
        <v>49</v>
      </c>
      <c r="B60" s="348" t="s">
        <v>53</v>
      </c>
      <c r="C60" s="334">
        <v>10</v>
      </c>
      <c r="D60" s="334">
        <v>494480.70256000001</v>
      </c>
      <c r="E60" s="334">
        <v>19</v>
      </c>
      <c r="F60" s="334">
        <v>344682.79508000001</v>
      </c>
    </row>
    <row r="61" spans="1:6">
      <c r="A61" s="348" t="s">
        <v>49</v>
      </c>
      <c r="B61" s="348" t="s">
        <v>54</v>
      </c>
      <c r="C61" s="334">
        <v>42</v>
      </c>
      <c r="D61" s="334">
        <v>2405903.6135</v>
      </c>
      <c r="E61" s="334">
        <v>69</v>
      </c>
      <c r="F61" s="334">
        <v>639356.82823999994</v>
      </c>
    </row>
    <row r="62" spans="1:6">
      <c r="A62" s="348" t="s">
        <v>49</v>
      </c>
      <c r="B62" s="348" t="s">
        <v>55</v>
      </c>
      <c r="C62" s="334">
        <v>0</v>
      </c>
      <c r="D62" s="334">
        <v>0</v>
      </c>
      <c r="E62" s="334">
        <v>0</v>
      </c>
      <c r="F62" s="334">
        <v>0</v>
      </c>
    </row>
    <row r="63" spans="1:6">
      <c r="A63" s="348" t="s">
        <v>49</v>
      </c>
      <c r="B63" s="348" t="s">
        <v>29</v>
      </c>
      <c r="C63" s="334">
        <v>96</v>
      </c>
      <c r="D63" s="334">
        <v>3004707.3025000002</v>
      </c>
      <c r="E63" s="334">
        <v>123</v>
      </c>
      <c r="F63" s="334">
        <v>2399005.1971</v>
      </c>
    </row>
    <row r="64" spans="1:6">
      <c r="A64" s="348" t="s">
        <v>56</v>
      </c>
      <c r="B64" s="348" t="s">
        <v>57</v>
      </c>
      <c r="C64" s="334">
        <v>0</v>
      </c>
      <c r="D64" s="334">
        <v>0</v>
      </c>
      <c r="E64" s="334">
        <v>0</v>
      </c>
      <c r="F64" s="334">
        <v>0</v>
      </c>
    </row>
    <row r="65" spans="1:6">
      <c r="A65" s="348" t="s">
        <v>56</v>
      </c>
      <c r="B65" s="348" t="s">
        <v>29</v>
      </c>
      <c r="C65" s="334">
        <v>1</v>
      </c>
      <c r="D65" s="334">
        <v>3326.2617386000002</v>
      </c>
      <c r="E65" s="334">
        <v>3</v>
      </c>
      <c r="F65" s="334">
        <v>84759.312483999995</v>
      </c>
    </row>
    <row r="66" spans="1:6">
      <c r="A66" s="348" t="s">
        <v>56</v>
      </c>
      <c r="B66" s="348" t="s">
        <v>58</v>
      </c>
      <c r="C66" s="334">
        <v>0</v>
      </c>
      <c r="D66" s="334">
        <v>0</v>
      </c>
      <c r="E66" s="334">
        <v>6</v>
      </c>
      <c r="F66" s="334">
        <v>719135.11858999997</v>
      </c>
    </row>
    <row r="67" spans="1:6">
      <c r="A67" s="355" t="s">
        <v>56</v>
      </c>
      <c r="B67" s="355" t="s">
        <v>59</v>
      </c>
      <c r="C67" s="334">
        <v>0</v>
      </c>
      <c r="D67" s="334">
        <v>0</v>
      </c>
      <c r="E67" s="334">
        <v>0</v>
      </c>
      <c r="F67" s="334">
        <v>0</v>
      </c>
    </row>
    <row r="68" spans="1:6">
      <c r="A68" s="341" t="s">
        <v>56</v>
      </c>
      <c r="B68" s="341" t="s">
        <v>60</v>
      </c>
      <c r="C68" s="334">
        <v>0</v>
      </c>
      <c r="D68" s="334">
        <v>0</v>
      </c>
      <c r="E68" s="334">
        <v>3</v>
      </c>
      <c r="F68" s="334">
        <v>16948.346704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43931360</v>
      </c>
      <c r="E73" s="475">
        <v>54276093.568677232</v>
      </c>
    </row>
    <row r="74" spans="1:6">
      <c r="A74" s="348" t="s">
        <v>64</v>
      </c>
      <c r="B74" s="348" t="s">
        <v>667</v>
      </c>
      <c r="C74" s="1294" t="s">
        <v>669</v>
      </c>
      <c r="D74" s="475">
        <v>499372.58668394678</v>
      </c>
      <c r="E74" s="475">
        <v>493579.18226048222</v>
      </c>
    </row>
    <row r="75" spans="1:6">
      <c r="A75" s="348" t="s">
        <v>65</v>
      </c>
      <c r="B75" s="348" t="s">
        <v>666</v>
      </c>
      <c r="C75" s="1294" t="s">
        <v>670</v>
      </c>
      <c r="D75" s="475">
        <v>33657677</v>
      </c>
      <c r="E75" s="475">
        <v>42864461.36541447</v>
      </c>
    </row>
    <row r="76" spans="1:6">
      <c r="A76" s="348" t="s">
        <v>65</v>
      </c>
      <c r="B76" s="348" t="s">
        <v>667</v>
      </c>
      <c r="C76" s="1294" t="s">
        <v>671</v>
      </c>
      <c r="D76" s="475">
        <v>331713.58668394678</v>
      </c>
      <c r="E76" s="475">
        <v>322898.86917441175</v>
      </c>
    </row>
    <row r="77" spans="1:6">
      <c r="A77" s="348" t="s">
        <v>66</v>
      </c>
      <c r="B77" s="348" t="s">
        <v>666</v>
      </c>
      <c r="C77" s="1294" t="s">
        <v>672</v>
      </c>
      <c r="D77" s="475">
        <v>174921614</v>
      </c>
      <c r="E77" s="475">
        <v>181219874.47984859</v>
      </c>
    </row>
    <row r="78" spans="1:6">
      <c r="A78" s="341" t="s">
        <v>66</v>
      </c>
      <c r="B78" s="341" t="s">
        <v>667</v>
      </c>
      <c r="C78" s="341" t="s">
        <v>673</v>
      </c>
      <c r="D78" s="1295">
        <v>16561786</v>
      </c>
      <c r="E78" s="1295">
        <v>16811902.773598034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910716.82663210644</v>
      </c>
      <c r="C83" s="475">
        <v>910716.82663210644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1913.5972019771709</v>
      </c>
    </row>
    <row r="92" spans="1:6">
      <c r="A92" s="341" t="s">
        <v>69</v>
      </c>
      <c r="B92" s="342">
        <v>81.128433058935045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1057</v>
      </c>
    </row>
    <row r="98" spans="1:6">
      <c r="A98" s="348" t="s">
        <v>72</v>
      </c>
      <c r="B98" s="334">
        <v>0</v>
      </c>
    </row>
    <row r="99" spans="1:6">
      <c r="A99" s="348" t="s">
        <v>73</v>
      </c>
      <c r="B99" s="334">
        <v>29</v>
      </c>
    </row>
    <row r="100" spans="1:6">
      <c r="A100" s="348" t="s">
        <v>74</v>
      </c>
      <c r="B100" s="334">
        <v>199</v>
      </c>
    </row>
    <row r="101" spans="1:6">
      <c r="A101" s="348" t="s">
        <v>75</v>
      </c>
      <c r="B101" s="334">
        <v>23</v>
      </c>
    </row>
    <row r="102" spans="1:6">
      <c r="A102" s="348" t="s">
        <v>76</v>
      </c>
      <c r="B102" s="334">
        <v>35</v>
      </c>
    </row>
    <row r="103" spans="1:6">
      <c r="A103" s="348" t="s">
        <v>77</v>
      </c>
      <c r="B103" s="334">
        <v>76</v>
      </c>
    </row>
    <row r="104" spans="1:6">
      <c r="A104" s="348" t="s">
        <v>78</v>
      </c>
      <c r="B104" s="334">
        <v>1854</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26861.172648262596</v>
      </c>
      <c r="C3" s="43" t="s">
        <v>170</v>
      </c>
      <c r="D3" s="43"/>
      <c r="E3" s="154"/>
      <c r="F3" s="43"/>
      <c r="G3" s="43"/>
      <c r="H3" s="43"/>
      <c r="I3" s="43"/>
      <c r="J3" s="43"/>
      <c r="K3" s="96"/>
    </row>
    <row r="4" spans="1:11">
      <c r="A4" s="383" t="s">
        <v>171</v>
      </c>
      <c r="B4" s="49">
        <f>IF(ISERROR('SEAP template'!B78+'SEAP template'!C78),0,'SEAP template'!B78+'SEAP template'!C78)</f>
        <v>1994.725635036106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0.2045884169646818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518.76800000000003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518.76800000000003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0.2045884169646818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106.13392389193406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14746.162181289199</v>
      </c>
      <c r="C5" s="17">
        <f>IF(ISERROR('Eigen informatie GS &amp; warmtenet'!B57),0,'Eigen informatie GS &amp; warmtenet'!B57)</f>
        <v>0</v>
      </c>
      <c r="D5" s="30">
        <f>(SUM(HH_hh_gas_kWh,HH_rest_gas_kWh)/1000)*0.902</f>
        <v>35793.123937038152</v>
      </c>
      <c r="E5" s="17">
        <f>B46*B57</f>
        <v>1931.9550952117052</v>
      </c>
      <c r="F5" s="17">
        <f>B51*B62</f>
        <v>20878.26560436923</v>
      </c>
      <c r="G5" s="18"/>
      <c r="H5" s="17"/>
      <c r="I5" s="17"/>
      <c r="J5" s="17">
        <f>B50*B61+C50*C61</f>
        <v>0</v>
      </c>
      <c r="K5" s="17"/>
      <c r="L5" s="17"/>
      <c r="M5" s="17"/>
      <c r="N5" s="17">
        <f>B48*B59+C48*C59</f>
        <v>4351.6633712215935</v>
      </c>
      <c r="O5" s="17">
        <f>B69*B70*B71</f>
        <v>153.20666666666668</v>
      </c>
      <c r="P5" s="17">
        <f>B77*B78*B79/1000-B77*B78*B79/1000/B80</f>
        <v>266.93333333333334</v>
      </c>
    </row>
    <row r="6" spans="1:16">
      <c r="A6" s="16" t="s">
        <v>624</v>
      </c>
      <c r="B6" s="788">
        <f>kWh_PV_kleiner_dan_10kW</f>
        <v>1913.5972019771709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16659.75938326637</v>
      </c>
      <c r="C8" s="21">
        <f>C5</f>
        <v>0</v>
      </c>
      <c r="D8" s="21">
        <f>D5</f>
        <v>35793.123937038152</v>
      </c>
      <c r="E8" s="21">
        <f>E5</f>
        <v>1931.9550952117052</v>
      </c>
      <c r="F8" s="21">
        <f>F5</f>
        <v>20878.26560436923</v>
      </c>
      <c r="G8" s="21"/>
      <c r="H8" s="21"/>
      <c r="I8" s="21"/>
      <c r="J8" s="21">
        <f>J5</f>
        <v>0</v>
      </c>
      <c r="K8" s="21"/>
      <c r="L8" s="21">
        <f>L5</f>
        <v>0</v>
      </c>
      <c r="M8" s="21">
        <f>M5</f>
        <v>0</v>
      </c>
      <c r="N8" s="21">
        <f>N5</f>
        <v>4351.6633712215935</v>
      </c>
      <c r="O8" s="21">
        <f>O5</f>
        <v>153.20666666666668</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0.2045884169646818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3408.3937992349702</v>
      </c>
      <c r="C12" s="23">
        <f ca="1">C10*C8</f>
        <v>0</v>
      </c>
      <c r="D12" s="23">
        <f>D8*D10</f>
        <v>7230.2110352817072</v>
      </c>
      <c r="E12" s="23">
        <f>E10*E8</f>
        <v>438.55380661305708</v>
      </c>
      <c r="F12" s="23">
        <f>F10*F8</f>
        <v>5574.4969163665846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1057</v>
      </c>
      <c r="C18" s="166" t="s">
        <v>111</v>
      </c>
      <c r="D18" s="228"/>
      <c r="E18" s="15"/>
    </row>
    <row r="19" spans="1:7">
      <c r="A19" s="171" t="s">
        <v>72</v>
      </c>
      <c r="B19" s="37">
        <f>aantalw2001_ander</f>
        <v>0</v>
      </c>
      <c r="C19" s="166" t="s">
        <v>111</v>
      </c>
      <c r="D19" s="229"/>
      <c r="E19" s="15"/>
    </row>
    <row r="20" spans="1:7">
      <c r="A20" s="171" t="s">
        <v>73</v>
      </c>
      <c r="B20" s="37">
        <f>aantalw2001_propaan</f>
        <v>29</v>
      </c>
      <c r="C20" s="167">
        <f>IF(ISERROR(B20/SUM($B$20,$B$21,$B$22)*100),0,B20/SUM($B$20,$B$21,$B$22)*100)</f>
        <v>11.553784860557768</v>
      </c>
      <c r="D20" s="229"/>
      <c r="E20" s="15"/>
    </row>
    <row r="21" spans="1:7">
      <c r="A21" s="171" t="s">
        <v>74</v>
      </c>
      <c r="B21" s="37">
        <f>aantalw2001_elektriciteit</f>
        <v>199</v>
      </c>
      <c r="C21" s="167">
        <f>IF(ISERROR(B21/SUM($B$20,$B$21,$B$22)*100),0,B21/SUM($B$20,$B$21,$B$22)*100)</f>
        <v>79.282868525896404</v>
      </c>
      <c r="D21" s="229"/>
      <c r="E21" s="15"/>
    </row>
    <row r="22" spans="1:7">
      <c r="A22" s="171" t="s">
        <v>75</v>
      </c>
      <c r="B22" s="37">
        <f>aantalw2001_hout</f>
        <v>23</v>
      </c>
      <c r="C22" s="167">
        <f>IF(ISERROR(B22/SUM($B$20,$B$21,$B$22)*100),0,B22/SUM($B$20,$B$21,$B$22)*100)</f>
        <v>9.1633466135458175</v>
      </c>
      <c r="D22" s="229"/>
      <c r="E22" s="15"/>
    </row>
    <row r="23" spans="1:7">
      <c r="A23" s="171" t="s">
        <v>76</v>
      </c>
      <c r="B23" s="37">
        <f>aantalw2001_niet_gespec</f>
        <v>35</v>
      </c>
      <c r="C23" s="166" t="s">
        <v>111</v>
      </c>
      <c r="D23" s="228"/>
      <c r="E23" s="15"/>
    </row>
    <row r="24" spans="1:7">
      <c r="A24" s="171" t="s">
        <v>77</v>
      </c>
      <c r="B24" s="37">
        <f>aantalw2001_steenkool</f>
        <v>76</v>
      </c>
      <c r="C24" s="166" t="s">
        <v>111</v>
      </c>
      <c r="D24" s="229"/>
      <c r="E24" s="15"/>
    </row>
    <row r="25" spans="1:7">
      <c r="A25" s="171" t="s">
        <v>78</v>
      </c>
      <c r="B25" s="37">
        <f>aantalw2001_stookolie</f>
        <v>1854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3775</v>
      </c>
      <c r="C28" s="36"/>
      <c r="D28" s="228"/>
    </row>
    <row r="29" spans="1:7" s="15" customFormat="1">
      <c r="A29" s="230" t="s">
        <v>699</v>
      </c>
      <c r="B29" s="37">
        <f>SUM(HH_hh_gas_aantal,HH_rest_gas_aantal)</f>
        <v>2164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2164</v>
      </c>
      <c r="C32" s="167">
        <f>IF(ISERROR(B32/SUM($B$32,$B$34,$B$35,$B$36,$B$38,$B$39)*100),0,B32/SUM($B$32,$B$34,$B$35,$B$36,$B$38,$B$39)*100)</f>
        <v>57.537888859345919</v>
      </c>
      <c r="D32" s="233"/>
      <c r="G32" s="15"/>
    </row>
    <row r="33" spans="1:7">
      <c r="A33" s="171" t="s">
        <v>72</v>
      </c>
      <c r="B33" s="34" t="s">
        <v>111</v>
      </c>
      <c r="C33" s="167"/>
      <c r="D33" s="233"/>
      <c r="G33" s="15"/>
    </row>
    <row r="34" spans="1:7">
      <c r="A34" s="171" t="s">
        <v>73</v>
      </c>
      <c r="B34" s="33">
        <f>IF((($B$28-$B$32-$B$39-$B$77-$B$38)*C20/100)&lt;0,0,($B$28-$B$32-$B$39-$B$77-$B$38)*C20/100)</f>
        <v>85.417131474103584</v>
      </c>
      <c r="C34" s="167">
        <f>IF(ISERROR(B34/SUM($B$32,$B$34,$B$35,$B$36,$B$38,$B$39)*100),0,B34/SUM($B$32,$B$34,$B$35,$B$36,$B$38,$B$39)*100)</f>
        <v>2.2711281965994043</v>
      </c>
      <c r="D34" s="233"/>
      <c r="G34" s="15"/>
    </row>
    <row r="35" spans="1:7">
      <c r="A35" s="171" t="s">
        <v>74</v>
      </c>
      <c r="B35" s="33">
        <f>IF((($B$28-$B$32-$B$39-$B$77-$B$38)*C21/100)&lt;0,0,($B$28-$B$32-$B$39-$B$77-$B$38)*C21/100)</f>
        <v>586.13824701195222</v>
      </c>
      <c r="C35" s="167">
        <f>IF(ISERROR(B35/SUM($B$32,$B$34,$B$35,$B$36,$B$38,$B$39)*100),0,B35/SUM($B$32,$B$34,$B$35,$B$36,$B$38,$B$39)*100)</f>
        <v>15.58463831459591</v>
      </c>
      <c r="D35" s="233"/>
      <c r="G35" s="15"/>
    </row>
    <row r="36" spans="1:7">
      <c r="A36" s="171" t="s">
        <v>75</v>
      </c>
      <c r="B36" s="33">
        <f>IF((($B$28-$B$32-$B$39-$B$77-$B$38)*C22/100)&lt;0,0,($B$28-$B$32-$B$39-$B$77-$B$38)*C22/100)</f>
        <v>67.744621513944239</v>
      </c>
      <c r="C36" s="167">
        <f>IF(ISERROR(B36/SUM($B$32,$B$34,$B$35,$B$36,$B$38,$B$39)*100),0,B36/SUM($B$32,$B$34,$B$35,$B$36,$B$38,$B$39)*100)</f>
        <v>1.8012396041995278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857.69999999999993</v>
      </c>
      <c r="C39" s="167">
        <f>IF(ISERROR(B39/SUM($B$32,$B$34,$B$35,$B$36,$B$38,$B$39)*100),0,B39/SUM($B$32,$B$34,$B$35,$B$36,$B$38,$B$39)*100)</f>
        <v>22.805105025259238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2164</v>
      </c>
      <c r="C44" s="34" t="s">
        <v>111</v>
      </c>
      <c r="D44" s="174"/>
    </row>
    <row r="45" spans="1:7">
      <c r="A45" s="171" t="s">
        <v>72</v>
      </c>
      <c r="B45" s="33" t="str">
        <f t="shared" si="0"/>
        <v>-</v>
      </c>
      <c r="C45" s="34" t="s">
        <v>111</v>
      </c>
      <c r="D45" s="174"/>
    </row>
    <row r="46" spans="1:7">
      <c r="A46" s="171" t="s">
        <v>73</v>
      </c>
      <c r="B46" s="33">
        <f t="shared" si="0"/>
        <v>85.417131474103584</v>
      </c>
      <c r="C46" s="34" t="s">
        <v>111</v>
      </c>
      <c r="D46" s="174"/>
    </row>
    <row r="47" spans="1:7">
      <c r="A47" s="171" t="s">
        <v>74</v>
      </c>
      <c r="B47" s="33">
        <f t="shared" si="0"/>
        <v>586.13824701195222</v>
      </c>
      <c r="C47" s="34" t="s">
        <v>111</v>
      </c>
      <c r="D47" s="174"/>
    </row>
    <row r="48" spans="1:7">
      <c r="A48" s="171" t="s">
        <v>75</v>
      </c>
      <c r="B48" s="33">
        <f t="shared" si="0"/>
        <v>67.744621513944239</v>
      </c>
      <c r="C48" s="33">
        <f>B48*10</f>
        <v>677.44621513944242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857.69999999999993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7610.9363827899997</v>
      </c>
      <c r="C5" s="17">
        <f>IF(ISERROR('Eigen informatie GS &amp; warmtenet'!B58),0,'Eigen informatie GS &amp; warmtenet'!B58)</f>
        <v>0</v>
      </c>
      <c r="D5" s="30">
        <f>SUM(D6:D12)</f>
        <v>6620.4547786728999</v>
      </c>
      <c r="E5" s="17">
        <f>SUM(E6:E12)</f>
        <v>90.786657331748557</v>
      </c>
      <c r="F5" s="17">
        <f>SUM(F6:F12)</f>
        <v>1833.8729078716437</v>
      </c>
      <c r="G5" s="18"/>
      <c r="H5" s="17"/>
      <c r="I5" s="17"/>
      <c r="J5" s="17">
        <f>SUM(J6:J12)</f>
        <v>0</v>
      </c>
      <c r="K5" s="17"/>
      <c r="L5" s="17"/>
      <c r="M5" s="17"/>
      <c r="N5" s="17">
        <f>SUM(N6:N12)</f>
        <v>2332.5068972795793</v>
      </c>
      <c r="O5" s="17">
        <f>B38*B39*B40</f>
        <v>1.5633333333333335</v>
      </c>
      <c r="P5" s="17">
        <f>B46*B47*B48/1000-B46*B47*B48/1000/B49</f>
        <v>19.066666666666666</v>
      </c>
      <c r="R5" s="32"/>
    </row>
    <row r="6" spans="1:18">
      <c r="A6" s="32" t="s">
        <v>54</v>
      </c>
      <c r="B6" s="37">
        <f>B26</f>
        <v>639.35682823999991</v>
      </c>
      <c r="C6" s="33"/>
      <c r="D6" s="37">
        <f>IF(ISERROR(TER_kantoor_gas_kWh/1000),0,TER_kantoor_gas_kWh/1000)*0.902</f>
        <v>2170.1250593770001</v>
      </c>
      <c r="E6" s="33">
        <f>$C$26*'E Balans VL '!I12/100/3.6*1000000</f>
        <v>8.3699684550726783</v>
      </c>
      <c r="F6" s="33">
        <f>$C$26*('E Balans VL '!L12+'E Balans VL '!N12)/100/3.6*1000000</f>
        <v>163.02938433453582</v>
      </c>
      <c r="G6" s="34"/>
      <c r="H6" s="33"/>
      <c r="I6" s="33"/>
      <c r="J6" s="33">
        <f>$C$26*('E Balans VL '!D12+'E Balans VL '!E12)/100/3.6*1000000</f>
        <v>0</v>
      </c>
      <c r="K6" s="33"/>
      <c r="L6" s="33"/>
      <c r="M6" s="33"/>
      <c r="N6" s="33">
        <f>$C$26*'E Balans VL '!Y12/100/3.6*1000000</f>
        <v>0.64150982811335044</v>
      </c>
      <c r="O6" s="33"/>
      <c r="P6" s="33"/>
      <c r="R6" s="32"/>
    </row>
    <row r="7" spans="1:18">
      <c r="A7" s="32" t="s">
        <v>53</v>
      </c>
      <c r="B7" s="37">
        <f t="shared" ref="B7:B12" si="0">B27</f>
        <v>344.68279508000001</v>
      </c>
      <c r="C7" s="33"/>
      <c r="D7" s="37">
        <f>IF(ISERROR(TER_horeca_gas_kWh/1000),0,TER_horeca_gas_kWh/1000)*0.902</f>
        <v>446.02159370912</v>
      </c>
      <c r="E7" s="33">
        <f>$C$27*'E Balans VL '!I9/100/3.6*1000000</f>
        <v>11.406903882039126</v>
      </c>
      <c r="F7" s="33">
        <f>$C$27*('E Balans VL '!L9+'E Balans VL '!N9)/100/3.6*1000000</f>
        <v>148.2122808999207</v>
      </c>
      <c r="G7" s="34"/>
      <c r="H7" s="33"/>
      <c r="I7" s="33"/>
      <c r="J7" s="33">
        <f>$C$27*('E Balans VL '!D9+'E Balans VL '!E9)/100/3.6*1000000</f>
        <v>0</v>
      </c>
      <c r="K7" s="33"/>
      <c r="L7" s="33"/>
      <c r="M7" s="33"/>
      <c r="N7" s="33">
        <f>$C$27*'E Balans VL '!Y9/100/3.6*1000000</f>
        <v>8.2970154119231365E-2</v>
      </c>
      <c r="O7" s="33"/>
      <c r="P7" s="33"/>
      <c r="R7" s="32"/>
    </row>
    <row r="8" spans="1:18">
      <c r="A8" s="6" t="s">
        <v>52</v>
      </c>
      <c r="B8" s="37">
        <f t="shared" si="0"/>
        <v>780.90938488000006</v>
      </c>
      <c r="C8" s="33"/>
      <c r="D8" s="37">
        <f>IF(ISERROR(TER_handel_gas_kWh/1000),0,TER_handel_gas_kWh/1000)*0.902</f>
        <v>102.08032284626</v>
      </c>
      <c r="E8" s="33">
        <f>$C$28*'E Balans VL '!I13/100/3.6*1000000</f>
        <v>24.646693380835586</v>
      </c>
      <c r="F8" s="33">
        <f>$C$28*('E Balans VL '!L13+'E Balans VL '!N13)/100/3.6*1000000</f>
        <v>153.15008133550043</v>
      </c>
      <c r="G8" s="34"/>
      <c r="H8" s="33"/>
      <c r="I8" s="33"/>
      <c r="J8" s="33">
        <f>$C$28*('E Balans VL '!D13+'E Balans VL '!E13)/100/3.6*1000000</f>
        <v>0</v>
      </c>
      <c r="K8" s="33"/>
      <c r="L8" s="33"/>
      <c r="M8" s="33"/>
      <c r="N8" s="33">
        <f>$C$28*'E Balans VL '!Y13/100/3.6*1000000</f>
        <v>0.92678782815674166</v>
      </c>
      <c r="O8" s="33"/>
      <c r="P8" s="33"/>
      <c r="R8" s="32"/>
    </row>
    <row r="9" spans="1:18">
      <c r="A9" s="32" t="s">
        <v>51</v>
      </c>
      <c r="B9" s="37">
        <f t="shared" si="0"/>
        <v>769.38609068999995</v>
      </c>
      <c r="C9" s="33"/>
      <c r="D9" s="37">
        <f>IF(ISERROR(TER_gezond_gas_kWh/1000),0,TER_gezond_gas_kWh/1000)*0.902</f>
        <v>897.78068243467999</v>
      </c>
      <c r="E9" s="33">
        <f>$C$29*'E Balans VL '!I10/100/3.6*1000000</f>
        <v>9.8503927498995211E-2</v>
      </c>
      <c r="F9" s="33">
        <f>$C$29*('E Balans VL '!L10+'E Balans VL '!N10)/100/3.6*1000000</f>
        <v>160.29537061709684</v>
      </c>
      <c r="G9" s="34"/>
      <c r="H9" s="33"/>
      <c r="I9" s="33"/>
      <c r="J9" s="33">
        <f>$C$29*('E Balans VL '!D10+'E Balans VL '!E10)/100/3.6*1000000</f>
        <v>0</v>
      </c>
      <c r="K9" s="33"/>
      <c r="L9" s="33"/>
      <c r="M9" s="33"/>
      <c r="N9" s="33">
        <f>$C$29*'E Balans VL '!Y10/100/3.6*1000000</f>
        <v>9.036803294829328</v>
      </c>
      <c r="O9" s="33"/>
      <c r="P9" s="33"/>
      <c r="R9" s="32"/>
    </row>
    <row r="10" spans="1:18">
      <c r="A10" s="32" t="s">
        <v>50</v>
      </c>
      <c r="B10" s="37">
        <f t="shared" si="0"/>
        <v>2677.5960868000002</v>
      </c>
      <c r="C10" s="33"/>
      <c r="D10" s="37">
        <f>IF(ISERROR(TER_ander_gas_kWh/1000),0,TER_ander_gas_kWh/1000)*0.902</f>
        <v>294.20113345084002</v>
      </c>
      <c r="E10" s="33">
        <f>$C$30*'E Balans VL '!I14/100/3.6*1000000</f>
        <v>4.0264748360892346</v>
      </c>
      <c r="F10" s="33">
        <f>$C$30*('E Balans VL '!L14+'E Balans VL '!N14)/100/3.6*1000000</f>
        <v>591.12690473468683</v>
      </c>
      <c r="G10" s="34"/>
      <c r="H10" s="33"/>
      <c r="I10" s="33"/>
      <c r="J10" s="33">
        <f>$C$30*('E Balans VL '!D14+'E Balans VL '!E14)/100/3.6*1000000</f>
        <v>0</v>
      </c>
      <c r="K10" s="33"/>
      <c r="L10" s="33"/>
      <c r="M10" s="33"/>
      <c r="N10" s="33">
        <f>$C$30*'E Balans VL '!Y14/100/3.6*1000000</f>
        <v>2110.1259118209982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2399.0051970999998</v>
      </c>
      <c r="C12" s="33"/>
      <c r="D12" s="37">
        <f>IF(ISERROR(TER_rest_gas_kWh/1000),0,TER_rest_gas_kWh/1000)*0.902</f>
        <v>2710.2459868550004</v>
      </c>
      <c r="E12" s="33">
        <f>$C$32*'E Balans VL '!I8/100/3.6*1000000</f>
        <v>42.238112850212943</v>
      </c>
      <c r="F12" s="33">
        <f>$C$32*('E Balans VL '!L8+'E Balans VL '!N8)/100/3.6*1000000</f>
        <v>618.0588859499029</v>
      </c>
      <c r="G12" s="34"/>
      <c r="H12" s="33"/>
      <c r="I12" s="33"/>
      <c r="J12" s="33">
        <f>$C$32*('E Balans VL '!D8+'E Balans VL '!E8)/100/3.6*1000000</f>
        <v>0</v>
      </c>
      <c r="K12" s="33"/>
      <c r="L12" s="33"/>
      <c r="M12" s="33"/>
      <c r="N12" s="33">
        <f>$C$32*'E Balans VL '!Y8/100/3.6*1000000</f>
        <v>211.6929143533624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7610.9363827899997</v>
      </c>
      <c r="C16" s="21">
        <f t="shared" ca="1" si="1"/>
        <v>0</v>
      </c>
      <c r="D16" s="21">
        <f t="shared" ca="1" si="1"/>
        <v>6620.4547786728999</v>
      </c>
      <c r="E16" s="21">
        <f t="shared" si="1"/>
        <v>90.786657331748557</v>
      </c>
      <c r="F16" s="21">
        <f t="shared" ca="1" si="1"/>
        <v>1833.8729078716437</v>
      </c>
      <c r="G16" s="21">
        <f t="shared" si="1"/>
        <v>0</v>
      </c>
      <c r="H16" s="21">
        <f t="shared" si="1"/>
        <v>0</v>
      </c>
      <c r="I16" s="21">
        <f t="shared" si="1"/>
        <v>0</v>
      </c>
      <c r="J16" s="21">
        <f t="shared" si="1"/>
        <v>0</v>
      </c>
      <c r="K16" s="21">
        <f t="shared" si="1"/>
        <v>0</v>
      </c>
      <c r="L16" s="21">
        <f t="shared" ca="1" si="1"/>
        <v>0</v>
      </c>
      <c r="M16" s="21">
        <f t="shared" si="1"/>
        <v>0</v>
      </c>
      <c r="N16" s="21">
        <f t="shared" ca="1" si="1"/>
        <v>2332.5068972795793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0.2045884169646818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1557.1094261739074</v>
      </c>
      <c r="C20" s="23">
        <f t="shared" ref="C20:P20" ca="1" si="2">C16*C18</f>
        <v>0</v>
      </c>
      <c r="D20" s="23">
        <f t="shared" ca="1" si="2"/>
        <v>1337.3318652919259</v>
      </c>
      <c r="E20" s="23">
        <f t="shared" si="2"/>
        <v>20.608571214306924</v>
      </c>
      <c r="F20" s="23">
        <f t="shared" ca="1" si="2"/>
        <v>489.64406640172894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639.35682823999991</v>
      </c>
      <c r="C26" s="39">
        <f>IF(ISERROR(B26*3.6/1000000/'E Balans VL '!Z12*100),0,B26*3.6/1000000/'E Balans VL '!Z12*100)</f>
        <v>1.3695519957879513E-2</v>
      </c>
      <c r="D26" s="237" t="s">
        <v>660</v>
      </c>
      <c r="F26" s="6"/>
    </row>
    <row r="27" spans="1:18">
      <c r="A27" s="231" t="s">
        <v>53</v>
      </c>
      <c r="B27" s="33">
        <f>IF(ISERROR(TER_horeca_ele_kWh/1000),0,TER_horeca_ele_kWh/1000)</f>
        <v>344.68279508000001</v>
      </c>
      <c r="C27" s="39">
        <f>IF(ISERROR(B27*3.6/1000000/'E Balans VL '!Z9*100),0,B27*3.6/1000000/'E Balans VL '!Z9*100)</f>
        <v>2.765959620000356E-2</v>
      </c>
      <c r="D27" s="237" t="s">
        <v>660</v>
      </c>
      <c r="F27" s="6"/>
    </row>
    <row r="28" spans="1:18">
      <c r="A28" s="171" t="s">
        <v>52</v>
      </c>
      <c r="B28" s="33">
        <f>IF(ISERROR(TER_handel_ele_kWh/1000),0,TER_handel_ele_kWh/1000)</f>
        <v>780.90938488000006</v>
      </c>
      <c r="C28" s="39">
        <f>IF(ISERROR(B28*3.6/1000000/'E Balans VL '!Z13*100),0,B28*3.6/1000000/'E Balans VL '!Z13*100)</f>
        <v>2.3032347736385819E-2</v>
      </c>
      <c r="D28" s="237" t="s">
        <v>660</v>
      </c>
      <c r="F28" s="6"/>
    </row>
    <row r="29" spans="1:18">
      <c r="A29" s="231" t="s">
        <v>51</v>
      </c>
      <c r="B29" s="33">
        <f>IF(ISERROR(TER_gezond_ele_kWh/1000),0,TER_gezond_ele_kWh/1000)</f>
        <v>769.38609068999995</v>
      </c>
      <c r="C29" s="39">
        <f>IF(ISERROR(B29*3.6/1000000/'E Balans VL '!Z10*100),0,B29*3.6/1000000/'E Balans VL '!Z10*100)</f>
        <v>8.2149806471056408E-2</v>
      </c>
      <c r="D29" s="237" t="s">
        <v>660</v>
      </c>
      <c r="F29" s="6"/>
    </row>
    <row r="30" spans="1:18">
      <c r="A30" s="231" t="s">
        <v>50</v>
      </c>
      <c r="B30" s="33">
        <f>IF(ISERROR(TER_ander_ele_kWh/1000),0,TER_ander_ele_kWh/1000)</f>
        <v>2677.5960868000002</v>
      </c>
      <c r="C30" s="39">
        <f>IF(ISERROR(B30*3.6/1000000/'E Balans VL '!Z14*100),0,B30*3.6/1000000/'E Balans VL '!Z14*100)</f>
        <v>0.20224934693171712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2399.0051970999998</v>
      </c>
      <c r="C32" s="39">
        <f>IF(ISERROR(B32*3.6/1000000/'E Balans VL '!Z8*100),0,B32*3.6/1000000/'E Balans VL '!Z8*100)</f>
        <v>1.989109367459654E-2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719.91489380100006</v>
      </c>
      <c r="C5" s="17">
        <f>IF(ISERROR('Eigen informatie GS &amp; warmtenet'!B59),0,'Eigen informatie GS &amp; warmtenet'!B59)</f>
        <v>0</v>
      </c>
      <c r="D5" s="30">
        <f>SUM(D6:D15)</f>
        <v>737.91993225456008</v>
      </c>
      <c r="E5" s="17">
        <f>SUM(E6:E15)</f>
        <v>102.70688957545136</v>
      </c>
      <c r="F5" s="17">
        <f>SUM(F6:F15)</f>
        <v>378.02717629937405</v>
      </c>
      <c r="G5" s="18"/>
      <c r="H5" s="17"/>
      <c r="I5" s="17"/>
      <c r="J5" s="17">
        <f>SUM(J6:J15)</f>
        <v>2.6544193459233529</v>
      </c>
      <c r="K5" s="17"/>
      <c r="L5" s="17"/>
      <c r="M5" s="17"/>
      <c r="N5" s="17">
        <f>SUM(N6:N15)</f>
        <v>173.62122483779308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59.56849544</v>
      </c>
      <c r="C8" s="33"/>
      <c r="D8" s="37">
        <f>IF( ISERROR(IND_metaal_Gas_kWH/1000),0,IND_metaal_Gas_kWH/1000)*0.902</f>
        <v>0</v>
      </c>
      <c r="E8" s="33">
        <f>C30*'E Balans VL '!I18/100/3.6*1000000</f>
        <v>2.1434546728457735</v>
      </c>
      <c r="F8" s="33">
        <f>C30*'E Balans VL '!L18/100/3.6*1000000+C30*'E Balans VL '!N18/100/3.6*1000000</f>
        <v>26.011630955782191</v>
      </c>
      <c r="G8" s="34"/>
      <c r="H8" s="33"/>
      <c r="I8" s="33"/>
      <c r="J8" s="40">
        <f>C30*'E Balans VL '!D18/100/3.6*1000000+C30*'E Balans VL '!E18/100/3.6*1000000</f>
        <v>0</v>
      </c>
      <c r="K8" s="33"/>
      <c r="L8" s="33"/>
      <c r="M8" s="33"/>
      <c r="N8" s="33">
        <f>C30*'E Balans VL '!Y18/100/3.6*1000000</f>
        <v>2.9855325103707893</v>
      </c>
      <c r="O8" s="33"/>
      <c r="P8" s="33"/>
      <c r="R8" s="32"/>
    </row>
    <row r="9" spans="1:18">
      <c r="A9" s="6" t="s">
        <v>33</v>
      </c>
      <c r="B9" s="37">
        <f t="shared" si="0"/>
        <v>323.51713514000005</v>
      </c>
      <c r="C9" s="33"/>
      <c r="D9" s="37">
        <f>IF( ISERROR(IND_andere_gas_kWh/1000),0,IND_andere_gas_kWh/1000)*0.902</f>
        <v>156.81712806232002</v>
      </c>
      <c r="E9" s="33">
        <f>C31*'E Balans VL '!I19/100/3.6*1000000</f>
        <v>82.554253107526051</v>
      </c>
      <c r="F9" s="33">
        <f>C31*'E Balans VL '!L19/100/3.6*1000000+C31*'E Balans VL '!N19/100/3.6*1000000</f>
        <v>278.52393686231886</v>
      </c>
      <c r="G9" s="34"/>
      <c r="H9" s="33"/>
      <c r="I9" s="33"/>
      <c r="J9" s="40">
        <f>C31*'E Balans VL '!D19/100/3.6*1000000+C31*'E Balans VL '!E19/100/3.6*1000000</f>
        <v>0</v>
      </c>
      <c r="K9" s="33"/>
      <c r="L9" s="33"/>
      <c r="M9" s="33"/>
      <c r="N9" s="33">
        <f>C31*'E Balans VL '!Y19/100/3.6*1000000</f>
        <v>101.17488746304751</v>
      </c>
      <c r="O9" s="33"/>
      <c r="P9" s="33"/>
      <c r="R9" s="32"/>
    </row>
    <row r="10" spans="1:18">
      <c r="A10" s="6" t="s">
        <v>41</v>
      </c>
      <c r="B10" s="37">
        <f t="shared" si="0"/>
        <v>9.4107961709999994</v>
      </c>
      <c r="C10" s="33"/>
      <c r="D10" s="37">
        <f>IF( ISERROR(IND_voed_gas_kWh/1000),0,IND_voed_gas_kWh/1000)*0.902</f>
        <v>0</v>
      </c>
      <c r="E10" s="33">
        <f>C32*'E Balans VL '!I20/100/3.6*1000000</f>
        <v>0.23923536074890553</v>
      </c>
      <c r="F10" s="33">
        <f>C32*'E Balans VL '!L20/100/3.6*1000000+C32*'E Balans VL '!N20/100/3.6*1000000</f>
        <v>2.1295219052637933</v>
      </c>
      <c r="G10" s="34"/>
      <c r="H10" s="33"/>
      <c r="I10" s="33"/>
      <c r="J10" s="40">
        <f>C32*'E Balans VL '!D20/100/3.6*1000000+C32*'E Balans VL '!E20/100/3.6*1000000</f>
        <v>0</v>
      </c>
      <c r="K10" s="33"/>
      <c r="L10" s="33"/>
      <c r="M10" s="33"/>
      <c r="N10" s="33">
        <f>C32*'E Balans VL '!Y20/100/3.6*1000000</f>
        <v>3.5293036537888245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327.41846705</v>
      </c>
      <c r="C15" s="33"/>
      <c r="D15" s="37">
        <f>IF( ISERROR(IND_rest_gas_kWh/1000),0,IND_rest_gas_kWh/1000)*0.902</f>
        <v>581.10280419224</v>
      </c>
      <c r="E15" s="33">
        <f>C37*'E Balans VL '!I15/100/3.6*1000000</f>
        <v>17.769946434330613</v>
      </c>
      <c r="F15" s="33">
        <f>C37*'E Balans VL '!L15/100/3.6*1000000+C37*'E Balans VL '!N15/100/3.6*1000000</f>
        <v>71.362086576009162</v>
      </c>
      <c r="G15" s="34"/>
      <c r="H15" s="33"/>
      <c r="I15" s="33"/>
      <c r="J15" s="40">
        <f>C37*'E Balans VL '!D15/100/3.6*1000000+C37*'E Balans VL '!E15/100/3.6*1000000</f>
        <v>2.6544193459233529</v>
      </c>
      <c r="K15" s="33"/>
      <c r="L15" s="33"/>
      <c r="M15" s="33"/>
      <c r="N15" s="33">
        <f>C37*'E Balans VL '!Y15/100/3.6*1000000</f>
        <v>65.931501210585949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719.91489380100006</v>
      </c>
      <c r="C18" s="21">
        <f>C5+C16</f>
        <v>0</v>
      </c>
      <c r="D18" s="21">
        <f>MAX((D5+D16),0)</f>
        <v>737.91993225456008</v>
      </c>
      <c r="E18" s="21">
        <f>MAX((E5+E16),0)</f>
        <v>102.70688957545136</v>
      </c>
      <c r="F18" s="21">
        <f>MAX((F5+F16),0)</f>
        <v>378.02717629937405</v>
      </c>
      <c r="G18" s="21"/>
      <c r="H18" s="21"/>
      <c r="I18" s="21"/>
      <c r="J18" s="21">
        <f>MAX((J5+J16),0)</f>
        <v>2.6544193459233529</v>
      </c>
      <c r="K18" s="21"/>
      <c r="L18" s="21">
        <f>MAX((L5+L16),0)</f>
        <v>0</v>
      </c>
      <c r="M18" s="21"/>
      <c r="N18" s="21">
        <f>MAX((N5+N16),0)</f>
        <v>173.62122483779308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0.2045884169646818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147.28624847204361</v>
      </c>
      <c r="C22" s="23">
        <f ca="1">C18*C20</f>
        <v>0</v>
      </c>
      <c r="D22" s="23">
        <f>D18*D20</f>
        <v>149.05982631542113</v>
      </c>
      <c r="E22" s="23">
        <f>E18*E20</f>
        <v>23.314463933627458</v>
      </c>
      <c r="F22" s="23">
        <f>F18*F20</f>
        <v>100.93325607193287</v>
      </c>
      <c r="G22" s="23"/>
      <c r="H22" s="23"/>
      <c r="I22" s="23"/>
      <c r="J22" s="23">
        <f>J18*J20</f>
        <v>0.93966444845686692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59.56849544</v>
      </c>
      <c r="C30" s="39">
        <f>IF(ISERROR(B30*3.6/1000000/'E Balans VL '!Z18*100),0,B30*3.6/1000000/'E Balans VL '!Z18*100)</f>
        <v>1.2621287068852823E-2</v>
      </c>
      <c r="D30" s="237" t="s">
        <v>660</v>
      </c>
    </row>
    <row r="31" spans="1:18">
      <c r="A31" s="6" t="s">
        <v>33</v>
      </c>
      <c r="B31" s="37">
        <f>IF( ISERROR(IND_ander_ele_kWh/1000),0,IND_ander_ele_kWh/1000)</f>
        <v>323.51713514000005</v>
      </c>
      <c r="C31" s="39">
        <f>IF(ISERROR(B31*3.6/1000000/'E Balans VL '!Z19*100),0,B31*3.6/1000000/'E Balans VL '!Z19*100)</f>
        <v>1.3617570817122329E-2</v>
      </c>
      <c r="D31" s="237" t="s">
        <v>660</v>
      </c>
    </row>
    <row r="32" spans="1:18">
      <c r="A32" s="171" t="s">
        <v>41</v>
      </c>
      <c r="B32" s="37">
        <f>IF( ISERROR(IND_voed_ele_kWh/1000),0,IND_voed_ele_kWh/1000)</f>
        <v>9.4107961709999994</v>
      </c>
      <c r="C32" s="39">
        <f>IF(ISERROR(B32*3.6/1000000/'E Balans VL '!Z20*100),0,B32*3.6/1000000/'E Balans VL '!Z20*100)</f>
        <v>1.5721799762011711E-3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327.41846705</v>
      </c>
      <c r="C37" s="39">
        <f>IF(ISERROR(B37*3.6/1000000/'E Balans VL '!Z15*100),0,B37*3.6/1000000/'E Balans VL '!Z15*100)</f>
        <v>2.6433760667359963E-3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205.93589441700001</v>
      </c>
      <c r="C5" s="17">
        <f>'Eigen informatie GS &amp; warmtenet'!B60</f>
        <v>0</v>
      </c>
      <c r="D5" s="30">
        <f>IF(ISERROR(SUM(LB_lb_gas_kWh,LB_rest_gas_kWh)/1000),0,SUM(LB_lb_gas_kWh,LB_rest_gas_kWh)/1000)*0.902</f>
        <v>311.41208003091998</v>
      </c>
      <c r="E5" s="17">
        <f>B17*'E Balans VL '!I25/3.6*1000000/100</f>
        <v>5.3102960145967373</v>
      </c>
      <c r="F5" s="17">
        <f>B17*('E Balans VL '!L25/3.6*1000000+'E Balans VL '!N25/3.6*1000000)/100</f>
        <v>752.73491268010014</v>
      </c>
      <c r="G5" s="18"/>
      <c r="H5" s="17"/>
      <c r="I5" s="17"/>
      <c r="J5" s="17">
        <f>('E Balans VL '!D25+'E Balans VL '!E25)/3.6*1000000*landbouw!B17/100</f>
        <v>29.647193102920838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205.93589441700001</v>
      </c>
      <c r="C8" s="21">
        <f>C5+C6</f>
        <v>0</v>
      </c>
      <c r="D8" s="21">
        <f>MAX((D5+D6),0)</f>
        <v>311.41208003091998</v>
      </c>
      <c r="E8" s="21">
        <f>MAX((E5+E6),0)</f>
        <v>5.3102960145967373</v>
      </c>
      <c r="F8" s="21">
        <f>MAX((F5+F6),0)</f>
        <v>752.73491268010014</v>
      </c>
      <c r="G8" s="21"/>
      <c r="H8" s="21"/>
      <c r="I8" s="21"/>
      <c r="J8" s="21">
        <f>MAX((J5+J6),0)</f>
        <v>29.647193102920838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0.2045884169646818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42.132098634979883</v>
      </c>
      <c r="C12" s="23">
        <f ca="1">C8*C10</f>
        <v>0</v>
      </c>
      <c r="D12" s="23">
        <f>D8*D10</f>
        <v>62.905240166245839</v>
      </c>
      <c r="E12" s="23">
        <f>E8*E10</f>
        <v>1.2054371953134595</v>
      </c>
      <c r="F12" s="23">
        <f>F8*F10</f>
        <v>200.98022168558674</v>
      </c>
      <c r="G12" s="23"/>
      <c r="H12" s="23"/>
      <c r="I12" s="23"/>
      <c r="J12" s="23">
        <f>J8*J10</f>
        <v>10.495106358433976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2.9038325201574833E-2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100.79524993082893</v>
      </c>
      <c r="C26" s="247">
        <f>B26*'GWP N2O_CH4'!B5</f>
        <v>2116.7002485474077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8.0667237591553054</v>
      </c>
      <c r="C27" s="247">
        <f>B27*'GWP N2O_CH4'!B5</f>
        <v>169.4011989422614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1.4669232482773094</v>
      </c>
      <c r="C28" s="247">
        <f>B28*'GWP N2O_CH4'!B4</f>
        <v>454.74620696596588</v>
      </c>
      <c r="D28" s="50"/>
    </row>
    <row r="29" spans="1:4">
      <c r="A29" s="41" t="s">
        <v>277</v>
      </c>
      <c r="B29" s="247">
        <f>B34*'ha_N2O bodem landbouw'!B4</f>
        <v>12.071140198498151</v>
      </c>
      <c r="C29" s="247">
        <f>B29*'GWP N2O_CH4'!B4</f>
        <v>3742.0534615344268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2.7166625095020906E-3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2.130197208776291E-4</v>
      </c>
      <c r="C5" s="463" t="s">
        <v>211</v>
      </c>
      <c r="D5" s="448">
        <f>SUM(D6:D11)</f>
        <v>4.8048736353883633E-4</v>
      </c>
      <c r="E5" s="448">
        <f>SUM(E6:E11)</f>
        <v>2.158576592342643E-3</v>
      </c>
      <c r="F5" s="461" t="s">
        <v>211</v>
      </c>
      <c r="G5" s="448">
        <f>SUM(G6:G11)</f>
        <v>0.63065181950741223</v>
      </c>
      <c r="H5" s="448">
        <f>SUM(H6:H11)</f>
        <v>0.13279648379544429</v>
      </c>
      <c r="I5" s="463" t="s">
        <v>211</v>
      </c>
      <c r="J5" s="463" t="s">
        <v>211</v>
      </c>
      <c r="K5" s="463" t="s">
        <v>211</v>
      </c>
      <c r="L5" s="463" t="s">
        <v>211</v>
      </c>
      <c r="M5" s="448">
        <f>SUM(M6:M11)</f>
        <v>2.384775835754413E-2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3.70607972690017E-5</v>
      </c>
      <c r="C6" s="449"/>
      <c r="D6" s="892">
        <f>vkm_2011_GW_PW*SUMIFS(TableVerdeelsleutelVkm[CNG],TableVerdeelsleutelVkm[Voertuigtype],"Lichte voertuigen")*SUMIFS(TableECFTransport[EnergieConsumptieFactor (PJ per km)],TableECFTransport[Index],CONCATENATE($A6,"_CNG_CNG"))</f>
        <v>7.3640453350238893E-5</v>
      </c>
      <c r="E6" s="892">
        <f>vkm_2011_GW_PW*SUMIFS(TableVerdeelsleutelVkm[LPG],TableVerdeelsleutelVkm[Voertuigtype],"Lichte voertuigen")*SUMIFS(TableECFTransport[EnergieConsumptieFactor (PJ per km)],TableECFTransport[Index],CONCATENATE($A6,"_LPG_LPG"))</f>
        <v>2.8980158205679486E-4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6.8904872540993062E-2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1.9936686145970352E-2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2.7683850061805517E-3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4.7850868438828673E-3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1.5457874384183124E-6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1.5077076490389632E-4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2.8393847671516229E-5</v>
      </c>
      <c r="C8" s="449"/>
      <c r="D8" s="451">
        <f>vkm_2011_NGW_PW*SUMIFS(TableVerdeelsleutelVkm[CNG],TableVerdeelsleutelVkm[Voertuigtype],"Lichte voertuigen")*SUMIFS(TableECFTransport[EnergieConsumptieFactor (PJ per km)],TableECFTransport[Index],CONCATENATE($A8,"_CNG_CNG"))</f>
        <v>9.9897596594588912E-5</v>
      </c>
      <c r="E8" s="451">
        <f>vkm_2011_NGW_PW*SUMIFS(TableVerdeelsleutelVkm[LPG],TableVerdeelsleutelVkm[Voertuigtype],"Lichte voertuigen")*SUMIFS(TableECFTransport[EnergieConsumptieFactor (PJ per km)],TableECFTransport[Index],CONCATENATE($A8,"_LPG_LPG"))</f>
        <v>3.635784364851341E-4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8.0724633461657022E-2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2.6224581939661425E-2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3.3292873427841069E-3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4.0571035575881279E-3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1.2394795374516618E-6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1.2783099175831816E-4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1.4756507593711117E-4</v>
      </c>
      <c r="C10" s="449"/>
      <c r="D10" s="451">
        <f>vkm_2011_SW_PW*SUMIFS(TableVerdeelsleutelVkm[CNG],TableVerdeelsleutelVkm[Voertuigtype],"Lichte voertuigen")*SUMIFS(TableECFTransport[EnergieConsumptieFactor (PJ per km)],TableECFTransport[Index],CONCATENATE($A10,"_CNG_CNG"))</f>
        <v>3.0694931359400855E-4</v>
      </c>
      <c r="E10" s="451">
        <f>vkm_2011_SW_PW*SUMIFS(TableVerdeelsleutelVkm[LPG],TableVerdeelsleutelVkm[Voertuigtype],"Lichte voertuigen")*SUMIFS(TableECFTransport[EnergieConsumptieFactor (PJ per km)],TableECFTransport[Index],CONCATENATE($A10,"_LPG_LPG"))</f>
        <v>1.5051965738007141E-3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0.32058958811883581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8.6579668070136062E-2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1.2694984700647439E-2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0.15159053498445532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5.2762372700576883E-5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4.7764995512698197E-3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59.172144688230304</v>
      </c>
      <c r="C14" s="21"/>
      <c r="D14" s="21">
        <f t="shared" ref="D14:M14" si="0">((D5)*10^9/3600)+D12</f>
        <v>133.4687120941212</v>
      </c>
      <c r="E14" s="21">
        <f t="shared" si="0"/>
        <v>599.60460898406757</v>
      </c>
      <c r="F14" s="21"/>
      <c r="G14" s="21">
        <f t="shared" si="0"/>
        <v>175181.06097428116</v>
      </c>
      <c r="H14" s="21">
        <f t="shared" si="0"/>
        <v>36887.912165401191</v>
      </c>
      <c r="I14" s="21"/>
      <c r="J14" s="21"/>
      <c r="K14" s="21"/>
      <c r="L14" s="21"/>
      <c r="M14" s="21">
        <f t="shared" si="0"/>
        <v>6624.377321540037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0.2045884169646818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12.105935410170144</v>
      </c>
      <c r="C18" s="23"/>
      <c r="D18" s="23">
        <f t="shared" ref="D18:M18" si="1">D14*D16</f>
        <v>26.960679843012485</v>
      </c>
      <c r="E18" s="23">
        <f t="shared" si="1"/>
        <v>136.11024623938334</v>
      </c>
      <c r="F18" s="23"/>
      <c r="G18" s="23">
        <f t="shared" si="1"/>
        <v>46773.343280133071</v>
      </c>
      <c r="H18" s="23">
        <f t="shared" si="1"/>
        <v>9185.0901291848968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1.183956508552967E-2</v>
      </c>
      <c r="H50" s="321">
        <f t="shared" si="2"/>
        <v>0</v>
      </c>
      <c r="I50" s="321">
        <f t="shared" si="2"/>
        <v>0</v>
      </c>
      <c r="J50" s="321">
        <f t="shared" si="2"/>
        <v>0</v>
      </c>
      <c r="K50" s="321">
        <f t="shared" si="2"/>
        <v>0</v>
      </c>
      <c r="L50" s="321">
        <f t="shared" si="2"/>
        <v>0</v>
      </c>
      <c r="M50" s="321">
        <f t="shared" si="2"/>
        <v>3.6723682169018969E-4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1.183956508552967E-2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3.6723682169018969E-4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3288.7680793137974</v>
      </c>
      <c r="H54" s="21">
        <f t="shared" si="3"/>
        <v>0</v>
      </c>
      <c r="I54" s="21">
        <f t="shared" si="3"/>
        <v>0</v>
      </c>
      <c r="J54" s="21">
        <f t="shared" si="3"/>
        <v>0</v>
      </c>
      <c r="K54" s="21">
        <f t="shared" si="3"/>
        <v>0</v>
      </c>
      <c r="L54" s="21">
        <f t="shared" si="3"/>
        <v>0</v>
      </c>
      <c r="M54" s="21">
        <f t="shared" si="3"/>
        <v>102.01022824727492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0.2045884169646818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878.10107717678397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8129.7043827899997</v>
      </c>
      <c r="D10" s="1012">
        <f ca="1">tertiair!C16</f>
        <v>0</v>
      </c>
      <c r="E10" s="1012">
        <f ca="1">tertiair!D16</f>
        <v>6620.4547786728999</v>
      </c>
      <c r="F10" s="1012">
        <f>tertiair!E16</f>
        <v>90.786657331748557</v>
      </c>
      <c r="G10" s="1012">
        <f ca="1">tertiair!F16</f>
        <v>1833.8729078716437</v>
      </c>
      <c r="H10" s="1012">
        <f>tertiair!G16</f>
        <v>0</v>
      </c>
      <c r="I10" s="1012">
        <f>tertiair!H16</f>
        <v>0</v>
      </c>
      <c r="J10" s="1012">
        <f>tertiair!I16</f>
        <v>0</v>
      </c>
      <c r="K10" s="1012">
        <f>tertiair!J16</f>
        <v>0</v>
      </c>
      <c r="L10" s="1012">
        <f>tertiair!K16</f>
        <v>0</v>
      </c>
      <c r="M10" s="1012">
        <f ca="1">tertiair!L16</f>
        <v>0</v>
      </c>
      <c r="N10" s="1012">
        <f>tertiair!M16</f>
        <v>0</v>
      </c>
      <c r="O10" s="1012">
        <f ca="1">tertiair!N16</f>
        <v>2332.5068972795793</v>
      </c>
      <c r="P10" s="1012">
        <f>tertiair!O16</f>
        <v>1.5633333333333335</v>
      </c>
      <c r="Q10" s="1013">
        <f>tertiair!P16</f>
        <v>19.066666666666666</v>
      </c>
      <c r="R10" s="700">
        <f ca="1">SUM(C10:Q10)</f>
        <v>19027.955623945865</v>
      </c>
      <c r="S10" s="67"/>
    </row>
    <row r="11" spans="1:19" s="473" customFormat="1">
      <c r="A11" s="809" t="s">
        <v>225</v>
      </c>
      <c r="B11" s="814"/>
      <c r="C11" s="1012">
        <f>huishoudens!B8</f>
        <v>16659.75938326637</v>
      </c>
      <c r="D11" s="1012">
        <f>huishoudens!C8</f>
        <v>0</v>
      </c>
      <c r="E11" s="1012">
        <f>huishoudens!D8</f>
        <v>35793.123937038152</v>
      </c>
      <c r="F11" s="1012">
        <f>huishoudens!E8</f>
        <v>1931.9550952117052</v>
      </c>
      <c r="G11" s="1012">
        <f>huishoudens!F8</f>
        <v>20878.26560436923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4351.6633712215935</v>
      </c>
      <c r="P11" s="1012">
        <f>huishoudens!O8</f>
        <v>153.20666666666668</v>
      </c>
      <c r="Q11" s="1013">
        <f>huishoudens!P8</f>
        <v>266.93333333333334</v>
      </c>
      <c r="R11" s="700">
        <f>SUM(C11:Q11)</f>
        <v>80034.907391107059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719.91489380100006</v>
      </c>
      <c r="D13" s="1012">
        <f>industrie!C18</f>
        <v>0</v>
      </c>
      <c r="E13" s="1012">
        <f>industrie!D18</f>
        <v>737.91993225456008</v>
      </c>
      <c r="F13" s="1012">
        <f>industrie!E18</f>
        <v>102.70688957545136</v>
      </c>
      <c r="G13" s="1012">
        <f>industrie!F18</f>
        <v>378.02717629937405</v>
      </c>
      <c r="H13" s="1012">
        <f>industrie!G18</f>
        <v>0</v>
      </c>
      <c r="I13" s="1012">
        <f>industrie!H18</f>
        <v>0</v>
      </c>
      <c r="J13" s="1012">
        <f>industrie!I18</f>
        <v>0</v>
      </c>
      <c r="K13" s="1012">
        <f>industrie!J18</f>
        <v>2.6544193459233529</v>
      </c>
      <c r="L13" s="1012">
        <f>industrie!K18</f>
        <v>0</v>
      </c>
      <c r="M13" s="1012">
        <f>industrie!L18</f>
        <v>0</v>
      </c>
      <c r="N13" s="1012">
        <f>industrie!M18</f>
        <v>0</v>
      </c>
      <c r="O13" s="1012">
        <f>industrie!N18</f>
        <v>173.62122483779308</v>
      </c>
      <c r="P13" s="1012">
        <f>industrie!O18</f>
        <v>0</v>
      </c>
      <c r="Q13" s="1013">
        <f>industrie!P18</f>
        <v>0</v>
      </c>
      <c r="R13" s="700">
        <f>SUM(C13:Q13)</f>
        <v>2114.8445361141021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25509.378659857368</v>
      </c>
      <c r="D16" s="732">
        <f t="shared" ref="D16:R16" ca="1" si="0">SUM(D9:D15)</f>
        <v>0</v>
      </c>
      <c r="E16" s="732">
        <f t="shared" ca="1" si="0"/>
        <v>43151.498647965615</v>
      </c>
      <c r="F16" s="732">
        <f t="shared" si="0"/>
        <v>2125.4486421189049</v>
      </c>
      <c r="G16" s="732">
        <f t="shared" ca="1" si="0"/>
        <v>23090.165688540244</v>
      </c>
      <c r="H16" s="732">
        <f t="shared" si="0"/>
        <v>0</v>
      </c>
      <c r="I16" s="732">
        <f t="shared" si="0"/>
        <v>0</v>
      </c>
      <c r="J16" s="732">
        <f t="shared" si="0"/>
        <v>0</v>
      </c>
      <c r="K16" s="732">
        <f t="shared" si="0"/>
        <v>2.6544193459233529</v>
      </c>
      <c r="L16" s="732">
        <f t="shared" si="0"/>
        <v>0</v>
      </c>
      <c r="M16" s="732">
        <f t="shared" ca="1" si="0"/>
        <v>0</v>
      </c>
      <c r="N16" s="732">
        <f t="shared" si="0"/>
        <v>0</v>
      </c>
      <c r="O16" s="732">
        <f t="shared" ca="1" si="0"/>
        <v>6857.7914933389666</v>
      </c>
      <c r="P16" s="732">
        <f t="shared" si="0"/>
        <v>154.77000000000001</v>
      </c>
      <c r="Q16" s="732">
        <f t="shared" si="0"/>
        <v>286</v>
      </c>
      <c r="R16" s="732">
        <f t="shared" ca="1" si="0"/>
        <v>101177.70755116703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3288.7680793137974</v>
      </c>
      <c r="I19" s="1012">
        <f>transport!H54</f>
        <v>0</v>
      </c>
      <c r="J19" s="1012">
        <f>transport!I54</f>
        <v>0</v>
      </c>
      <c r="K19" s="1012">
        <f>transport!J54</f>
        <v>0</v>
      </c>
      <c r="L19" s="1012">
        <f>transport!K54</f>
        <v>0</v>
      </c>
      <c r="M19" s="1012">
        <f>transport!L54</f>
        <v>0</v>
      </c>
      <c r="N19" s="1012">
        <f>transport!M54</f>
        <v>102.01022824727492</v>
      </c>
      <c r="O19" s="1012">
        <f>transport!N54</f>
        <v>0</v>
      </c>
      <c r="P19" s="1012">
        <f>transport!O54</f>
        <v>0</v>
      </c>
      <c r="Q19" s="1013">
        <f>transport!P54</f>
        <v>0</v>
      </c>
      <c r="R19" s="700">
        <f>SUM(C19:Q19)</f>
        <v>3390.7783075610723</v>
      </c>
      <c r="S19" s="67"/>
    </row>
    <row r="20" spans="1:19" s="473" customFormat="1">
      <c r="A20" s="809" t="s">
        <v>307</v>
      </c>
      <c r="B20" s="814"/>
      <c r="C20" s="1012">
        <f>transport!B14</f>
        <v>59.172144688230304</v>
      </c>
      <c r="D20" s="1012">
        <f>transport!C14</f>
        <v>0</v>
      </c>
      <c r="E20" s="1012">
        <f>transport!D14</f>
        <v>133.4687120941212</v>
      </c>
      <c r="F20" s="1012">
        <f>transport!E14</f>
        <v>599.60460898406757</v>
      </c>
      <c r="G20" s="1012">
        <f>transport!F14</f>
        <v>0</v>
      </c>
      <c r="H20" s="1012">
        <f>transport!G14</f>
        <v>175181.06097428116</v>
      </c>
      <c r="I20" s="1012">
        <f>transport!H14</f>
        <v>36887.912165401191</v>
      </c>
      <c r="J20" s="1012">
        <f>transport!I14</f>
        <v>0</v>
      </c>
      <c r="K20" s="1012">
        <f>transport!J14</f>
        <v>0</v>
      </c>
      <c r="L20" s="1012">
        <f>transport!K14</f>
        <v>0</v>
      </c>
      <c r="M20" s="1012">
        <f>transport!L14</f>
        <v>0</v>
      </c>
      <c r="N20" s="1012">
        <f>transport!M14</f>
        <v>6624.377321540037</v>
      </c>
      <c r="O20" s="1012">
        <f>transport!N14</f>
        <v>0</v>
      </c>
      <c r="P20" s="1012">
        <f>transport!O14</f>
        <v>0</v>
      </c>
      <c r="Q20" s="1013">
        <f>transport!P14</f>
        <v>0</v>
      </c>
      <c r="R20" s="700">
        <f>SUM(C20:Q20)</f>
        <v>219485.59592698878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59.172144688230304</v>
      </c>
      <c r="D22" s="812">
        <f t="shared" ref="D22:R22" si="1">SUM(D18:D21)</f>
        <v>0</v>
      </c>
      <c r="E22" s="812">
        <f t="shared" si="1"/>
        <v>133.4687120941212</v>
      </c>
      <c r="F22" s="812">
        <f t="shared" si="1"/>
        <v>599.60460898406757</v>
      </c>
      <c r="G22" s="812">
        <f t="shared" si="1"/>
        <v>0</v>
      </c>
      <c r="H22" s="812">
        <f t="shared" si="1"/>
        <v>178469.82905359496</v>
      </c>
      <c r="I22" s="812">
        <f t="shared" si="1"/>
        <v>36887.912165401191</v>
      </c>
      <c r="J22" s="812">
        <f t="shared" si="1"/>
        <v>0</v>
      </c>
      <c r="K22" s="812">
        <f t="shared" si="1"/>
        <v>0</v>
      </c>
      <c r="L22" s="812">
        <f t="shared" si="1"/>
        <v>0</v>
      </c>
      <c r="M22" s="812">
        <f t="shared" si="1"/>
        <v>0</v>
      </c>
      <c r="N22" s="812">
        <f t="shared" si="1"/>
        <v>6726.3875497873123</v>
      </c>
      <c r="O22" s="812">
        <f t="shared" si="1"/>
        <v>0</v>
      </c>
      <c r="P22" s="812">
        <f t="shared" si="1"/>
        <v>0</v>
      </c>
      <c r="Q22" s="812">
        <f t="shared" si="1"/>
        <v>0</v>
      </c>
      <c r="R22" s="812">
        <f t="shared" si="1"/>
        <v>222876.37423454985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205.93589441700001</v>
      </c>
      <c r="D24" s="1012">
        <f>+landbouw!C8</f>
        <v>0</v>
      </c>
      <c r="E24" s="1012">
        <f>+landbouw!D8</f>
        <v>311.41208003091998</v>
      </c>
      <c r="F24" s="1012">
        <f>+landbouw!E8</f>
        <v>5.3102960145967373</v>
      </c>
      <c r="G24" s="1012">
        <f>+landbouw!F8</f>
        <v>752.73491268010014</v>
      </c>
      <c r="H24" s="1012">
        <f>+landbouw!G8</f>
        <v>0</v>
      </c>
      <c r="I24" s="1012">
        <f>+landbouw!H8</f>
        <v>0</v>
      </c>
      <c r="J24" s="1012">
        <f>+landbouw!I8</f>
        <v>0</v>
      </c>
      <c r="K24" s="1012">
        <f>+landbouw!J8</f>
        <v>29.647193102920838</v>
      </c>
      <c r="L24" s="1012">
        <f>+landbouw!K8</f>
        <v>0</v>
      </c>
      <c r="M24" s="1012">
        <f>+landbouw!L8</f>
        <v>0</v>
      </c>
      <c r="N24" s="1012">
        <f>+landbouw!M8</f>
        <v>0</v>
      </c>
      <c r="O24" s="1012">
        <f>+landbouw!N8</f>
        <v>0</v>
      </c>
      <c r="P24" s="1012">
        <f>+landbouw!O8</f>
        <v>0</v>
      </c>
      <c r="Q24" s="1013">
        <f>+landbouw!P8</f>
        <v>0</v>
      </c>
      <c r="R24" s="700">
        <f>SUM(C24:Q24)</f>
        <v>1305.0403762455378</v>
      </c>
      <c r="S24" s="67"/>
    </row>
    <row r="25" spans="1:19" s="473" customFormat="1" ht="15" thickBot="1">
      <c r="A25" s="831" t="s">
        <v>848</v>
      </c>
      <c r="B25" s="1015"/>
      <c r="C25" s="1016">
        <f>IF(Onbekend_ele_kWh="---",0,Onbekend_ele_kWh)/1000+IF(REST_rest_ele_kWh="---",0,REST_rest_ele_kWh)/1000</f>
        <v>1086.6859492999999</v>
      </c>
      <c r="D25" s="1016"/>
      <c r="E25" s="1016">
        <f>IF(onbekend_gas_kWh="---",0,onbekend_gas_kWh)/1000+IF(REST_rest_gas_kWh="---",0,REST_rest_gas_kWh)/1000</f>
        <v>1213.5171329</v>
      </c>
      <c r="F25" s="1016"/>
      <c r="G25" s="1016"/>
      <c r="H25" s="1016"/>
      <c r="I25" s="1016"/>
      <c r="J25" s="1016"/>
      <c r="K25" s="1016"/>
      <c r="L25" s="1016"/>
      <c r="M25" s="1016"/>
      <c r="N25" s="1016"/>
      <c r="O25" s="1016"/>
      <c r="P25" s="1016"/>
      <c r="Q25" s="1017"/>
      <c r="R25" s="700">
        <f>SUM(C25:Q25)</f>
        <v>2300.2030821999997</v>
      </c>
      <c r="S25" s="67"/>
    </row>
    <row r="26" spans="1:19" s="473" customFormat="1" ht="15.75" thickBot="1">
      <c r="A26" s="705" t="s">
        <v>849</v>
      </c>
      <c r="B26" s="817"/>
      <c r="C26" s="812">
        <f>SUM(C24:C25)</f>
        <v>1292.621843717</v>
      </c>
      <c r="D26" s="812">
        <f t="shared" ref="D26:R26" si="2">SUM(D24:D25)</f>
        <v>0</v>
      </c>
      <c r="E26" s="812">
        <f t="shared" si="2"/>
        <v>1524.9292129309199</v>
      </c>
      <c r="F26" s="812">
        <f t="shared" si="2"/>
        <v>5.3102960145967373</v>
      </c>
      <c r="G26" s="812">
        <f t="shared" si="2"/>
        <v>752.73491268010014</v>
      </c>
      <c r="H26" s="812">
        <f t="shared" si="2"/>
        <v>0</v>
      </c>
      <c r="I26" s="812">
        <f t="shared" si="2"/>
        <v>0</v>
      </c>
      <c r="J26" s="812">
        <f t="shared" si="2"/>
        <v>0</v>
      </c>
      <c r="K26" s="812">
        <f t="shared" si="2"/>
        <v>29.647193102920838</v>
      </c>
      <c r="L26" s="812">
        <f t="shared" si="2"/>
        <v>0</v>
      </c>
      <c r="M26" s="812">
        <f t="shared" si="2"/>
        <v>0</v>
      </c>
      <c r="N26" s="812">
        <f t="shared" si="2"/>
        <v>0</v>
      </c>
      <c r="O26" s="812">
        <f t="shared" si="2"/>
        <v>0</v>
      </c>
      <c r="P26" s="812">
        <f t="shared" si="2"/>
        <v>0</v>
      </c>
      <c r="Q26" s="812">
        <f t="shared" si="2"/>
        <v>0</v>
      </c>
      <c r="R26" s="812">
        <f t="shared" si="2"/>
        <v>3605.2434584455377</v>
      </c>
      <c r="S26" s="67"/>
    </row>
    <row r="27" spans="1:19" s="473" customFormat="1" ht="17.25" thickTop="1" thickBot="1">
      <c r="A27" s="706" t="s">
        <v>116</v>
      </c>
      <c r="B27" s="805"/>
      <c r="C27" s="707">
        <f ca="1">C22+C16+C26</f>
        <v>26861.172648262596</v>
      </c>
      <c r="D27" s="707">
        <f t="shared" ref="D27:R27" ca="1" si="3">D22+D16+D26</f>
        <v>0</v>
      </c>
      <c r="E27" s="707">
        <f t="shared" ca="1" si="3"/>
        <v>44809.896572990656</v>
      </c>
      <c r="F27" s="707">
        <f t="shared" si="3"/>
        <v>2730.3635471175689</v>
      </c>
      <c r="G27" s="707">
        <f t="shared" ca="1" si="3"/>
        <v>23842.900601220346</v>
      </c>
      <c r="H27" s="707">
        <f t="shared" si="3"/>
        <v>178469.82905359496</v>
      </c>
      <c r="I27" s="707">
        <f t="shared" si="3"/>
        <v>36887.912165401191</v>
      </c>
      <c r="J27" s="707">
        <f t="shared" si="3"/>
        <v>0</v>
      </c>
      <c r="K27" s="707">
        <f t="shared" si="3"/>
        <v>32.301612448844189</v>
      </c>
      <c r="L27" s="707">
        <f t="shared" si="3"/>
        <v>0</v>
      </c>
      <c r="M27" s="707">
        <f t="shared" ca="1" si="3"/>
        <v>0</v>
      </c>
      <c r="N27" s="707">
        <f t="shared" si="3"/>
        <v>6726.3875497873123</v>
      </c>
      <c r="O27" s="707">
        <f t="shared" ca="1" si="3"/>
        <v>6857.7914933389666</v>
      </c>
      <c r="P27" s="707">
        <f t="shared" si="3"/>
        <v>154.77000000000001</v>
      </c>
      <c r="Q27" s="707">
        <f t="shared" si="3"/>
        <v>286</v>
      </c>
      <c r="R27" s="707">
        <f t="shared" ca="1" si="3"/>
        <v>327659.32524416241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1663.2433500658415</v>
      </c>
      <c r="D40" s="1012">
        <f ca="1">tertiair!C20</f>
        <v>0</v>
      </c>
      <c r="E40" s="1012">
        <f ca="1">tertiair!D20</f>
        <v>1337.3318652919259</v>
      </c>
      <c r="F40" s="1012">
        <f>tertiair!E20</f>
        <v>20.608571214306924</v>
      </c>
      <c r="G40" s="1012">
        <f ca="1">tertiair!F20</f>
        <v>489.64406640172894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3510.8278529738031</v>
      </c>
    </row>
    <row r="41" spans="1:18">
      <c r="A41" s="822" t="s">
        <v>225</v>
      </c>
      <c r="B41" s="829"/>
      <c r="C41" s="1012">
        <f ca="1">huishoudens!B12</f>
        <v>3408.3937992349702</v>
      </c>
      <c r="D41" s="1012">
        <f ca="1">huishoudens!C12</f>
        <v>0</v>
      </c>
      <c r="E41" s="1012">
        <f>huishoudens!D12</f>
        <v>7230.2110352817072</v>
      </c>
      <c r="F41" s="1012">
        <f>huishoudens!E12</f>
        <v>438.55380661305708</v>
      </c>
      <c r="G41" s="1012">
        <f>huishoudens!F12</f>
        <v>5574.4969163665846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16651.65555749632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147.28624847204361</v>
      </c>
      <c r="D43" s="1012">
        <f ca="1">industrie!C22</f>
        <v>0</v>
      </c>
      <c r="E43" s="1012">
        <f>industrie!D22</f>
        <v>149.05982631542113</v>
      </c>
      <c r="F43" s="1012">
        <f>industrie!E22</f>
        <v>23.314463933627458</v>
      </c>
      <c r="G43" s="1012">
        <f>industrie!F22</f>
        <v>100.93325607193287</v>
      </c>
      <c r="H43" s="1012">
        <f>industrie!G22</f>
        <v>0</v>
      </c>
      <c r="I43" s="1012">
        <f>industrie!H22</f>
        <v>0</v>
      </c>
      <c r="J43" s="1012">
        <f>industrie!I22</f>
        <v>0</v>
      </c>
      <c r="K43" s="1012">
        <f>industrie!J22</f>
        <v>0.93966444845686692</v>
      </c>
      <c r="L43" s="1012">
        <f>industrie!K22</f>
        <v>0</v>
      </c>
      <c r="M43" s="1012">
        <f>industrie!L22</f>
        <v>0</v>
      </c>
      <c r="N43" s="1012">
        <f>industrie!M22</f>
        <v>0</v>
      </c>
      <c r="O43" s="1012">
        <f>industrie!N22</f>
        <v>0</v>
      </c>
      <c r="P43" s="1012">
        <f>industrie!O22</f>
        <v>0</v>
      </c>
      <c r="Q43" s="774">
        <f>industrie!P22</f>
        <v>0</v>
      </c>
      <c r="R43" s="849">
        <f t="shared" ca="1" si="4"/>
        <v>421.53345924148198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5218.9233977728554</v>
      </c>
      <c r="D46" s="732">
        <f t="shared" ref="D46:Q46" ca="1" si="5">SUM(D39:D45)</f>
        <v>0</v>
      </c>
      <c r="E46" s="732">
        <f t="shared" ca="1" si="5"/>
        <v>8716.6027268890539</v>
      </c>
      <c r="F46" s="732">
        <f t="shared" si="5"/>
        <v>482.47684176099148</v>
      </c>
      <c r="G46" s="732">
        <f t="shared" ca="1" si="5"/>
        <v>6165.0742388402468</v>
      </c>
      <c r="H46" s="732">
        <f t="shared" si="5"/>
        <v>0</v>
      </c>
      <c r="I46" s="732">
        <f t="shared" si="5"/>
        <v>0</v>
      </c>
      <c r="J46" s="732">
        <f t="shared" si="5"/>
        <v>0</v>
      </c>
      <c r="K46" s="732">
        <f t="shared" si="5"/>
        <v>0.93966444845686692</v>
      </c>
      <c r="L46" s="732">
        <f t="shared" si="5"/>
        <v>0</v>
      </c>
      <c r="M46" s="732">
        <f t="shared" ca="1" si="5"/>
        <v>0</v>
      </c>
      <c r="N46" s="732">
        <f t="shared" si="5"/>
        <v>0</v>
      </c>
      <c r="O46" s="732">
        <f t="shared" ca="1" si="5"/>
        <v>0</v>
      </c>
      <c r="P46" s="732">
        <f t="shared" si="5"/>
        <v>0</v>
      </c>
      <c r="Q46" s="732">
        <f t="shared" si="5"/>
        <v>0</v>
      </c>
      <c r="R46" s="732">
        <f ca="1">SUM(R39:R45)</f>
        <v>20584.016869711602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878.10107717678397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878.10107717678397</v>
      </c>
    </row>
    <row r="50" spans="1:18">
      <c r="A50" s="825" t="s">
        <v>307</v>
      </c>
      <c r="B50" s="835"/>
      <c r="C50" s="703">
        <f ca="1">transport!B18</f>
        <v>12.105935410170144</v>
      </c>
      <c r="D50" s="703">
        <f>transport!C18</f>
        <v>0</v>
      </c>
      <c r="E50" s="703">
        <f>transport!D18</f>
        <v>26.960679843012485</v>
      </c>
      <c r="F50" s="703">
        <f>transport!E18</f>
        <v>136.11024623938334</v>
      </c>
      <c r="G50" s="703">
        <f>transport!F18</f>
        <v>0</v>
      </c>
      <c r="H50" s="703">
        <f>transport!G18</f>
        <v>46773.343280133071</v>
      </c>
      <c r="I50" s="703">
        <f>transport!H18</f>
        <v>9185.0901291848968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56133.610270810532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12.105935410170144</v>
      </c>
      <c r="D52" s="732">
        <f t="shared" ref="D52:Q52" ca="1" si="6">SUM(D48:D51)</f>
        <v>0</v>
      </c>
      <c r="E52" s="732">
        <f t="shared" si="6"/>
        <v>26.960679843012485</v>
      </c>
      <c r="F52" s="732">
        <f t="shared" si="6"/>
        <v>136.11024623938334</v>
      </c>
      <c r="G52" s="732">
        <f t="shared" si="6"/>
        <v>0</v>
      </c>
      <c r="H52" s="732">
        <f t="shared" si="6"/>
        <v>47651.444357309854</v>
      </c>
      <c r="I52" s="732">
        <f t="shared" si="6"/>
        <v>9185.0901291848968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57011.711347987315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42.132098634979883</v>
      </c>
      <c r="D54" s="703">
        <f ca="1">+landbouw!C12</f>
        <v>0</v>
      </c>
      <c r="E54" s="703">
        <f>+landbouw!D12</f>
        <v>62.905240166245839</v>
      </c>
      <c r="F54" s="703">
        <f>+landbouw!E12</f>
        <v>1.2054371953134595</v>
      </c>
      <c r="G54" s="703">
        <f>+landbouw!F12</f>
        <v>200.98022168558674</v>
      </c>
      <c r="H54" s="703">
        <f>+landbouw!G12</f>
        <v>0</v>
      </c>
      <c r="I54" s="703">
        <f>+landbouw!H12</f>
        <v>0</v>
      </c>
      <c r="J54" s="703">
        <f>+landbouw!I12</f>
        <v>0</v>
      </c>
      <c r="K54" s="703">
        <f>+landbouw!J12</f>
        <v>10.495106358433976</v>
      </c>
      <c r="L54" s="703">
        <f>+landbouw!K12</f>
        <v>0</v>
      </c>
      <c r="M54" s="703">
        <f>+landbouw!L12</f>
        <v>0</v>
      </c>
      <c r="N54" s="703">
        <f>+landbouw!M12</f>
        <v>0</v>
      </c>
      <c r="O54" s="703">
        <f>+landbouw!N12</f>
        <v>0</v>
      </c>
      <c r="P54" s="703">
        <f>+landbouw!O12</f>
        <v>0</v>
      </c>
      <c r="Q54" s="704">
        <f>+landbouw!P12</f>
        <v>0</v>
      </c>
      <c r="R54" s="731">
        <f ca="1">SUM(C54:Q54)</f>
        <v>317.71810404055992</v>
      </c>
    </row>
    <row r="55" spans="1:18" ht="15" thickBot="1">
      <c r="A55" s="825" t="s">
        <v>848</v>
      </c>
      <c r="B55" s="835"/>
      <c r="C55" s="703">
        <f ca="1">C25*'EF ele_warmte'!B12</f>
        <v>222.32335810504946</v>
      </c>
      <c r="D55" s="703"/>
      <c r="E55" s="703">
        <f>E25*EF_CO2_aardgas</f>
        <v>245.1304608458</v>
      </c>
      <c r="F55" s="703"/>
      <c r="G55" s="703"/>
      <c r="H55" s="703"/>
      <c r="I55" s="703"/>
      <c r="J55" s="703"/>
      <c r="K55" s="703"/>
      <c r="L55" s="703"/>
      <c r="M55" s="703"/>
      <c r="N55" s="703"/>
      <c r="O55" s="703"/>
      <c r="P55" s="703"/>
      <c r="Q55" s="704"/>
      <c r="R55" s="731">
        <f ca="1">SUM(C55:Q55)</f>
        <v>467.4538189508495</v>
      </c>
    </row>
    <row r="56" spans="1:18" ht="15.75" thickBot="1">
      <c r="A56" s="823" t="s">
        <v>849</v>
      </c>
      <c r="B56" s="836"/>
      <c r="C56" s="732">
        <f ca="1">SUM(C54:C55)</f>
        <v>264.45545674002938</v>
      </c>
      <c r="D56" s="732">
        <f t="shared" ref="D56:Q56" ca="1" si="7">SUM(D54:D55)</f>
        <v>0</v>
      </c>
      <c r="E56" s="732">
        <f t="shared" si="7"/>
        <v>308.03570101204582</v>
      </c>
      <c r="F56" s="732">
        <f t="shared" si="7"/>
        <v>1.2054371953134595</v>
      </c>
      <c r="G56" s="732">
        <f t="shared" si="7"/>
        <v>200.98022168558674</v>
      </c>
      <c r="H56" s="732">
        <f t="shared" si="7"/>
        <v>0</v>
      </c>
      <c r="I56" s="732">
        <f t="shared" si="7"/>
        <v>0</v>
      </c>
      <c r="J56" s="732">
        <f t="shared" si="7"/>
        <v>0</v>
      </c>
      <c r="K56" s="732">
        <f t="shared" si="7"/>
        <v>10.495106358433976</v>
      </c>
      <c r="L56" s="732">
        <f t="shared" si="7"/>
        <v>0</v>
      </c>
      <c r="M56" s="732">
        <f t="shared" si="7"/>
        <v>0</v>
      </c>
      <c r="N56" s="732">
        <f t="shared" si="7"/>
        <v>0</v>
      </c>
      <c r="O56" s="732">
        <f t="shared" si="7"/>
        <v>0</v>
      </c>
      <c r="P56" s="732">
        <f t="shared" si="7"/>
        <v>0</v>
      </c>
      <c r="Q56" s="733">
        <f t="shared" si="7"/>
        <v>0</v>
      </c>
      <c r="R56" s="734">
        <f ca="1">SUM(R54:R55)</f>
        <v>785.17192299140947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5495.4847899230544</v>
      </c>
      <c r="D61" s="740">
        <f t="shared" ref="D61:Q61" ca="1" si="8">D46+D52+D56</f>
        <v>0</v>
      </c>
      <c r="E61" s="740">
        <f t="shared" ca="1" si="8"/>
        <v>9051.5991077441122</v>
      </c>
      <c r="F61" s="740">
        <f t="shared" si="8"/>
        <v>619.79252519568831</v>
      </c>
      <c r="G61" s="740">
        <f t="shared" ca="1" si="8"/>
        <v>6366.0544605258337</v>
      </c>
      <c r="H61" s="740">
        <f t="shared" si="8"/>
        <v>47651.444357309854</v>
      </c>
      <c r="I61" s="740">
        <f t="shared" si="8"/>
        <v>9185.0901291848968</v>
      </c>
      <c r="J61" s="740">
        <f t="shared" si="8"/>
        <v>0</v>
      </c>
      <c r="K61" s="740">
        <f t="shared" si="8"/>
        <v>11.434770806890842</v>
      </c>
      <c r="L61" s="740">
        <f t="shared" si="8"/>
        <v>0</v>
      </c>
      <c r="M61" s="740">
        <f t="shared" ca="1" si="8"/>
        <v>0</v>
      </c>
      <c r="N61" s="740">
        <f t="shared" si="8"/>
        <v>0</v>
      </c>
      <c r="O61" s="740">
        <f t="shared" ca="1" si="8"/>
        <v>0</v>
      </c>
      <c r="P61" s="740">
        <f t="shared" si="8"/>
        <v>0</v>
      </c>
      <c r="Q61" s="740">
        <f t="shared" si="8"/>
        <v>0</v>
      </c>
      <c r="R61" s="740">
        <f ca="1">R46+R52+R56</f>
        <v>78380.900140690341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0.2045884169646818</v>
      </c>
      <c r="D63" s="781">
        <f t="shared" ca="1" si="9"/>
        <v>0</v>
      </c>
      <c r="E63" s="1023">
        <f t="shared" ca="1" si="9"/>
        <v>0.20199999999999999</v>
      </c>
      <c r="F63" s="781">
        <f t="shared" si="9"/>
        <v>0.22700000000000006</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1994.725635036106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1994.725635036106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1994.725635036106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1994.725635036106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16659.75938326637</v>
      </c>
      <c r="C4" s="477">
        <f>huishoudens!C8</f>
        <v>0</v>
      </c>
      <c r="D4" s="477">
        <f>huishoudens!D8</f>
        <v>35793.123937038152</v>
      </c>
      <c r="E4" s="477">
        <f>huishoudens!E8</f>
        <v>1931.9550952117052</v>
      </c>
      <c r="F4" s="477">
        <f>huishoudens!F8</f>
        <v>20878.26560436923</v>
      </c>
      <c r="G4" s="477">
        <f>huishoudens!G8</f>
        <v>0</v>
      </c>
      <c r="H4" s="477">
        <f>huishoudens!H8</f>
        <v>0</v>
      </c>
      <c r="I4" s="477">
        <f>huishoudens!I8</f>
        <v>0</v>
      </c>
      <c r="J4" s="477">
        <f>huishoudens!J8</f>
        <v>0</v>
      </c>
      <c r="K4" s="477">
        <f>huishoudens!K8</f>
        <v>0</v>
      </c>
      <c r="L4" s="477">
        <f>huishoudens!L8</f>
        <v>0</v>
      </c>
      <c r="M4" s="477">
        <f>huishoudens!M8</f>
        <v>0</v>
      </c>
      <c r="N4" s="477">
        <f>huishoudens!N8</f>
        <v>4351.6633712215935</v>
      </c>
      <c r="O4" s="477">
        <f>huishoudens!O8</f>
        <v>153.20666666666668</v>
      </c>
      <c r="P4" s="478">
        <f>huishoudens!P8</f>
        <v>266.93333333333334</v>
      </c>
      <c r="Q4" s="479">
        <f>SUM(B4:P4)</f>
        <v>80034.907391107059</v>
      </c>
    </row>
    <row r="5" spans="1:17">
      <c r="A5" s="476" t="s">
        <v>156</v>
      </c>
      <c r="B5" s="477">
        <f ca="1">tertiair!B16</f>
        <v>7610.9363827899997</v>
      </c>
      <c r="C5" s="477">
        <f ca="1">tertiair!C16</f>
        <v>0</v>
      </c>
      <c r="D5" s="477">
        <f ca="1">tertiair!D16</f>
        <v>6620.4547786728999</v>
      </c>
      <c r="E5" s="477">
        <f>tertiair!E16</f>
        <v>90.786657331748557</v>
      </c>
      <c r="F5" s="477">
        <f ca="1">tertiair!F16</f>
        <v>1833.8729078716437</v>
      </c>
      <c r="G5" s="477">
        <f>tertiair!G16</f>
        <v>0</v>
      </c>
      <c r="H5" s="477">
        <f>tertiair!H16</f>
        <v>0</v>
      </c>
      <c r="I5" s="477">
        <f>tertiair!I16</f>
        <v>0</v>
      </c>
      <c r="J5" s="477">
        <f>tertiair!J16</f>
        <v>0</v>
      </c>
      <c r="K5" s="477">
        <f>tertiair!K16</f>
        <v>0</v>
      </c>
      <c r="L5" s="477">
        <f ca="1">tertiair!L16</f>
        <v>0</v>
      </c>
      <c r="M5" s="477">
        <f>tertiair!M16</f>
        <v>0</v>
      </c>
      <c r="N5" s="477">
        <f ca="1">tertiair!N16</f>
        <v>2332.5068972795793</v>
      </c>
      <c r="O5" s="477">
        <f>tertiair!O16</f>
        <v>1.5633333333333335</v>
      </c>
      <c r="P5" s="478">
        <f>tertiair!P16</f>
        <v>19.066666666666666</v>
      </c>
      <c r="Q5" s="476">
        <f t="shared" ref="Q5:Q14" ca="1" si="0">SUM(B5:P5)</f>
        <v>18509.187623945869</v>
      </c>
    </row>
    <row r="6" spans="1:17">
      <c r="A6" s="476" t="s">
        <v>194</v>
      </c>
      <c r="B6" s="477">
        <f>'openbare verlichting'!B8</f>
        <v>518.76800000000003</v>
      </c>
      <c r="C6" s="477"/>
      <c r="D6" s="477"/>
      <c r="E6" s="477"/>
      <c r="F6" s="477"/>
      <c r="G6" s="477"/>
      <c r="H6" s="477"/>
      <c r="I6" s="477"/>
      <c r="J6" s="477"/>
      <c r="K6" s="477"/>
      <c r="L6" s="477"/>
      <c r="M6" s="477"/>
      <c r="N6" s="477"/>
      <c r="O6" s="477"/>
      <c r="P6" s="478"/>
      <c r="Q6" s="476">
        <f t="shared" si="0"/>
        <v>518.76800000000003</v>
      </c>
    </row>
    <row r="7" spans="1:17">
      <c r="A7" s="476" t="s">
        <v>112</v>
      </c>
      <c r="B7" s="477">
        <f>landbouw!B8</f>
        <v>205.93589441700001</v>
      </c>
      <c r="C7" s="477">
        <f>landbouw!C8</f>
        <v>0</v>
      </c>
      <c r="D7" s="477">
        <f>landbouw!D8</f>
        <v>311.41208003091998</v>
      </c>
      <c r="E7" s="477">
        <f>landbouw!E8</f>
        <v>5.3102960145967373</v>
      </c>
      <c r="F7" s="477">
        <f>landbouw!F8</f>
        <v>752.73491268010014</v>
      </c>
      <c r="G7" s="477">
        <f>landbouw!G8</f>
        <v>0</v>
      </c>
      <c r="H7" s="477">
        <f>landbouw!H8</f>
        <v>0</v>
      </c>
      <c r="I7" s="477">
        <f>landbouw!I8</f>
        <v>0</v>
      </c>
      <c r="J7" s="477">
        <f>landbouw!J8</f>
        <v>29.647193102920838</v>
      </c>
      <c r="K7" s="477">
        <f>landbouw!K8</f>
        <v>0</v>
      </c>
      <c r="L7" s="477">
        <f>landbouw!L8</f>
        <v>0</v>
      </c>
      <c r="M7" s="477">
        <f>landbouw!M8</f>
        <v>0</v>
      </c>
      <c r="N7" s="477">
        <f>landbouw!N8</f>
        <v>0</v>
      </c>
      <c r="O7" s="477">
        <f>landbouw!O8</f>
        <v>0</v>
      </c>
      <c r="P7" s="478">
        <f>landbouw!P8</f>
        <v>0</v>
      </c>
      <c r="Q7" s="476">
        <f t="shared" si="0"/>
        <v>1305.0403762455378</v>
      </c>
    </row>
    <row r="8" spans="1:17">
      <c r="A8" s="476" t="s">
        <v>638</v>
      </c>
      <c r="B8" s="477">
        <f>industrie!B18</f>
        <v>719.91489380100006</v>
      </c>
      <c r="C8" s="477">
        <f>industrie!C18</f>
        <v>0</v>
      </c>
      <c r="D8" s="477">
        <f>industrie!D18</f>
        <v>737.91993225456008</v>
      </c>
      <c r="E8" s="477">
        <f>industrie!E18</f>
        <v>102.70688957545136</v>
      </c>
      <c r="F8" s="477">
        <f>industrie!F18</f>
        <v>378.02717629937405</v>
      </c>
      <c r="G8" s="477">
        <f>industrie!G18</f>
        <v>0</v>
      </c>
      <c r="H8" s="477">
        <f>industrie!H18</f>
        <v>0</v>
      </c>
      <c r="I8" s="477">
        <f>industrie!I18</f>
        <v>0</v>
      </c>
      <c r="J8" s="477">
        <f>industrie!J18</f>
        <v>2.6544193459233529</v>
      </c>
      <c r="K8" s="477">
        <f>industrie!K18</f>
        <v>0</v>
      </c>
      <c r="L8" s="477">
        <f>industrie!L18</f>
        <v>0</v>
      </c>
      <c r="M8" s="477">
        <f>industrie!M18</f>
        <v>0</v>
      </c>
      <c r="N8" s="477">
        <f>industrie!N18</f>
        <v>173.62122483779308</v>
      </c>
      <c r="O8" s="477">
        <f>industrie!O18</f>
        <v>0</v>
      </c>
      <c r="P8" s="478">
        <f>industrie!P18</f>
        <v>0</v>
      </c>
      <c r="Q8" s="476">
        <f t="shared" si="0"/>
        <v>2114.8445361141021</v>
      </c>
    </row>
    <row r="9" spans="1:17" s="482" customFormat="1">
      <c r="A9" s="480" t="s">
        <v>564</v>
      </c>
      <c r="B9" s="481">
        <f>transport!B14</f>
        <v>59.172144688230304</v>
      </c>
      <c r="C9" s="481">
        <f>transport!C14</f>
        <v>0</v>
      </c>
      <c r="D9" s="481">
        <f>transport!D14</f>
        <v>133.4687120941212</v>
      </c>
      <c r="E9" s="481">
        <f>transport!E14</f>
        <v>599.60460898406757</v>
      </c>
      <c r="F9" s="481">
        <f>transport!F14</f>
        <v>0</v>
      </c>
      <c r="G9" s="481">
        <f>transport!G14</f>
        <v>175181.06097428116</v>
      </c>
      <c r="H9" s="481">
        <f>transport!H14</f>
        <v>36887.912165401191</v>
      </c>
      <c r="I9" s="481">
        <f>transport!I14</f>
        <v>0</v>
      </c>
      <c r="J9" s="481">
        <f>transport!J14</f>
        <v>0</v>
      </c>
      <c r="K9" s="481">
        <f>transport!K14</f>
        <v>0</v>
      </c>
      <c r="L9" s="481">
        <f>transport!L14</f>
        <v>0</v>
      </c>
      <c r="M9" s="481">
        <f>transport!M14</f>
        <v>6624.377321540037</v>
      </c>
      <c r="N9" s="481">
        <f>transport!N14</f>
        <v>0</v>
      </c>
      <c r="O9" s="481">
        <f>transport!O14</f>
        <v>0</v>
      </c>
      <c r="P9" s="481">
        <f>transport!P14</f>
        <v>0</v>
      </c>
      <c r="Q9" s="480">
        <f>SUM(B9:P9)</f>
        <v>219485.59592698878</v>
      </c>
    </row>
    <row r="10" spans="1:17">
      <c r="A10" s="476" t="s">
        <v>554</v>
      </c>
      <c r="B10" s="477">
        <f>transport!B54</f>
        <v>0</v>
      </c>
      <c r="C10" s="477">
        <f>transport!C54</f>
        <v>0</v>
      </c>
      <c r="D10" s="477">
        <f>transport!D54</f>
        <v>0</v>
      </c>
      <c r="E10" s="477">
        <f>transport!E54</f>
        <v>0</v>
      </c>
      <c r="F10" s="477">
        <f>transport!F54</f>
        <v>0</v>
      </c>
      <c r="G10" s="477">
        <f>transport!G54</f>
        <v>3288.7680793137974</v>
      </c>
      <c r="H10" s="477">
        <f>transport!H54</f>
        <v>0</v>
      </c>
      <c r="I10" s="477">
        <f>transport!I54</f>
        <v>0</v>
      </c>
      <c r="J10" s="477">
        <f>transport!J54</f>
        <v>0</v>
      </c>
      <c r="K10" s="477">
        <f>transport!K54</f>
        <v>0</v>
      </c>
      <c r="L10" s="477">
        <f>transport!L54</f>
        <v>0</v>
      </c>
      <c r="M10" s="477">
        <f>transport!M54</f>
        <v>102.01022824727492</v>
      </c>
      <c r="N10" s="477">
        <f>transport!N54</f>
        <v>0</v>
      </c>
      <c r="O10" s="477">
        <f>transport!O54</f>
        <v>0</v>
      </c>
      <c r="P10" s="478">
        <f>transport!P54</f>
        <v>0</v>
      </c>
      <c r="Q10" s="476">
        <f t="shared" si="0"/>
        <v>3390.7783075610723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1086.6859492999999</v>
      </c>
      <c r="C14" s="484"/>
      <c r="D14" s="484">
        <f>'SEAP template'!E25</f>
        <v>1213.5171329</v>
      </c>
      <c r="E14" s="484"/>
      <c r="F14" s="484"/>
      <c r="G14" s="484"/>
      <c r="H14" s="484"/>
      <c r="I14" s="484"/>
      <c r="J14" s="484"/>
      <c r="K14" s="484"/>
      <c r="L14" s="484"/>
      <c r="M14" s="484"/>
      <c r="N14" s="484"/>
      <c r="O14" s="484"/>
      <c r="P14" s="485"/>
      <c r="Q14" s="476">
        <f t="shared" si="0"/>
        <v>2300.2030821999997</v>
      </c>
    </row>
    <row r="15" spans="1:17" s="486" customFormat="1">
      <c r="A15" s="1038" t="s">
        <v>558</v>
      </c>
      <c r="B15" s="978">
        <f ca="1">SUM(B4:B14)</f>
        <v>26861.172648262604</v>
      </c>
      <c r="C15" s="978">
        <f t="shared" ref="C15:Q15" ca="1" si="1">SUM(C4:C14)</f>
        <v>0</v>
      </c>
      <c r="D15" s="978">
        <f t="shared" ca="1" si="1"/>
        <v>44809.896572990656</v>
      </c>
      <c r="E15" s="978">
        <f t="shared" si="1"/>
        <v>2730.3635471175694</v>
      </c>
      <c r="F15" s="978">
        <f t="shared" ca="1" si="1"/>
        <v>23842.900601220346</v>
      </c>
      <c r="G15" s="978">
        <f t="shared" si="1"/>
        <v>178469.82905359496</v>
      </c>
      <c r="H15" s="978">
        <f t="shared" si="1"/>
        <v>36887.912165401191</v>
      </c>
      <c r="I15" s="978">
        <f t="shared" si="1"/>
        <v>0</v>
      </c>
      <c r="J15" s="978">
        <f t="shared" si="1"/>
        <v>32.301612448844189</v>
      </c>
      <c r="K15" s="978">
        <f t="shared" si="1"/>
        <v>0</v>
      </c>
      <c r="L15" s="978">
        <f t="shared" ca="1" si="1"/>
        <v>0</v>
      </c>
      <c r="M15" s="978">
        <f t="shared" si="1"/>
        <v>6726.3875497873123</v>
      </c>
      <c r="N15" s="978">
        <f t="shared" ca="1" si="1"/>
        <v>6857.7914933389666</v>
      </c>
      <c r="O15" s="978">
        <f t="shared" si="1"/>
        <v>154.77000000000001</v>
      </c>
      <c r="P15" s="978">
        <f t="shared" si="1"/>
        <v>286</v>
      </c>
      <c r="Q15" s="978">
        <f t="shared" ca="1" si="1"/>
        <v>327659.32524416246</v>
      </c>
    </row>
    <row r="17" spans="1:17">
      <c r="A17" s="487" t="s">
        <v>559</v>
      </c>
      <c r="B17" s="786">
        <f ca="1">huishoudens!B10</f>
        <v>0.2045884169646818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3408.3937992349702</v>
      </c>
      <c r="C22" s="477">
        <f t="shared" ref="C22:C32" ca="1" si="3">C4*$C$17</f>
        <v>0</v>
      </c>
      <c r="D22" s="477">
        <f t="shared" ref="D22:D32" si="4">D4*$D$17</f>
        <v>7230.2110352817072</v>
      </c>
      <c r="E22" s="477">
        <f t="shared" ref="E22:E32" si="5">E4*$E$17</f>
        <v>438.55380661305708</v>
      </c>
      <c r="F22" s="477">
        <f t="shared" ref="F22:F32" si="6">F4*$F$17</f>
        <v>5574.4969163665846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16651.65555749632</v>
      </c>
    </row>
    <row r="23" spans="1:17">
      <c r="A23" s="476" t="s">
        <v>156</v>
      </c>
      <c r="B23" s="477">
        <f t="shared" ca="1" si="2"/>
        <v>1557.1094261739074</v>
      </c>
      <c r="C23" s="477">
        <f t="shared" ca="1" si="3"/>
        <v>0</v>
      </c>
      <c r="D23" s="477">
        <f t="shared" ca="1" si="4"/>
        <v>1337.3318652919259</v>
      </c>
      <c r="E23" s="477">
        <f t="shared" si="5"/>
        <v>20.608571214306924</v>
      </c>
      <c r="F23" s="477">
        <f t="shared" ca="1" si="6"/>
        <v>489.64406640172894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3404.6939290818691</v>
      </c>
    </row>
    <row r="24" spans="1:17">
      <c r="A24" s="476" t="s">
        <v>194</v>
      </c>
      <c r="B24" s="477">
        <f t="shared" ca="1" si="2"/>
        <v>106.13392389193406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106.13392389193406</v>
      </c>
    </row>
    <row r="25" spans="1:17">
      <c r="A25" s="476" t="s">
        <v>112</v>
      </c>
      <c r="B25" s="477">
        <f t="shared" ca="1" si="2"/>
        <v>42.132098634979883</v>
      </c>
      <c r="C25" s="477">
        <f t="shared" ca="1" si="3"/>
        <v>0</v>
      </c>
      <c r="D25" s="477">
        <f t="shared" si="4"/>
        <v>62.905240166245839</v>
      </c>
      <c r="E25" s="477">
        <f t="shared" si="5"/>
        <v>1.2054371953134595</v>
      </c>
      <c r="F25" s="477">
        <f t="shared" si="6"/>
        <v>200.98022168558674</v>
      </c>
      <c r="G25" s="477">
        <f t="shared" si="7"/>
        <v>0</v>
      </c>
      <c r="H25" s="477">
        <f t="shared" si="8"/>
        <v>0</v>
      </c>
      <c r="I25" s="477">
        <f t="shared" si="9"/>
        <v>0</v>
      </c>
      <c r="J25" s="477">
        <f t="shared" si="10"/>
        <v>10.495106358433976</v>
      </c>
      <c r="K25" s="477">
        <f t="shared" si="11"/>
        <v>0</v>
      </c>
      <c r="L25" s="477">
        <f t="shared" si="12"/>
        <v>0</v>
      </c>
      <c r="M25" s="477">
        <f t="shared" si="13"/>
        <v>0</v>
      </c>
      <c r="N25" s="477">
        <f t="shared" si="14"/>
        <v>0</v>
      </c>
      <c r="O25" s="477">
        <f t="shared" si="15"/>
        <v>0</v>
      </c>
      <c r="P25" s="478">
        <f t="shared" si="16"/>
        <v>0</v>
      </c>
      <c r="Q25" s="476">
        <f t="shared" ca="1" si="17"/>
        <v>317.71810404055992</v>
      </c>
    </row>
    <row r="26" spans="1:17">
      <c r="A26" s="476" t="s">
        <v>638</v>
      </c>
      <c r="B26" s="477">
        <f t="shared" ca="1" si="2"/>
        <v>147.28624847204361</v>
      </c>
      <c r="C26" s="477">
        <f t="shared" ca="1" si="3"/>
        <v>0</v>
      </c>
      <c r="D26" s="477">
        <f t="shared" si="4"/>
        <v>149.05982631542113</v>
      </c>
      <c r="E26" s="477">
        <f t="shared" si="5"/>
        <v>23.314463933627458</v>
      </c>
      <c r="F26" s="477">
        <f t="shared" si="6"/>
        <v>100.93325607193287</v>
      </c>
      <c r="G26" s="477">
        <f t="shared" si="7"/>
        <v>0</v>
      </c>
      <c r="H26" s="477">
        <f t="shared" si="8"/>
        <v>0</v>
      </c>
      <c r="I26" s="477">
        <f t="shared" si="9"/>
        <v>0</v>
      </c>
      <c r="J26" s="477">
        <f t="shared" si="10"/>
        <v>0.93966444845686692</v>
      </c>
      <c r="K26" s="477">
        <f t="shared" si="11"/>
        <v>0</v>
      </c>
      <c r="L26" s="477">
        <f t="shared" si="12"/>
        <v>0</v>
      </c>
      <c r="M26" s="477">
        <f t="shared" si="13"/>
        <v>0</v>
      </c>
      <c r="N26" s="477">
        <f t="shared" si="14"/>
        <v>0</v>
      </c>
      <c r="O26" s="477">
        <f t="shared" si="15"/>
        <v>0</v>
      </c>
      <c r="P26" s="478">
        <f t="shared" si="16"/>
        <v>0</v>
      </c>
      <c r="Q26" s="476">
        <f t="shared" ca="1" si="17"/>
        <v>421.53345924148198</v>
      </c>
    </row>
    <row r="27" spans="1:17" s="482" customFormat="1">
      <c r="A27" s="480" t="s">
        <v>564</v>
      </c>
      <c r="B27" s="780">
        <f t="shared" ca="1" si="2"/>
        <v>12.105935410170144</v>
      </c>
      <c r="C27" s="481">
        <f t="shared" ca="1" si="3"/>
        <v>0</v>
      </c>
      <c r="D27" s="481">
        <f t="shared" si="4"/>
        <v>26.960679843012485</v>
      </c>
      <c r="E27" s="481">
        <f t="shared" si="5"/>
        <v>136.11024623938334</v>
      </c>
      <c r="F27" s="481">
        <f t="shared" si="6"/>
        <v>0</v>
      </c>
      <c r="G27" s="481">
        <f t="shared" si="7"/>
        <v>46773.343280133071</v>
      </c>
      <c r="H27" s="481">
        <f t="shared" si="8"/>
        <v>9185.0901291848968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56133.610270810532</v>
      </c>
    </row>
    <row r="28" spans="1:17">
      <c r="A28" s="476" t="s">
        <v>554</v>
      </c>
      <c r="B28" s="477">
        <f t="shared" ca="1" si="2"/>
        <v>0</v>
      </c>
      <c r="C28" s="477">
        <f t="shared" ca="1" si="3"/>
        <v>0</v>
      </c>
      <c r="D28" s="477">
        <f t="shared" si="4"/>
        <v>0</v>
      </c>
      <c r="E28" s="477">
        <f t="shared" si="5"/>
        <v>0</v>
      </c>
      <c r="F28" s="477">
        <f t="shared" si="6"/>
        <v>0</v>
      </c>
      <c r="G28" s="477">
        <f t="shared" si="7"/>
        <v>878.10107717678397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878.10107717678397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222.32335810504946</v>
      </c>
      <c r="C32" s="477">
        <f t="shared" ca="1" si="3"/>
        <v>0</v>
      </c>
      <c r="D32" s="477">
        <f t="shared" si="4"/>
        <v>245.1304608458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467.4538189508495</v>
      </c>
    </row>
    <row r="33" spans="1:17" s="486" customFormat="1">
      <c r="A33" s="1038" t="s">
        <v>558</v>
      </c>
      <c r="B33" s="978">
        <f ca="1">SUM(B22:B32)</f>
        <v>5495.4847899230554</v>
      </c>
      <c r="C33" s="978">
        <f t="shared" ref="C33:Q33" ca="1" si="18">SUM(C22:C32)</f>
        <v>0</v>
      </c>
      <c r="D33" s="978">
        <f t="shared" ca="1" si="18"/>
        <v>9051.5991077441122</v>
      </c>
      <c r="E33" s="978">
        <f t="shared" si="18"/>
        <v>619.79252519568831</v>
      </c>
      <c r="F33" s="978">
        <f t="shared" ca="1" si="18"/>
        <v>6366.0544605258337</v>
      </c>
      <c r="G33" s="978">
        <f t="shared" si="18"/>
        <v>47651.444357309854</v>
      </c>
      <c r="H33" s="978">
        <f t="shared" si="18"/>
        <v>9185.0901291848968</v>
      </c>
      <c r="I33" s="978">
        <f t="shared" si="18"/>
        <v>0</v>
      </c>
      <c r="J33" s="978">
        <f t="shared" si="18"/>
        <v>11.434770806890842</v>
      </c>
      <c r="K33" s="978">
        <f t="shared" si="18"/>
        <v>0</v>
      </c>
      <c r="L33" s="978">
        <f t="shared" ca="1" si="18"/>
        <v>0</v>
      </c>
      <c r="M33" s="978">
        <f t="shared" si="18"/>
        <v>0</v>
      </c>
      <c r="N33" s="978">
        <f t="shared" ca="1" si="18"/>
        <v>0</v>
      </c>
      <c r="O33" s="978">
        <f t="shared" si="18"/>
        <v>0</v>
      </c>
      <c r="P33" s="978">
        <f t="shared" si="18"/>
        <v>0</v>
      </c>
      <c r="Q33" s="978">
        <f t="shared" ca="1" si="18"/>
        <v>78380.900140690326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1994.725635036106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1994.725635036106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0.2045884169646818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0.2045884169646818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2019-08-12T08:23:41Z</dcterms:modified>
</cp:coreProperties>
</file>