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C9" s="1"/>
  <c r="D77" i="14" s="1"/>
  <c r="D9" i="59" s="1"/>
  <c r="O89" i="18"/>
  <c r="N89"/>
  <c r="M89"/>
  <c r="W61"/>
  <c r="V61"/>
  <c r="N6" i="17" s="1"/>
  <c r="U61" i="18"/>
  <c r="L6" i="17" s="1"/>
  <c r="T61" i="18"/>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K10"/>
  <c r="G10"/>
  <c r="F10"/>
  <c r="B6"/>
  <c r="B74" i="14" s="1"/>
  <c r="B6" i="59" s="1"/>
  <c r="B5" i="18"/>
  <c r="B73" i="14" s="1"/>
  <c r="B5" i="59" s="1"/>
  <c r="B4" i="18"/>
  <c r="D5" i="17"/>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K78"/>
  <c r="P56"/>
  <c r="L56"/>
  <c r="I56"/>
  <c r="Q52"/>
  <c r="R44"/>
  <c r="E25"/>
  <c r="E55" s="1"/>
  <c r="C25"/>
  <c r="Q26"/>
  <c r="P26"/>
  <c r="N26"/>
  <c r="L26"/>
  <c r="L22"/>
  <c r="P22"/>
  <c r="O22"/>
  <c r="R12"/>
  <c r="O78" l="1"/>
  <c r="O9" i="59"/>
  <c r="N19"/>
  <c r="N90" i="14"/>
  <c r="L18" i="59"/>
  <c r="L20" s="1"/>
  <c r="L90" i="14"/>
  <c r="B14" i="48"/>
  <c r="R25" i="14"/>
  <c r="R9"/>
  <c r="H90"/>
  <c r="H18" i="59"/>
  <c r="H78" i="14"/>
  <c r="H8" i="59"/>
  <c r="K10"/>
  <c r="H20"/>
  <c r="E89" i="14"/>
  <c r="E19" i="59" s="1"/>
  <c r="C98" i="18"/>
  <c r="F101" s="1"/>
  <c r="O90" i="14"/>
  <c r="H10" i="59"/>
  <c r="P29" i="48"/>
  <c r="L10" i="18"/>
  <c r="L78" i="14"/>
  <c r="L8" i="59"/>
  <c r="L10" s="1"/>
  <c r="K90" i="14"/>
  <c r="E20" i="59"/>
  <c r="O29" i="48"/>
  <c r="P31"/>
  <c r="E10" i="59"/>
  <c r="E77" i="14"/>
  <c r="E9" i="59" s="1"/>
  <c r="N20"/>
  <c r="B17" i="18"/>
  <c r="B20" s="1"/>
  <c r="K20" i="59"/>
  <c r="P25" i="48"/>
  <c r="O10" i="59"/>
  <c r="F13" i="15"/>
  <c r="G78" i="14"/>
  <c r="N10" i="59"/>
  <c r="B8" i="18"/>
  <c r="B10" s="1"/>
  <c r="O19"/>
  <c r="L13" i="15"/>
  <c r="N13"/>
  <c r="Q77" i="14"/>
  <c r="P9" i="59" s="1"/>
  <c r="O9" i="18"/>
  <c r="O18"/>
  <c r="G88" i="14"/>
  <c r="F89"/>
  <c r="I101" i="18"/>
  <c r="H8" s="1"/>
  <c r="H101"/>
  <c r="D101"/>
  <c r="G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90" i="14"/>
  <c r="N78"/>
  <c r="C89" l="1"/>
  <c r="C19" i="59" s="1"/>
  <c r="F19"/>
  <c r="E78" i="14"/>
  <c r="E101" i="18"/>
  <c r="E8" s="1"/>
  <c r="E10" s="1"/>
  <c r="G90" i="14"/>
  <c r="G18" i="59"/>
  <c r="G20" s="1"/>
  <c r="B89" i="14"/>
  <c r="B19" i="59" s="1"/>
  <c r="Q89" i="14"/>
  <c r="P19" i="59" s="1"/>
  <c r="C20" i="18"/>
  <c r="D87" i="14"/>
  <c r="D17" i="59" s="1"/>
  <c r="D20" s="1"/>
  <c r="D76" i="14"/>
  <c r="D8" i="59" s="1"/>
  <c r="D10" s="1"/>
  <c r="C10" i="18"/>
  <c r="J17"/>
  <c r="J8"/>
  <c r="F87" i="14"/>
  <c r="E20" i="18"/>
  <c r="F76" i="14"/>
  <c r="F8" i="59" s="1"/>
  <c r="F10" s="1"/>
  <c r="I17" i="18"/>
  <c r="O17" s="1"/>
  <c r="O20" s="1"/>
  <c r="H20"/>
  <c r="M87" i="14"/>
  <c r="I8" i="18"/>
  <c r="M76" i="14"/>
  <c r="H10" i="18"/>
  <c r="H14" i="15"/>
  <c r="H16" s="1"/>
  <c r="G14"/>
  <c r="G16" s="1"/>
  <c r="M78" i="14" l="1"/>
  <c r="M8" i="59"/>
  <c r="M10" s="1"/>
  <c r="F90" i="14"/>
  <c r="F17" i="59"/>
  <c r="F20" s="1"/>
  <c r="H5" i="48"/>
  <c r="I10" i="14"/>
  <c r="I16" s="1"/>
  <c r="G5" i="48"/>
  <c r="H10" i="14"/>
  <c r="H16" s="1"/>
  <c r="M90"/>
  <c r="M17" i="59"/>
  <c r="M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4"/>
  <c r="I22"/>
  <c r="I30"/>
  <c r="I28"/>
  <c r="D4"/>
  <c r="D22" s="1"/>
  <c r="E11" i="14"/>
  <c r="H32" i="48"/>
  <c r="H25"/>
  <c r="H29"/>
  <c r="H26"/>
  <c r="H28"/>
  <c r="H22"/>
  <c r="H24"/>
  <c r="H30"/>
  <c r="H23"/>
  <c r="D11" i="14"/>
  <c r="C4" i="48"/>
  <c r="G32"/>
  <c r="G25"/>
  <c r="G29"/>
  <c r="G26"/>
  <c r="G24"/>
  <c r="G22"/>
  <c r="G30"/>
  <c r="G23"/>
  <c r="B4"/>
  <c r="C11" i="14"/>
  <c r="F32" i="48"/>
  <c r="F27"/>
  <c r="F30"/>
  <c r="F29"/>
  <c r="F31"/>
  <c r="F28"/>
  <c r="F24"/>
  <c r="N32"/>
  <c r="N27"/>
  <c r="N29"/>
  <c r="N28"/>
  <c r="N24"/>
  <c r="N31"/>
  <c r="N30"/>
  <c r="B10"/>
  <c r="C19" i="14"/>
  <c r="E28" i="48"/>
  <c r="E32"/>
  <c r="E31"/>
  <c r="E24"/>
  <c r="E29"/>
  <c r="E30"/>
  <c r="M32"/>
  <c r="M22"/>
  <c r="M29"/>
  <c r="M25"/>
  <c r="M26"/>
  <c r="M24"/>
  <c r="M30"/>
  <c r="M23"/>
  <c r="L10" i="14"/>
  <c r="L16" s="1"/>
  <c r="L27" s="1"/>
  <c r="K5" i="48"/>
  <c r="D28"/>
  <c r="D32"/>
  <c r="D30"/>
  <c r="D24"/>
  <c r="D29"/>
  <c r="D31"/>
  <c r="L28"/>
  <c r="L27"/>
  <c r="L32"/>
  <c r="L22"/>
  <c r="L30"/>
  <c r="L31"/>
  <c r="L29"/>
  <c r="L24"/>
  <c r="P5"/>
  <c r="P23" s="1"/>
  <c r="Q10" i="14"/>
  <c r="K28" i="48"/>
  <c r="K27"/>
  <c r="K31"/>
  <c r="K32"/>
  <c r="K25"/>
  <c r="K24"/>
  <c r="K26"/>
  <c r="K30"/>
  <c r="K29"/>
  <c r="K22"/>
  <c r="C24" i="14"/>
  <c r="C26" s="1"/>
  <c r="B7" i="48"/>
  <c r="J28"/>
  <c r="J27"/>
  <c r="J32"/>
  <c r="J31"/>
  <c r="J29"/>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C22" i="14"/>
  <c r="P8" i="48"/>
  <c r="P26" s="1"/>
  <c r="Q13" i="14"/>
  <c r="Q16" s="1"/>
  <c r="Q27" s="1"/>
  <c r="Q63" s="1"/>
  <c r="F20"/>
  <c r="F22" s="1"/>
  <c r="E9" i="48"/>
  <c r="E27" s="1"/>
  <c r="E20" i="14"/>
  <c r="E22" s="1"/>
  <c r="D9" i="48"/>
  <c r="D27" s="1"/>
  <c r="O5"/>
  <c r="O23" s="1"/>
  <c r="P10" i="14"/>
  <c r="J7" i="48"/>
  <c r="J25" s="1"/>
  <c r="K24" i="14"/>
  <c r="K26" s="1"/>
  <c r="P22" i="48"/>
  <c r="C20" i="14"/>
  <c r="B9" i="48"/>
  <c r="J46" i="14"/>
  <c r="J61" s="1"/>
  <c r="I20" i="15"/>
  <c r="J40" i="14"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H9" i="48"/>
  <c r="I20" i="14"/>
  <c r="I22" s="1"/>
  <c r="I27" s="1"/>
  <c r="P16"/>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H27" i="48"/>
  <c r="H33" s="1"/>
  <c r="H15"/>
  <c r="K10" i="14"/>
  <c r="J5" i="48"/>
  <c r="J23" s="1"/>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<sst xmlns="http://schemas.openxmlformats.org/spreadsheetml/2006/main" count="2392" uniqueCount="890">
  <si>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</si>
  <si>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</si>
  <si>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</si>
  <si>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</si>
  <si>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</si>
  <si>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</si>
  <si>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</si>
  <si>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</si>
  <si>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</si>
  <si>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</si>
  <si>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</si>
  <si>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</si>
  <si>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</si>
  <si>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</si>
  <si>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</si>
  <si>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</si>
  <si>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</si>
  <si>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</si>
  <si>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</si>
  <si>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</si>
  <si>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</si>
  <si>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</si>
  <si>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</si>
  <si>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</si>
  <si>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</si>
  <si>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</si>
  <si>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</si>
  <si>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</si>
  <si>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</si>
  <si>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</si>
  <si>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</si>
  <si>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</si>
  <si>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</si>
  <si>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</si>
  <si>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</si>
  <si>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</si>
  <si>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</si>
  <si>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</si>
  <si>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</si>
  <si>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</si>
  <si>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</si>
  <si>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</si>
  <si>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</si>
  <si>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</si>
  <si>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</si>
  <si>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</si>
  <si>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</si>
  <si>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</si>
  <si>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</si>
  <si>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</si>
  <si>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</si>
  <si>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</si>
  <si>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</si>
  <si>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</si>
  <si>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</si>
  <si>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</si>
  <si>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</si>
  <si>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</si>
  <si>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</si>
  <si>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</si>
  <si>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</si>
  <si>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</si>
  <si>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</si>
  <si>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</si>
  <si>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</si>
  <si>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</si>
  <si>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</si>
  <si>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</si>
  <si>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</si>
  <si>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</si>
  <si>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</si>
  <si>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</si>
  <si>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</si>
  <si>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</si>
  <si>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</si>
  <si>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</si>
  <si>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</si>
  <si>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</si>
  <si>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</si>
  <si>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</si>
  <si>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</si>
  <si>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</si>
  <si>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</si>
  <si>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</si>
  <si>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</si>
  <si>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</si>
  <si>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</si>
  <si>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</si>
  <si>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</si>
  <si>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</si>
  <si>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</si>
  <si>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</si>
  <si>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</si>
  <si>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</si>
  <si>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</si>
  <si>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</si>
  <si>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</si>
  <si>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</si>
  <si>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</si>
  <si>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</si>
  <si>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</si>
  <si>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</si>
  <si>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</si>
  <si>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</si>
  <si>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</si>
  <si>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</si>
  <si>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</si>
  <si>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</si>
  <si>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</si>
  <si>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</si>
  <si>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</si>
  <si>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</si>
  <si>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</si>
  <si>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</si>
  <si>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</si>
  <si>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</si>
  <si>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</si>
  <si>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</si>
  <si>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</si>
  <si>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</si>
  <si>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</si>
  <si>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</si>
  <si>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</si>
  <si>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</si>
  <si>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</si>
  <si>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</si>
  <si>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</si>
  <si>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</si>
  <si>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</si>
  <si>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</si>
  <si>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</si>
  <si>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</si>
  <si>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</si>
  <si>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</si>
  <si>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</si>
  <si>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</si>
  <si>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</si>
  <si>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</si>
  <si>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</si>
  <si>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</si>
  <si>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</si>
  <si>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</si>
  <si>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</si>
  <si>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</si>
  <si>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</si>
  <si>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</si>
  <si>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</si>
  <si>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</si>
  <si>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</si>
  <si>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</si>
  <si>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</si>
  <si>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</si>
  <si>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</si>
  <si>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</si>
  <si>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</si>
  <si>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</si>
  <si>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</si>
  <si>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</si>
  <si>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</si>
  <si>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</si>
  <si>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</si>
  <si>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</si>
  <si>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</si>
  <si>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</si>
  <si>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</si>
  <si>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</si>
  <si>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</si>
  <si>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</si>
  <si>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</si>
  <si>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</si>
  <si>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</si>
  <si>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</si>
  <si>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</si>
  <si>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</si>
  <si>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</si>
  <si>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</si>
  <si>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</si>
  <si>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</si>
  <si>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</si>
  <si>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</si>
  <si>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</si>
  <si>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</si>
  <si>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</si>
  <si>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</si>
  <si>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</si>
  <si>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</si>
  <si>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</si>
  <si>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</si>
  <si>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</si>
  <si>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</si>
  <si>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</si>
  <si>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</si>
  <si>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</si>
  <si>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</si>
  <si>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</si>
  <si>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</si>
  <si>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</si>
  <si>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</si>
  <si>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</si>
  <si>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</si>
  <si>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</si>
  <si>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</si>
  <si>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</si>
  <si>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</si>
  <si>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</si>
  <si>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</si>
  <si>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</si>
  <si>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</si>
  <si>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</si>
  <si>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</si>
  <si>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</si>
  <si>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</si>
  <si>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</si>
  <si>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</si>
  <si>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</si>
  <si>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</si>
  <si>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</si>
  <si>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</si>
  <si>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</si>
  <si>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</si>
  <si>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</si>
  <si>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</si>
  <si>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</si>
  <si>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</si>
  <si>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</si>
  <si>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</si>
  <si>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</si>
  <si>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</si>
  <si>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</si>
  <si>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</si>
  <si>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</si>
  <si>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</si>
  <si>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</si>
  <si>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</si>
  <si>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</si>
  <si>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</si>
  <si>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</si>
  <si>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</si>
  <si>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</si>
  <si>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</si>
  <si>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</si>
  <si>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</si>
  <si>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</si>
  <si>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</si>
  <si>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</si>
  <si>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</si>
  <si>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</si>
  <si>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</si>
  <si>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</si>
  <si>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</si>
  <si>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</si>
  <si>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</si>
  <si>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</si>
  <si>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</si>
  <si>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</si>
  <si>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</si>
  <si>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</si>
  <si>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</si>
  <si>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</si>
  <si>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</si>
  <si>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</si>
  <si>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</si>
  <si>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</si>
  <si>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</si>
  <si>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</si>
  <si>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</si>
  <si>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</si>
  <si>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</si>
  <si>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</si>
  <si>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</si>
  <si>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</si>
  <si>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</si>
  <si>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</si>
  <si>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</si>
  <si>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</si>
  <si>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</si>
  <si>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</si>
  <si>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</si>
  <si>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</si>
  <si>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</si>
  <si>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</si>
  <si>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</si>
  <si>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</si>
  <si>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</si>
  <si>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</si>
  <si>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</si>
  <si>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</si>
  <si>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</si>
  <si>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</si>
  <si>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</si>
  <si>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</si>
  <si>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</si>
  <si>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</si>
  <si>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</si>
  <si>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</si>
  <si>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</si>
  <si>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</si>
  <si>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</si>
  <si>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</si>
  <si>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</si>
  <si>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</si>
  <si>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</si>
  <si>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</si>
  <si>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</si>
  <si>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</si>
  <si>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</si>
  <si>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</si>
  <si>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</si>
  <si>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</si>
  <si>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</si>
  <si>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</si>
  <si>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</si>
  <si>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</si>
  <si>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</si>
  <si>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</si>
  <si>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</si>
  <si>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</si>
  <si>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</si>
  <si>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</si>
  <si>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</si>
  <si>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</si>
  <si>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</si>
  <si>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</si>
  <si>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</si>
  <si>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</si>
  <si>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</si>
  <si>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</si>
  <si>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</si>
  <si>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</si>
  <si>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</si>
  <si>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</si>
  <si>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</si>
  <si>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</si>
  <si>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</si>
  <si>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</si>
  <si>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</si>
  <si>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</si>
  <si>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</si>
  <si>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</si>
  <si>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</si>
  <si>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</si>
  <si>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</si>
  <si>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</si>
  <si>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</si>
  <si>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</si>
  <si>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</si>
  <si>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</si>
  <si>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</si>
  <si>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</si>
  <si>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</si>
  <si>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</si>
  <si>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</si>
  <si>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</si>
  <si>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</si>
  <si>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</si>
  <si>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</si>
  <si>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</si>
  <si>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</si>
  <si>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</si>
  <si>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</si>
  <si>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</si>
  <si>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</si>
  <si>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</si>
  <si>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</si>
  <si>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</si>
  <si>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</si>
  <si>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</si>
  <si>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</si>
  <si>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</si>
  <si>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</si>
  <si>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</si>
  <si>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</si>
  <si>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</si>
  <si>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</si>
  <si>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</si>
  <si>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</si>
  <si>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</si>
  <si>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</si>
  <si>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</si>
  <si>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</si>
  <si>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</si>
  <si>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</si>
  <si>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</si>
  <si>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</si>
  <si>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</si>
  <si>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</si>
  <si>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</si>
  <si>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</si>
  <si>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</si>
  <si>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</si>
  <si>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</si>
  <si>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</si>
  <si>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</si>
  <si>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</si>
  <si>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</si>
  <si>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</si>
  <si>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</si>
  <si>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</si>
  <si>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</si>
  <si>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</si>
  <si>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</si>
  <si>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</si>
  <si>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</si>
  <si>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</si>
  <si>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</si>
  <si>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</si>
  <si>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</si>
  <si>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</si>
  <si>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</si>
  <si>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</si>
  <si>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</si>
  <si>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</si>
  <si>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</si>
  <si>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</si>
  <si>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</si>
  <si>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</si>
  <si>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</si>
  <si>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</si>
  <si>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</si>
  <si>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</si>
  <si>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</si>
  <si>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</si>
  <si>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</si>
  <si>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</si>
  <si>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</si>
  <si>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</si>
  <si>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</si>
  <si>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</si>
  <si>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</si>
  <si>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</si>
  <si>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</si>
  <si>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</si>
  <si>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</si>
  <si>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</si>
  <si>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</si>
  <si>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</si>
  <si>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</si>
  <si>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</si>
  <si>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</si>
  <si>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</si>
  <si>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</si>
  <si>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</si>
  <si>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</si>
  <si>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</si>
  <si>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</si>
  <si>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</si>
  <si>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</si>
  <si>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</si>
  <si>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</si>
  <si>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</si>
  <si>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</si>
  <si>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</si>
  <si>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</si>
  <si>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</si>
  <si>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</si>
  <si>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</si>
  <si>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</si>
  <si>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</si>
  <si>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</si>
  <si>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</si>
  <si>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</si>
  <si>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</si>
  <si>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</si>
  <si>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</si>
  <si>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</si>
  <si>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</si>
  <si>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</si>
  <si>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</si>
  <si>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</si>
  <si>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</si>
  <si>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</si>
  <si>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</si>
  <si>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</si>
  <si>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</si>
  <si>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</si>
  <si>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</si>
  <si>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</si>
  <si>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</si>
  <si>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</si>
  <si>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</si>
  <si>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</si>
  <si>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</si>
  <si>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</si>
  <si>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</si>
  <si>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</si>
  <si>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</si>
  <si>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</si>
  <si>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</si>
  <si>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</si>
  <si>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</si>
  <si>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</si>
  <si>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</si>
  <si>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</si>
  <si>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</si>
  <si>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</si>
  <si>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</si>
  <si>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</si>
  <si>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</si>
  <si>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</si>
  <si>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</si>
  <si>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</si>
  <si>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</si>
  <si>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</si>
  <si>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</si>
  <si>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</si>
  <si>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</si>
  <si>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</si>
  <si>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</si>
  <si>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</si>
  <si>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</si>
  <si>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</si>
  <si>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</si>
  <si>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</si>
  <si>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</si>
  <si>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</si>
  <si>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</si>
  <si>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</si>
  <si>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</si>
  <si>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</si>
  <si>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</si>
  <si>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</si>
  <si>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</si>
  <si>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</si>
  <si>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</si>
  <si>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</si>
  <si>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</si>
  <si>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</si>
  <si>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</si>
  <si>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</si>
  <si>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</si>
  <si>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</si>
  <si>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</si>
  <si>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</si>
  <si>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</si>
  <si>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</si>
  <si>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</si>
  <si>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</si>
  <si>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</si>
  <si>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</si>
  <si>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</si>
  <si>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</si>
  <si>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</si>
  <si>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</si>
  <si>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</si>
  <si>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</si>
  <si>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</si>
  <si>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</si>
  <si>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</si>
  <si>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</si>
  <si>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</si>
  <si>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</si>
  <si>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</si>
  <si>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</si>
  <si>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</si>
  <si>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</si>
  <si>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</si>
  <si>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</si>
  <si>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</si>
  <si>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</si>
  <si>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</si>
  <si>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</si>
  <si>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</si>
  <si>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</si>
  <si>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</si>
  <si>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</si>
  <si>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</si>
  <si>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</si>
  <si>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</si>
  <si>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</si>
  <si>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</si>
  <si>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</si>
  <si>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</si>
  <si>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</si>
  <si>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</si>
  <si>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</si>
  <si>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</si>
  <si>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</si>
  <si>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</si>
  <si>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</si>
  <si>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</si>
  <si>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</si>
  <si>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</si>
  <si>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</si>
  <si>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</si>
  <si>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</si>
  <si>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</si>
  <si>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</si>
  <si>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</si>
  <si>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</si>
  <si>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</si>
  <si>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</si>
  <si>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</si>
  <si>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</si>
  <si>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</si>
  <si>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</si>
  <si>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</si>
  <si>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</si>
  <si>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</si>
  <si>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</si>
  <si>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</si>
  <si>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</si>
  <si>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</si>
  <si>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</si>
  <si>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</si>
  <si>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</si>
  <si>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</si>
  <si>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</si>
  <si>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</si>
  <si>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</si>
  <si>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</si>
  <si>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</si>
  <si>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</si>
  <si>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</si>
  <si>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</si>
  <si>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</si>
  <si>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</si>
  <si>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</si>
  <si>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</si>
  <si>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</si>
  <si>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</si>
  <si>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</si>
  <si>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</si>
  <si>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</si>
  <si>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</si>
  <si>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</si>
  <si>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</si>
  <si>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</si>
  <si>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</si>
  <si>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</si>
  <si>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</si>
  <si>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</si>
  <si>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</si>
  <si>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</si>
  <si>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</si>
  <si>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</si>
  <si>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</si>
  <si>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</si>
  <si>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</si>
  <si>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</si>
  <si>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</si>
  <si>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</si>
  <si>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</si>
  <si>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</si>
  <si>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</si>
  <si>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</si>
  <si>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</si>
  <si>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</si>
  <si>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</si>
  <si>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</si>
  <si>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</si>
  <si>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</si>
  <si>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</si>
  <si>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</si>
  <si>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</si>
  <si>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</si>
  <si>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</si>
  <si>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</si>
  <si>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</si>
  <si>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</si>
  <si>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</si>
  <si>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</si>
  <si>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</si>
  <si>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</si>
  <si>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</si>
  <si>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</si>
  <si>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</si>
  <si>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</si>
  <si>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</si>
  <si>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</si>
  <si>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</si>
  <si>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</si>
  <si>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</si>
  <si>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</si>
  <si>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</si>
  <si>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</si>
  <si>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</si>
  <si>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</si>
  <si>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</si>
  <si>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</si>
  <si>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</si>
  <si>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</si>
  <si>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</si>
  <si>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</si>
  <si>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</si>
  <si>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</si>
  <si>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</si>
  <si>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</si>
  <si>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</si>
  <si>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</si>
  <si>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</si>
  <si>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</si>
  <si>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</si>
  <si>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</si>
  <si>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</si>
  <si>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</si>
  <si>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</si>
  <si>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</si>
  <si>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</si>
  <si>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</si>
  <si>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</si>
  <si>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</si>
  <si>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</si>
  <si>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</si>
  <si>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</si>
  <si>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</si>
  <si>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</si>
  <si>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</si>
  <si>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</si>
  <si>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</si>
  <si>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</si>
  <si>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</si>
  <si>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</si>
  <si>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</si>
  <si>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</si>
  <si>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</si>
  <si>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</si>
  <si>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</si>
  <si>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</si>
  <si>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</si>
  <si>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</si>
  <si>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</si>
  <si>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</si>
  <si>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</si>
  <si>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</si>
  <si>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</si>
  <si>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</si>
  <si>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</si>
  <si>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</si>
  <si>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</si>
  <si>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</si>
  <si>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</si>
  <si>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</si>
  <si>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</si>
  <si>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</si>
  <si>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</si>
  <si>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</si>
  <si>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</si>
  <si>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</si>
  <si>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</si>
  <si>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</si>
  <si>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</si>
  <si>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</si>
  <si>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</si>
  <si>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</si>
  <si>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</si>
  <si>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</si>
  <si>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</si>
  <si>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</si>
  <si>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</si>
  <si>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</si>
  <si>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</si>
  <si>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</si>
  <si>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</si>
  <si>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</si>
  <si>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</si>
  <si>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</si>
  <si>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</si>
  <si>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</si>
  <si>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</si>
  <si>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</si>
  <si>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</si>
  <si>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</si>
  <si>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</si>
  <si>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</si>
  <si>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</si>
  <si>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</si>
  <si>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</si>
  <si>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</si>
  <si>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</si>
  <si>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</si>
  <si>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</si>
  <si>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</si>
  <si>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</si>
  <si>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</si>
  <si>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</si>
  <si>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</si>
  <si>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</si>
  <si>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</si>
  <si>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</si>
  <si>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</si>
  <si>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</si>
  <si>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</si>
  <si>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</si>
  <si>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</si>
  <si>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</si>
  <si>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</si>
  <si>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</si>
  <si>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</si>
  <si>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</si>
  <si>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</si>
  <si>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</si>
  <si>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</si>
  <si>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</si>
  <si>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</si>
  <si>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</si>
  <si>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</si>
  <si>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</si>
  <si>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</si>
  <si>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</si>
  <si>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</si>
  <si>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</si>
  <si>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</si>
  <si>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</si>
  <si>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</si>
  <si>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</si>
  <si>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</si>
  <si>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</si>
  <si>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</si>
  <si>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</si>
  <si>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</si>
  <si>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</si>
  <si>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</si>
  <si>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</si>
  <si>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</si>
  <si>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</si>
  <si>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</si>
  <si>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</si>
  <si>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</si>
  <si>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</si>
  <si>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</si>
  <si>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</si>
  <si>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</si>
  <si>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</si>
  <si>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</si>
  <si>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</si>
  <si>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</si>
  <si>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</si>
  <si>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</si>
  <si>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</si>
  <si>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</si>
  <si>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</si>
  <si>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</si>
  <si>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</si>
  <si>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</si>
  <si>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</si>
  <si>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</si>
  <si>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</si>
  <si>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</si>
  <si>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</si>
  <si>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</si>
  <si>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</si>
  <si>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</si>
  <si>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</si>
  <si>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</si>
  <si>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</si>
  <si>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</si>
  <si>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</si>
  <si>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</si>
  <si>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</si>
  <si>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</si>
  <si>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</si>
  <si>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</si>
  <si>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</si>
  <si>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</si>
  <si>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</si>
  <si>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</si>
  <si>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</si>
  <si>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</si>
  <si>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</si>
  <si>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</si>
  <si>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</si>
  <si>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</si>
  <si>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</si>
  <si>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</si>
  <si>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</si>
  <si>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</si>
  <si>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</si>
  <si>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</si>
  <si>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</si>
  <si>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</si>
  <si>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</si>
  <si>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</si>
  <si>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</si>
  <si>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</si>
  <si>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</si>
  <si>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</si>
  <si>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</si>
  <si>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</si>
  <si>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</si>
  <si>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</si>
  <si>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</si>
  <si>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</si>
  <si>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24008</t>
  </si>
  <si>
    <t>BEKKEVOORT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</si>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</sst>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64554.122700270098</c:v>
                </c:pt>
                <c:pt idx="1">
                  <c:v>13986.353210229106</c:v>
                </c:pt>
                <c:pt idx="2">
                  <c:v>495.44099999999997</c:v>
                </c:pt>
                <c:pt idx="3">
                  <c:v>15189.095598032271</c:v>
                </c:pt>
                <c:pt idx="4">
                  <c:v>4969.7370170162749</c:v>
                </c:pt>
                <c:pt idx="5">
                  <c:v>198253.23276596519</c:v>
                </c:pt>
                <c:pt idx="6">
                  <c:v>1183.3287187160975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64554.122700270098</c:v>
                </c:pt>
                <c:pt idx="1">
                  <c:v>13986.353210229106</c:v>
                </c:pt>
                <c:pt idx="2">
                  <c:v>495.44099999999997</c:v>
                </c:pt>
                <c:pt idx="3">
                  <c:v>15189.095598032271</c:v>
                </c:pt>
                <c:pt idx="4">
                  <c:v>4969.7370170162749</c:v>
                </c:pt>
                <c:pt idx="5">
                  <c:v>198253.23276596519</c:v>
                </c:pt>
                <c:pt idx="6">
                  <c:v>1183.3287187160975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13151.486513398595</c:v>
                </c:pt>
                <c:pt idx="2">
                  <c:v>2087.7451744582581</c:v>
                </c:pt>
                <c:pt idx="3">
                  <c:v>55.882854147490818</c:v>
                </c:pt>
                <c:pt idx="4">
                  <c:v>3604.1960973298897</c:v>
                </c:pt>
                <c:pt idx="5">
                  <c:v>684.46292021326474</c:v>
                </c:pt>
                <c:pt idx="6">
                  <c:v>50772.811108978531</c:v>
                </c:pt>
                <c:pt idx="7">
                  <c:v>306.4435738077558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13151.486513398595</c:v>
                </c:pt>
                <c:pt idx="2">
                  <c:v>2087.7451744582581</c:v>
                </c:pt>
                <c:pt idx="3">
                  <c:v>55.882854147490818</c:v>
                </c:pt>
                <c:pt idx="4">
                  <c:v>3604.1960973298897</c:v>
                </c:pt>
                <c:pt idx="5">
                  <c:v>684.46292021326474</c:v>
                </c:pt>
                <c:pt idx="6">
                  <c:v>50772.811108978531</c:v>
                </c:pt>
                <c:pt idx="7">
                  <c:v>306.4435738077558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0.11279416549597393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0.11279416549597393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2458</v>
      </c>
      <c r="C9" s="342">
        <v>2479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2390.62</v>
      </c>
    </row>
    <row r="15" spans="1:6">
      <c r="A15" s="348" t="s">
        <v>184</v>
      </c>
      <c r="B15" s="334">
        <v>113</v>
      </c>
    </row>
    <row r="16" spans="1:6">
      <c r="A16" s="348" t="s">
        <v>6</v>
      </c>
      <c r="B16" s="334">
        <v>299</v>
      </c>
    </row>
    <row r="17" spans="1:6">
      <c r="A17" s="348" t="s">
        <v>7</v>
      </c>
      <c r="B17" s="334">
        <v>213</v>
      </c>
    </row>
    <row r="18" spans="1:6">
      <c r="A18" s="348" t="s">
        <v>8</v>
      </c>
      <c r="B18" s="334">
        <v>363</v>
      </c>
    </row>
    <row r="19" spans="1:6">
      <c r="A19" s="348" t="s">
        <v>9</v>
      </c>
      <c r="B19" s="334">
        <v>362</v>
      </c>
    </row>
    <row r="20" spans="1:6">
      <c r="A20" s="348" t="s">
        <v>10</v>
      </c>
      <c r="B20" s="334">
        <v>374</v>
      </c>
    </row>
    <row r="21" spans="1:6">
      <c r="A21" s="348" t="s">
        <v>11</v>
      </c>
      <c r="B21" s="334">
        <v>7661</v>
      </c>
    </row>
    <row r="22" spans="1:6">
      <c r="A22" s="348" t="s">
        <v>12</v>
      </c>
      <c r="B22" s="334">
        <v>8444</v>
      </c>
    </row>
    <row r="23" spans="1:6">
      <c r="A23" s="348" t="s">
        <v>13</v>
      </c>
      <c r="B23" s="334">
        <v>258</v>
      </c>
    </row>
    <row r="24" spans="1:6">
      <c r="A24" s="348" t="s">
        <v>14</v>
      </c>
      <c r="B24" s="334">
        <v>6</v>
      </c>
    </row>
    <row r="25" spans="1:6">
      <c r="A25" s="348" t="s">
        <v>15</v>
      </c>
      <c r="B25" s="334">
        <v>1569</v>
      </c>
    </row>
    <row r="26" spans="1:6">
      <c r="A26" s="348" t="s">
        <v>16</v>
      </c>
      <c r="B26" s="334">
        <v>210</v>
      </c>
    </row>
    <row r="27" spans="1:6">
      <c r="A27" s="348" t="s">
        <v>17</v>
      </c>
      <c r="B27" s="334">
        <v>0</v>
      </c>
    </row>
    <row r="28" spans="1:6" s="356" customFormat="1">
      <c r="A28" s="355" t="s">
        <v>18</v>
      </c>
      <c r="B28" s="355">
        <v>83039</v>
      </c>
    </row>
    <row r="29" spans="1:6">
      <c r="A29" s="355" t="s">
        <v>884</v>
      </c>
      <c r="B29" s="355">
        <v>162</v>
      </c>
      <c r="C29" s="356"/>
      <c r="D29" s="356"/>
      <c r="E29" s="356"/>
      <c r="F29" s="356"/>
    </row>
    <row r="30" spans="1:6">
      <c r="A30" s="355" t="s">
        <v>885</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538</v>
      </c>
      <c r="D39" s="334">
        <v>8001319</v>
      </c>
      <c r="E39" s="334">
        <v>2348</v>
      </c>
      <c r="F39" s="334">
        <v>9275303</v>
      </c>
    </row>
    <row r="40" spans="1:6">
      <c r="A40" s="348" t="s">
        <v>30</v>
      </c>
      <c r="B40" s="348" t="s">
        <v>29</v>
      </c>
      <c r="C40" s="334">
        <v>0</v>
      </c>
      <c r="D40" s="334">
        <v>0</v>
      </c>
      <c r="E40" s="334">
        <v>0</v>
      </c>
      <c r="F40" s="334">
        <v>0</v>
      </c>
    </row>
    <row r="41" spans="1:6">
      <c r="A41" s="348" t="s">
        <v>32</v>
      </c>
      <c r="B41" s="348" t="s">
        <v>33</v>
      </c>
      <c r="C41" s="334">
        <v>16</v>
      </c>
      <c r="D41" s="334">
        <v>622489</v>
      </c>
      <c r="E41" s="334">
        <v>56</v>
      </c>
      <c r="F41" s="334">
        <v>513673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66280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58040</v>
      </c>
      <c r="E48" s="334">
        <v>3</v>
      </c>
      <c r="F48" s="334">
        <v>348420</v>
      </c>
    </row>
    <row r="49" spans="1:6">
      <c r="A49" s="348" t="s">
        <v>32</v>
      </c>
      <c r="B49" s="348" t="s">
        <v>40</v>
      </c>
      <c r="C49" s="334">
        <v>0</v>
      </c>
      <c r="D49" s="334">
        <v>0</v>
      </c>
      <c r="E49" s="334">
        <v>0</v>
      </c>
      <c r="F49" s="334">
        <v>0</v>
      </c>
    </row>
    <row r="50" spans="1:6">
      <c r="A50" s="348" t="s">
        <v>32</v>
      </c>
      <c r="B50" s="348" t="s">
        <v>41</v>
      </c>
      <c r="C50" s="334">
        <v>0</v>
      </c>
      <c r="D50" s="334">
        <v>0</v>
      </c>
      <c r="E50" s="334">
        <v>8</v>
      </c>
      <c r="F50" s="334">
        <v>1531344</v>
      </c>
    </row>
    <row r="51" spans="1:6">
      <c r="A51" s="348" t="s">
        <v>42</v>
      </c>
      <c r="B51" s="348" t="s">
        <v>43</v>
      </c>
      <c r="C51" s="334">
        <v>3</v>
      </c>
      <c r="D51" s="334">
        <v>63475</v>
      </c>
      <c r="E51" s="334">
        <v>104</v>
      </c>
      <c r="F51" s="334">
        <v>3136172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495441</v>
      </c>
    </row>
    <row r="56" spans="1:6">
      <c r="A56" s="348" t="s">
        <v>48</v>
      </c>
      <c r="B56" s="348" t="s">
        <v>29</v>
      </c>
      <c r="C56" s="334">
        <v>13</v>
      </c>
      <c r="D56" s="334">
        <v>364368</v>
      </c>
      <c r="E56" s="334">
        <v>46</v>
      </c>
      <c r="F56" s="334">
        <v>218471</v>
      </c>
    </row>
    <row r="57" spans="1:6">
      <c r="A57" s="348" t="s">
        <v>49</v>
      </c>
      <c r="B57" s="348" t="s">
        <v>50</v>
      </c>
      <c r="C57" s="334">
        <v>0</v>
      </c>
      <c r="D57" s="334">
        <v>0</v>
      </c>
      <c r="E57" s="334">
        <v>29</v>
      </c>
      <c r="F57" s="334">
        <v>403108</v>
      </c>
    </row>
    <row r="58" spans="1:6">
      <c r="A58" s="348" t="s">
        <v>49</v>
      </c>
      <c r="B58" s="348" t="s">
        <v>51</v>
      </c>
      <c r="C58" s="334">
        <v>3</v>
      </c>
      <c r="D58" s="334">
        <v>539023</v>
      </c>
      <c r="E58" s="334">
        <v>10</v>
      </c>
      <c r="F58" s="334">
        <v>259913</v>
      </c>
    </row>
    <row r="59" spans="1:6">
      <c r="A59" s="348" t="s">
        <v>49</v>
      </c>
      <c r="B59" s="348" t="s">
        <v>52</v>
      </c>
      <c r="C59" s="334">
        <v>9</v>
      </c>
      <c r="D59" s="334">
        <v>206259</v>
      </c>
      <c r="E59" s="334">
        <v>70</v>
      </c>
      <c r="F59" s="334">
        <v>1589694</v>
      </c>
    </row>
    <row r="60" spans="1:6">
      <c r="A60" s="348" t="s">
        <v>49</v>
      </c>
      <c r="B60" s="348" t="s">
        <v>53</v>
      </c>
      <c r="C60" s="334">
        <v>10</v>
      </c>
      <c r="D60" s="334">
        <v>378933</v>
      </c>
      <c r="E60" s="334">
        <v>24</v>
      </c>
      <c r="F60" s="334">
        <v>600396</v>
      </c>
    </row>
    <row r="61" spans="1:6">
      <c r="A61" s="348" t="s">
        <v>49</v>
      </c>
      <c r="B61" s="348" t="s">
        <v>54</v>
      </c>
      <c r="C61" s="334">
        <v>28</v>
      </c>
      <c r="D61" s="334">
        <v>1005919</v>
      </c>
      <c r="E61" s="334">
        <v>99</v>
      </c>
      <c r="F61" s="334">
        <v>6283711</v>
      </c>
    </row>
    <row r="62" spans="1:6">
      <c r="A62" s="348" t="s">
        <v>49</v>
      </c>
      <c r="B62" s="348" t="s">
        <v>55</v>
      </c>
      <c r="C62" s="334">
        <v>0</v>
      </c>
      <c r="D62" s="334">
        <v>0</v>
      </c>
      <c r="E62" s="334">
        <v>6</v>
      </c>
      <c r="F62" s="334">
        <v>38176</v>
      </c>
    </row>
    <row r="63" spans="1:6">
      <c r="A63" s="348" t="s">
        <v>49</v>
      </c>
      <c r="B63" s="348" t="s">
        <v>29</v>
      </c>
      <c r="C63" s="334">
        <v>0</v>
      </c>
      <c r="D63" s="334">
        <v>38962</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20420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48763357</v>
      </c>
      <c r="E73" s="475">
        <v>50060960.431854166</v>
      </c>
    </row>
    <row r="74" spans="1:6">
      <c r="A74" s="348" t="s">
        <v>64</v>
      </c>
      <c r="B74" s="348" t="s">
        <v>667</v>
      </c>
      <c r="C74" s="1294" t="s">
        <v>669</v>
      </c>
      <c r="D74" s="475">
        <v>5828187.019288661</v>
      </c>
      <c r="E74" s="475">
        <v>5979459.7166166455</v>
      </c>
    </row>
    <row r="75" spans="1:6">
      <c r="A75" s="348" t="s">
        <v>65</v>
      </c>
      <c r="B75" s="348" t="s">
        <v>666</v>
      </c>
      <c r="C75" s="1294" t="s">
        <v>670</v>
      </c>
      <c r="D75" s="475">
        <v>21962502</v>
      </c>
      <c r="E75" s="475">
        <v>22548861.849520411</v>
      </c>
    </row>
    <row r="76" spans="1:6">
      <c r="A76" s="348" t="s">
        <v>65</v>
      </c>
      <c r="B76" s="348" t="s">
        <v>667</v>
      </c>
      <c r="C76" s="1294" t="s">
        <v>671</v>
      </c>
      <c r="D76" s="475">
        <v>843059.01928866073</v>
      </c>
      <c r="E76" s="475">
        <v>866768.91020229168</v>
      </c>
    </row>
    <row r="77" spans="1:6">
      <c r="A77" s="348" t="s">
        <v>66</v>
      </c>
      <c r="B77" s="348" t="s">
        <v>666</v>
      </c>
      <c r="C77" s="1294" t="s">
        <v>672</v>
      </c>
      <c r="D77" s="475">
        <v>133778944</v>
      </c>
      <c r="E77" s="475">
        <v>142844547.31259614</v>
      </c>
    </row>
    <row r="78" spans="1:6">
      <c r="A78" s="341" t="s">
        <v>66</v>
      </c>
      <c r="B78" s="341" t="s">
        <v>667</v>
      </c>
      <c r="C78" s="341" t="s">
        <v>673</v>
      </c>
      <c r="D78" s="1295">
        <v>15715651</v>
      </c>
      <c r="E78" s="1295">
        <v>16325537.023986636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317825.96142267861</v>
      </c>
      <c r="C83" s="475">
        <v>317825.96142267861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8113.7159571026823</v>
      </c>
    </row>
    <row r="91" spans="1:6">
      <c r="A91" s="348" t="s">
        <v>68</v>
      </c>
      <c r="B91" s="334">
        <v>2044.6397210336127</v>
      </c>
    </row>
    <row r="92" spans="1:6">
      <c r="A92" s="341" t="s">
        <v>69</v>
      </c>
      <c r="B92" s="342">
        <v>2989.2233284550393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9</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1</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26852.664403679399</v>
      </c>
      <c r="C3" s="43" t="s">
        <v>170</v>
      </c>
      <c r="D3" s="43"/>
      <c r="E3" s="154"/>
      <c r="F3" s="43"/>
      <c r="G3" s="43"/>
      <c r="H3" s="43"/>
      <c r="I3" s="43"/>
      <c r="J3" s="43"/>
      <c r="K3" s="96"/>
    </row>
    <row r="4" spans="1:11">
      <c r="A4" s="383" t="s">
        <v>171</v>
      </c>
      <c r="B4" s="49">
        <f>IF(ISERROR('SEAP template'!B78+'SEAP template'!C78),0,'SEAP template'!B78+'SEAP template'!C78)</f>
        <v>13147.579006591335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0.11279416549597393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495.44099999999997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495.44099999999997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0.11279416549597393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55.882854147490818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9275.3029999999999</v>
      </c>
      <c r="C5" s="17">
        <f>IF(ISERROR('Eigen informatie GS &amp; warmtenet'!B57),0,'Eigen informatie GS &amp; warmtenet'!B57)</f>
        <v>0</v>
      </c>
      <c r="D5" s="30">
        <f>(SUM(HH_hh_gas_kWh,HH_rest_gas_kWh)/1000)*0.902</f>
        <v>7217.1897380000009</v>
      </c>
      <c r="E5" s="17">
        <f>B46*B57</f>
        <v>3618.7290003510416</v>
      </c>
      <c r="F5" s="17">
        <f>B51*B62</f>
        <v>32925.197687384658</v>
      </c>
      <c r="G5" s="18"/>
      <c r="H5" s="17"/>
      <c r="I5" s="17"/>
      <c r="J5" s="17">
        <f>B50*B61+C50*C61</f>
        <v>2272.0661808756872</v>
      </c>
      <c r="K5" s="17"/>
      <c r="L5" s="17"/>
      <c r="M5" s="17"/>
      <c r="N5" s="17">
        <f>B48*B59+C48*C59</f>
        <v>6445.1673726251047</v>
      </c>
      <c r="O5" s="17">
        <f>B69*B70*B71</f>
        <v>126.63</v>
      </c>
      <c r="P5" s="17">
        <f>B77*B78*B79/1000-B77*B78*B79/1000/B80</f>
        <v>629.20000000000005</v>
      </c>
    </row>
    <row r="6" spans="1:16">
      <c r="A6" s="16" t="s">
        <v>624</v>
      </c>
      <c r="B6" s="788">
        <f>kWh_PV_kleiner_dan_10kW</f>
        <v>2044.6397210336127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11319.942721033613</v>
      </c>
      <c r="C8" s="21">
        <f>C5</f>
        <v>0</v>
      </c>
      <c r="D8" s="21">
        <f>D5</f>
        <v>7217.1897380000009</v>
      </c>
      <c r="E8" s="21">
        <f>E5</f>
        <v>3618.7290003510416</v>
      </c>
      <c r="F8" s="21">
        <f>F5</f>
        <v>32925.197687384658</v>
      </c>
      <c r="G8" s="21"/>
      <c r="H8" s="21"/>
      <c r="I8" s="21"/>
      <c r="J8" s="21">
        <f>J5</f>
        <v>2272.0661808756872</v>
      </c>
      <c r="K8" s="21"/>
      <c r="L8" s="21">
        <f>L5</f>
        <v>0</v>
      </c>
      <c r="M8" s="21">
        <f>M5</f>
        <v>0</v>
      </c>
      <c r="N8" s="21">
        <f>N5</f>
        <v>6445.1673726251047</v>
      </c>
      <c r="O8" s="21">
        <f>O5</f>
        <v>126.63</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0.11279416549597393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1276.8234926812108</v>
      </c>
      <c r="C12" s="23">
        <f ca="1">C10*C8</f>
        <v>0</v>
      </c>
      <c r="D12" s="23">
        <f>D8*D10</f>
        <v>1457.8723270760004</v>
      </c>
      <c r="E12" s="23">
        <f>E10*E8</f>
        <v>821.45148307968645</v>
      </c>
      <c r="F12" s="23">
        <f>F10*F8</f>
        <v>8791.0277825317044</v>
      </c>
      <c r="G12" s="23"/>
      <c r="H12" s="23"/>
      <c r="I12" s="23"/>
      <c r="J12" s="23">
        <f>J10*J8</f>
        <v>804.31142802999318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2458</v>
      </c>
      <c r="C28" s="36"/>
      <c r="D28" s="228"/>
    </row>
    <row r="29" spans="1:7" s="15" customFormat="1">
      <c r="A29" s="230" t="s">
        <v>699</v>
      </c>
      <c r="B29" s="37">
        <f>SUM(HH_hh_gas_aantal,HH_rest_gas_aantal)</f>
        <v>538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538</v>
      </c>
      <c r="C32" s="167">
        <f>IF(ISERROR(B32/SUM($B$32,$B$34,$B$35,$B$36,$B$38,$B$39)*100),0,B32/SUM($B$32,$B$34,$B$35,$B$36,$B$38,$B$39)*100)</f>
        <v>22.185567010309278</v>
      </c>
      <c r="D32" s="233"/>
      <c r="G32" s="15"/>
    </row>
    <row r="33" spans="1:7">
      <c r="A33" s="171" t="s">
        <v>72</v>
      </c>
      <c r="B33" s="34" t="s">
        <v>111</v>
      </c>
      <c r="C33" s="167"/>
      <c r="D33" s="233"/>
      <c r="G33" s="15"/>
    </row>
    <row r="34" spans="1:7">
      <c r="A34" s="171" t="s">
        <v>73</v>
      </c>
      <c r="B34" s="33">
        <f>IF((($B$28-$B$32-$B$39-$B$77-$B$38)*C20/100)&lt;0,0,($B$28-$B$32-$B$39-$B$77-$B$38)*C20/100)</f>
        <v>159.99411764705886</v>
      </c>
      <c r="C34" s="167">
        <f>IF(ISERROR(B34/SUM($B$32,$B$34,$B$35,$B$36,$B$38,$B$39)*100),0,B34/SUM($B$32,$B$34,$B$35,$B$36,$B$38,$B$39)*100)</f>
        <v>6.597695573074593</v>
      </c>
      <c r="D34" s="233"/>
      <c r="G34" s="15"/>
    </row>
    <row r="35" spans="1:7">
      <c r="A35" s="171" t="s">
        <v>74</v>
      </c>
      <c r="B35" s="33">
        <f>IF((($B$28-$B$32-$B$39-$B$77-$B$38)*C21/100)&lt;0,0,($B$28-$B$32-$B$39-$B$77-$B$38)*C21/100)</f>
        <v>200.67058823529416</v>
      </c>
      <c r="C35" s="167">
        <f>IF(ISERROR(B35/SUM($B$32,$B$34,$B$35,$B$36,$B$38,$B$39)*100),0,B35/SUM($B$32,$B$34,$B$35,$B$36,$B$38,$B$39)*100)</f>
        <v>8.275075803517284</v>
      </c>
      <c r="D35" s="233"/>
      <c r="G35" s="15"/>
    </row>
    <row r="36" spans="1:7">
      <c r="A36" s="171" t="s">
        <v>75</v>
      </c>
      <c r="B36" s="33">
        <f>IF((($B$28-$B$32-$B$39-$B$77-$B$38)*C22/100)&lt;0,0,($B$28-$B$32-$B$39-$B$77-$B$38)*C22/100)</f>
        <v>100.33529411764708</v>
      </c>
      <c r="C36" s="167">
        <f>IF(ISERROR(B36/SUM($B$32,$B$34,$B$35,$B$36,$B$38,$B$39)*100),0,B36/SUM($B$32,$B$34,$B$35,$B$36,$B$38,$B$39)*100)</f>
        <v>4.137537901758642</v>
      </c>
      <c r="D36" s="233"/>
      <c r="G36" s="15"/>
    </row>
    <row r="37" spans="1:7">
      <c r="A37" s="171" t="s">
        <v>76</v>
      </c>
      <c r="B37" s="34" t="s">
        <v>111</v>
      </c>
      <c r="C37" s="167"/>
      <c r="D37" s="173"/>
      <c r="G37" s="15"/>
    </row>
    <row r="38" spans="1:7">
      <c r="A38" s="171" t="s">
        <v>77</v>
      </c>
      <c r="B38" s="33">
        <f>IF((B24-(B29-B18)*0.1)&lt;0,0,B24-(B29-B18)*0.1)</f>
        <v>73.400000000000006</v>
      </c>
      <c r="C38" s="167">
        <f>IF(ISERROR(B38/SUM($B$32,$B$34,$B$35,$B$36,$B$38,$B$39)*100),0,B38/SUM($B$32,$B$34,$B$35,$B$36,$B$38,$B$39)*100)</f>
        <v>3.0268041237113406</v>
      </c>
      <c r="D38" s="234"/>
      <c r="G38" s="15"/>
    </row>
    <row r="39" spans="1:7">
      <c r="A39" s="171" t="s">
        <v>78</v>
      </c>
      <c r="B39" s="33">
        <f>IF((B25-(B29-B18))&lt;0,0,B25-(B29-B18)*0.9)</f>
        <v>1352.6</v>
      </c>
      <c r="C39" s="167">
        <f>IF(ISERROR(B39/SUM($B$32,$B$34,$B$35,$B$36,$B$38,$B$39)*100),0,B39/SUM($B$32,$B$34,$B$35,$B$36,$B$38,$B$39)*100)</f>
        <v>55.77731958762886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538</v>
      </c>
      <c r="C44" s="34" t="s">
        <v>111</v>
      </c>
      <c r="D44" s="174"/>
    </row>
    <row r="45" spans="1:7">
      <c r="A45" s="171" t="s">
        <v>72</v>
      </c>
      <c r="B45" s="33" t="str">
        <f t="shared" si="0"/>
        <v>-</v>
      </c>
      <c r="C45" s="34" t="s">
        <v>111</v>
      </c>
      <c r="D45" s="174"/>
    </row>
    <row r="46" spans="1:7">
      <c r="A46" s="171" t="s">
        <v>73</v>
      </c>
      <c r="B46" s="33">
        <f t="shared" si="0"/>
        <v>159.99411764705886</v>
      </c>
      <c r="C46" s="34" t="s">
        <v>111</v>
      </c>
      <c r="D46" s="174"/>
    </row>
    <row r="47" spans="1:7">
      <c r="A47" s="171" t="s">
        <v>74</v>
      </c>
      <c r="B47" s="33">
        <f t="shared" si="0"/>
        <v>200.67058823529416</v>
      </c>
      <c r="C47" s="34" t="s">
        <v>111</v>
      </c>
      <c r="D47" s="174"/>
    </row>
    <row r="48" spans="1:7">
      <c r="A48" s="171" t="s">
        <v>75</v>
      </c>
      <c r="B48" s="33">
        <f t="shared" si="0"/>
        <v>100.33529411764708</v>
      </c>
      <c r="C48" s="33">
        <f>B48*10</f>
        <v>1003.3529411764708</v>
      </c>
      <c r="D48" s="234"/>
    </row>
    <row r="49" spans="1:6">
      <c r="A49" s="171" t="s">
        <v>76</v>
      </c>
      <c r="B49" s="33" t="str">
        <f t="shared" si="0"/>
        <v>-</v>
      </c>
      <c r="C49" s="34" t="s">
        <v>111</v>
      </c>
      <c r="D49" s="234"/>
    </row>
    <row r="50" spans="1:6">
      <c r="A50" s="171" t="s">
        <v>77</v>
      </c>
      <c r="B50" s="33">
        <f t="shared" si="0"/>
        <v>73.400000000000006</v>
      </c>
      <c r="C50" s="33">
        <f>B50*2</f>
        <v>146.80000000000001</v>
      </c>
      <c r="D50" s="234"/>
    </row>
    <row r="51" spans="1:6">
      <c r="A51" s="171" t="s">
        <v>78</v>
      </c>
      <c r="B51" s="33">
        <f t="shared" si="0"/>
        <v>1352.6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9174.9979999999996</v>
      </c>
      <c r="C5" s="17">
        <f>IF(ISERROR('Eigen informatie GS &amp; warmtenet'!B58),0,'Eigen informatie GS &amp; warmtenet'!B58)</f>
        <v>0</v>
      </c>
      <c r="D5" s="30">
        <f>SUM(D6:D12)</f>
        <v>1956.5245920000002</v>
      </c>
      <c r="E5" s="17">
        <f>SUM(E6:E12)</f>
        <v>153.01083177092971</v>
      </c>
      <c r="F5" s="17">
        <f>SUM(F6:F12)</f>
        <v>2332.9869109551587</v>
      </c>
      <c r="G5" s="18"/>
      <c r="H5" s="17"/>
      <c r="I5" s="17"/>
      <c r="J5" s="17">
        <f>SUM(J6:J12)</f>
        <v>0</v>
      </c>
      <c r="K5" s="17"/>
      <c r="L5" s="17"/>
      <c r="M5" s="17"/>
      <c r="N5" s="17">
        <f>SUM(N6:N12)</f>
        <v>329.13620883635389</v>
      </c>
      <c r="O5" s="17">
        <f>B38*B39*B40</f>
        <v>1.5633333333333335</v>
      </c>
      <c r="P5" s="17">
        <f>B46*B47*B48/1000-B46*B47*B48/1000/B49</f>
        <v>38.133333333333333</v>
      </c>
      <c r="R5" s="32"/>
    </row>
    <row r="6" spans="1:18">
      <c r="A6" s="32" t="s">
        <v>54</v>
      </c>
      <c r="B6" s="37">
        <f>B26</f>
        <v>6283.7110000000002</v>
      </c>
      <c r="C6" s="33"/>
      <c r="D6" s="37">
        <f>IF(ISERROR(TER_kantoor_gas_kWh/1000),0,TER_kantoor_gas_kWh/1000)*0.902</f>
        <v>907.33893799999998</v>
      </c>
      <c r="E6" s="33">
        <f>$C$26*'E Balans VL '!I12/100/3.6*1000000</f>
        <v>82.261517399561455</v>
      </c>
      <c r="F6" s="33">
        <f>$C$26*('E Balans VL '!L12+'E Balans VL '!N12)/100/3.6*1000000</f>
        <v>1602.2813715561083</v>
      </c>
      <c r="G6" s="34"/>
      <c r="H6" s="33"/>
      <c r="I6" s="33"/>
      <c r="J6" s="33">
        <f>$C$26*('E Balans VL '!D12+'E Balans VL '!E12)/100/3.6*1000000</f>
        <v>0</v>
      </c>
      <c r="K6" s="33"/>
      <c r="L6" s="33"/>
      <c r="M6" s="33"/>
      <c r="N6" s="33">
        <f>$C$26*'E Balans VL '!Y12/100/3.6*1000000</f>
        <v>6.304871060219285</v>
      </c>
      <c r="O6" s="33"/>
      <c r="P6" s="33"/>
      <c r="R6" s="32"/>
    </row>
    <row r="7" spans="1:18">
      <c r="A7" s="32" t="s">
        <v>53</v>
      </c>
      <c r="B7" s="37">
        <f t="shared" ref="B7:B12" si="0">B27</f>
        <v>600.39599999999996</v>
      </c>
      <c r="C7" s="33"/>
      <c r="D7" s="37">
        <f>IF(ISERROR(TER_horeca_gas_kWh/1000),0,TER_horeca_gas_kWh/1000)*0.902</f>
        <v>341.79756600000002</v>
      </c>
      <c r="E7" s="33">
        <f>$C$27*'E Balans VL '!I9/100/3.6*1000000</f>
        <v>19.869455513644674</v>
      </c>
      <c r="F7" s="33">
        <f>$C$27*('E Balans VL '!L9+'E Balans VL '!N9)/100/3.6*1000000</f>
        <v>258.16797900381238</v>
      </c>
      <c r="G7" s="34"/>
      <c r="H7" s="33"/>
      <c r="I7" s="33"/>
      <c r="J7" s="33">
        <f>$C$27*('E Balans VL '!D9+'E Balans VL '!E9)/100/3.6*1000000</f>
        <v>0</v>
      </c>
      <c r="K7" s="33"/>
      <c r="L7" s="33"/>
      <c r="M7" s="33"/>
      <c r="N7" s="33">
        <f>$C$27*'E Balans VL '!Y9/100/3.6*1000000</f>
        <v>0.14452403590671856</v>
      </c>
      <c r="O7" s="33"/>
      <c r="P7" s="33"/>
      <c r="R7" s="32"/>
    </row>
    <row r="8" spans="1:18">
      <c r="A8" s="6" t="s">
        <v>52</v>
      </c>
      <c r="B8" s="37">
        <f t="shared" si="0"/>
        <v>1589.694</v>
      </c>
      <c r="C8" s="33"/>
      <c r="D8" s="37">
        <f>IF(ISERROR(TER_handel_gas_kWh/1000),0,TER_handel_gas_kWh/1000)*0.902</f>
        <v>186.04561799999999</v>
      </c>
      <c r="E8" s="33">
        <f>$C$28*'E Balans VL '!I13/100/3.6*1000000</f>
        <v>50.173171620129544</v>
      </c>
      <c r="F8" s="33">
        <f>$C$28*('E Balans VL '!L13+'E Balans VL '!N13)/100/3.6*1000000</f>
        <v>311.76698617339446</v>
      </c>
      <c r="G8" s="34"/>
      <c r="H8" s="33"/>
      <c r="I8" s="33"/>
      <c r="J8" s="33">
        <f>$C$28*('E Balans VL '!D13+'E Balans VL '!E13)/100/3.6*1000000</f>
        <v>0</v>
      </c>
      <c r="K8" s="33"/>
      <c r="L8" s="33"/>
      <c r="M8" s="33"/>
      <c r="N8" s="33">
        <f>$C$28*'E Balans VL '!Y13/100/3.6*1000000</f>
        <v>1.8866581426988505</v>
      </c>
      <c r="O8" s="33"/>
      <c r="P8" s="33"/>
      <c r="R8" s="32"/>
    </row>
    <row r="9" spans="1:18">
      <c r="A9" s="32" t="s">
        <v>51</v>
      </c>
      <c r="B9" s="37">
        <f t="shared" si="0"/>
        <v>259.91300000000001</v>
      </c>
      <c r="C9" s="33"/>
      <c r="D9" s="37">
        <f>IF(ISERROR(TER_gezond_gas_kWh/1000),0,TER_gezond_gas_kWh/1000)*0.902</f>
        <v>486.19874600000003</v>
      </c>
      <c r="E9" s="33">
        <f>$C$29*'E Balans VL '!I10/100/3.6*1000000</f>
        <v>3.3276467586105689E-2</v>
      </c>
      <c r="F9" s="33">
        <f>$C$29*('E Balans VL '!L10+'E Balans VL '!N10)/100/3.6*1000000</f>
        <v>54.15077185218864</v>
      </c>
      <c r="G9" s="34"/>
      <c r="H9" s="33"/>
      <c r="I9" s="33"/>
      <c r="J9" s="33">
        <f>$C$29*('E Balans VL '!D10+'E Balans VL '!E10)/100/3.6*1000000</f>
        <v>0</v>
      </c>
      <c r="K9" s="33"/>
      <c r="L9" s="33"/>
      <c r="M9" s="33"/>
      <c r="N9" s="33">
        <f>$C$29*'E Balans VL '!Y10/100/3.6*1000000</f>
        <v>3.0528010360345128</v>
      </c>
      <c r="O9" s="33"/>
      <c r="P9" s="33"/>
      <c r="R9" s="32"/>
    </row>
    <row r="10" spans="1:18">
      <c r="A10" s="32" t="s">
        <v>50</v>
      </c>
      <c r="B10" s="37">
        <f t="shared" si="0"/>
        <v>403.108</v>
      </c>
      <c r="C10" s="33"/>
      <c r="D10" s="37">
        <f>IF(ISERROR(TER_ander_gas_kWh/1000),0,TER_ander_gas_kWh/1000)*0.902</f>
        <v>0</v>
      </c>
      <c r="E10" s="33">
        <f>$C$30*'E Balans VL '!I14/100/3.6*1000000</f>
        <v>0.60617963487018456</v>
      </c>
      <c r="F10" s="33">
        <f>$C$30*('E Balans VL '!L14+'E Balans VL '!N14)/100/3.6*1000000</f>
        <v>88.993252376077564</v>
      </c>
      <c r="G10" s="34"/>
      <c r="H10" s="33"/>
      <c r="I10" s="33"/>
      <c r="J10" s="33">
        <f>$C$30*('E Balans VL '!D14+'E Balans VL '!E14)/100/3.6*1000000</f>
        <v>0</v>
      </c>
      <c r="K10" s="33"/>
      <c r="L10" s="33"/>
      <c r="M10" s="33"/>
      <c r="N10" s="33">
        <f>$C$30*'E Balans VL '!Y14/100/3.6*1000000</f>
        <v>317.6762321455671</v>
      </c>
      <c r="O10" s="33"/>
      <c r="P10" s="33"/>
      <c r="R10" s="32"/>
    </row>
    <row r="11" spans="1:18">
      <c r="A11" s="32" t="s">
        <v>55</v>
      </c>
      <c r="B11" s="37">
        <f t="shared" si="0"/>
        <v>38.176000000000002</v>
      </c>
      <c r="C11" s="33"/>
      <c r="D11" s="37">
        <f>IF(ISERROR(TER_onderwijs_gas_kWh/1000),0,TER_onderwijs_gas_kWh/1000)*0.902</f>
        <v>0</v>
      </c>
      <c r="E11" s="33">
        <f>$C$31*'E Balans VL '!I11/100/3.6*1000000</f>
        <v>6.7231135137741746E-2</v>
      </c>
      <c r="F11" s="33">
        <f>$C$31*('E Balans VL '!L11+'E Balans VL '!N11)/100/3.6*1000000</f>
        <v>17.626549993577484</v>
      </c>
      <c r="G11" s="34"/>
      <c r="H11" s="33"/>
      <c r="I11" s="33"/>
      <c r="J11" s="33">
        <f>$C$31*('E Balans VL '!D11+'E Balans VL '!E11)/100/3.6*1000000</f>
        <v>0</v>
      </c>
      <c r="K11" s="33"/>
      <c r="L11" s="33"/>
      <c r="M11" s="33"/>
      <c r="N11" s="33">
        <f>$C$31*'E Balans VL '!Y11/100/3.6*1000000</f>
        <v>7.1122415927456065E-2</v>
      </c>
      <c r="O11" s="33"/>
      <c r="P11" s="33"/>
      <c r="R11" s="32"/>
    </row>
    <row r="12" spans="1:18">
      <c r="A12" s="32" t="s">
        <v>260</v>
      </c>
      <c r="B12" s="37">
        <f t="shared" si="0"/>
        <v>0</v>
      </c>
      <c r="C12" s="33"/>
      <c r="D12" s="37">
        <f>IF(ISERROR(TER_rest_gas_kWh/1000),0,TER_rest_gas_kWh/1000)*0.902</f>
        <v>35.143724000000006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9174.9979999999996</v>
      </c>
      <c r="C16" s="21">
        <f t="shared" ca="1" si="1"/>
        <v>0</v>
      </c>
      <c r="D16" s="21">
        <f t="shared" ca="1" si="1"/>
        <v>1956.5245920000002</v>
      </c>
      <c r="E16" s="21">
        <f t="shared" si="1"/>
        <v>153.01083177092971</v>
      </c>
      <c r="F16" s="21">
        <f t="shared" ca="1" si="1"/>
        <v>2332.9869109551587</v>
      </c>
      <c r="G16" s="21">
        <f t="shared" si="1"/>
        <v>0</v>
      </c>
      <c r="H16" s="21">
        <f t="shared" si="1"/>
        <v>0</v>
      </c>
      <c r="I16" s="21">
        <f t="shared" si="1"/>
        <v>0</v>
      </c>
      <c r="J16" s="21">
        <f t="shared" si="1"/>
        <v>0</v>
      </c>
      <c r="K16" s="21">
        <f t="shared" si="1"/>
        <v>0</v>
      </c>
      <c r="L16" s="21">
        <f t="shared" ca="1" si="1"/>
        <v>0</v>
      </c>
      <c r="M16" s="21">
        <f t="shared" si="1"/>
        <v>0</v>
      </c>
      <c r="N16" s="21">
        <f t="shared" ca="1" si="1"/>
        <v>329.13620883635389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0.11279416549597393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1034.8862428372297</v>
      </c>
      <c r="C20" s="23">
        <f t="shared" ref="C20:P20" ca="1" si="2">C16*C18</f>
        <v>0</v>
      </c>
      <c r="D20" s="23">
        <f t="shared" ca="1" si="2"/>
        <v>395.21796758400006</v>
      </c>
      <c r="E20" s="23">
        <f t="shared" si="2"/>
        <v>34.733458812001047</v>
      </c>
      <c r="F20" s="23">
        <f t="shared" ca="1" si="2"/>
        <v>622.90750522502742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6283.7110000000002</v>
      </c>
      <c r="C26" s="39">
        <f>IF(ISERROR(B26*3.6/1000000/'E Balans VL '!Z12*100),0,B26*3.6/1000000/'E Balans VL '!Z12*100)</f>
        <v>0.13460197124498771</v>
      </c>
      <c r="D26" s="237" t="s">
        <v>660</v>
      </c>
      <c r="F26" s="6"/>
    </row>
    <row r="27" spans="1:18">
      <c r="A27" s="231" t="s">
        <v>53</v>
      </c>
      <c r="B27" s="33">
        <f>IF(ISERROR(TER_horeca_ele_kWh/1000),0,TER_horeca_ele_kWh/1000)</f>
        <v>600.39599999999996</v>
      </c>
      <c r="C27" s="39">
        <f>IF(ISERROR(B27*3.6/1000000/'E Balans VL '!Z9*100),0,B27*3.6/1000000/'E Balans VL '!Z9*100)</f>
        <v>4.8179692044805898E-2</v>
      </c>
      <c r="D27" s="237" t="s">
        <v>660</v>
      </c>
      <c r="F27" s="6"/>
    </row>
    <row r="28" spans="1:18">
      <c r="A28" s="171" t="s">
        <v>52</v>
      </c>
      <c r="B28" s="33">
        <f>IF(ISERROR(TER_handel_ele_kWh/1000),0,TER_handel_ele_kWh/1000)</f>
        <v>1589.694</v>
      </c>
      <c r="C28" s="39">
        <f>IF(ISERROR(B28*3.6/1000000/'E Balans VL '!Z13*100),0,B28*3.6/1000000/'E Balans VL '!Z13*100)</f>
        <v>4.6886854878908299E-2</v>
      </c>
      <c r="D28" s="237" t="s">
        <v>660</v>
      </c>
      <c r="F28" s="6"/>
    </row>
    <row r="29" spans="1:18">
      <c r="A29" s="231" t="s">
        <v>51</v>
      </c>
      <c r="B29" s="33">
        <f>IF(ISERROR(TER_gezond_ele_kWh/1000),0,TER_gezond_ele_kWh/1000)</f>
        <v>259.91300000000001</v>
      </c>
      <c r="C29" s="39">
        <f>IF(ISERROR(B29*3.6/1000000/'E Balans VL '!Z10*100),0,B29*3.6/1000000/'E Balans VL '!Z10*100)</f>
        <v>2.7751739871152325E-2</v>
      </c>
      <c r="D29" s="237" t="s">
        <v>660</v>
      </c>
      <c r="F29" s="6"/>
    </row>
    <row r="30" spans="1:18">
      <c r="A30" s="231" t="s">
        <v>50</v>
      </c>
      <c r="B30" s="33">
        <f>IF(ISERROR(TER_ander_ele_kWh/1000),0,TER_ander_ele_kWh/1000)</f>
        <v>403.108</v>
      </c>
      <c r="C30" s="39">
        <f>IF(ISERROR(B30*3.6/1000000/'E Balans VL '!Z14*100),0,B30*3.6/1000000/'E Balans VL '!Z14*100)</f>
        <v>3.0448330181265415E-2</v>
      </c>
      <c r="D30" s="237" t="s">
        <v>660</v>
      </c>
      <c r="F30" s="6"/>
    </row>
    <row r="31" spans="1:18">
      <c r="A31" s="231" t="s">
        <v>55</v>
      </c>
      <c r="B31" s="33">
        <f>IF(ISERROR(TER_onderwijs_ele_kWh/1000),0,TER_onderwijs_ele_kWh/1000)</f>
        <v>38.176000000000002</v>
      </c>
      <c r="C31" s="39">
        <f>IF(ISERROR(B31*3.6/1000000/'E Balans VL '!Z11*100),0,B31*3.6/1000000/'E Balans VL '!Z11*100)</f>
        <v>7.7090088133337986E-3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2459.7170000000001</v>
      </c>
      <c r="C5" s="17">
        <f>IF(ISERROR('Eigen informatie GS &amp; warmtenet'!B59),0,'Eigen informatie GS &amp; warmtenet'!B59)</f>
        <v>0</v>
      </c>
      <c r="D5" s="30">
        <f>SUM(D6:D15)</f>
        <v>613.83715800000004</v>
      </c>
      <c r="E5" s="17">
        <f>SUM(E6:E15)</f>
        <v>191.30130984226517</v>
      </c>
      <c r="F5" s="17">
        <f>SUM(F6:F15)</f>
        <v>893.63578070001654</v>
      </c>
      <c r="G5" s="18"/>
      <c r="H5" s="17"/>
      <c r="I5" s="17"/>
      <c r="J5" s="17">
        <f>SUM(J6:J15)</f>
        <v>2.824681200298274</v>
      </c>
      <c r="K5" s="17"/>
      <c r="L5" s="17"/>
      <c r="M5" s="17"/>
      <c r="N5" s="17">
        <f>SUM(N6:N15)</f>
        <v>808.42108727369475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66.28</v>
      </c>
      <c r="C8" s="33"/>
      <c r="D8" s="37">
        <f>IF( ISERROR(IND_metaal_Gas_kWH/1000),0,IND_metaal_Gas_kWH/1000)*0.902</f>
        <v>0</v>
      </c>
      <c r="E8" s="33">
        <f>C30*'E Balans VL '!I18/100/3.6*1000000</f>
        <v>2.3849549105922137</v>
      </c>
      <c r="F8" s="33">
        <f>C30*'E Balans VL '!L18/100/3.6*1000000+C30*'E Balans VL '!N18/100/3.6*1000000</f>
        <v>28.942327433563989</v>
      </c>
      <c r="G8" s="34"/>
      <c r="H8" s="33"/>
      <c r="I8" s="33"/>
      <c r="J8" s="40">
        <f>C30*'E Balans VL '!D18/100/3.6*1000000+C30*'E Balans VL '!E18/100/3.6*1000000</f>
        <v>0</v>
      </c>
      <c r="K8" s="33"/>
      <c r="L8" s="33"/>
      <c r="M8" s="33"/>
      <c r="N8" s="33">
        <f>C30*'E Balans VL '!Y18/100/3.6*1000000</f>
        <v>3.3219085579673644</v>
      </c>
      <c r="O8" s="33"/>
      <c r="P8" s="33"/>
      <c r="R8" s="32"/>
    </row>
    <row r="9" spans="1:18">
      <c r="A9" s="6" t="s">
        <v>33</v>
      </c>
      <c r="B9" s="37">
        <f t="shared" si="0"/>
        <v>513.673</v>
      </c>
      <c r="C9" s="33"/>
      <c r="D9" s="37">
        <f>IF( ISERROR(IND_andere_gas_kWh/1000),0,IND_andere_gas_kWh/1000)*0.902</f>
        <v>561.48507800000004</v>
      </c>
      <c r="E9" s="33">
        <f>C31*'E Balans VL '!I19/100/3.6*1000000</f>
        <v>131.0777274228499</v>
      </c>
      <c r="F9" s="33">
        <f>C31*'E Balans VL '!L19/100/3.6*1000000+C31*'E Balans VL '!N19/100/3.6*1000000</f>
        <v>442.2338438363247</v>
      </c>
      <c r="G9" s="34"/>
      <c r="H9" s="33"/>
      <c r="I9" s="33"/>
      <c r="J9" s="40">
        <f>C31*'E Balans VL '!D19/100/3.6*1000000+C31*'E Balans VL '!E19/100/3.6*1000000</f>
        <v>0</v>
      </c>
      <c r="K9" s="33"/>
      <c r="L9" s="33"/>
      <c r="M9" s="33"/>
      <c r="N9" s="33">
        <f>C31*'E Balans VL '!Y19/100/3.6*1000000</f>
        <v>160.64313856301911</v>
      </c>
      <c r="O9" s="33"/>
      <c r="P9" s="33"/>
      <c r="R9" s="32"/>
    </row>
    <row r="10" spans="1:18">
      <c r="A10" s="6" t="s">
        <v>41</v>
      </c>
      <c r="B10" s="37">
        <f t="shared" si="0"/>
        <v>1531.3440000000001</v>
      </c>
      <c r="C10" s="33"/>
      <c r="D10" s="37">
        <f>IF( ISERROR(IND_voed_gas_kWh/1000),0,IND_voed_gas_kWh/1000)*0.902</f>
        <v>0</v>
      </c>
      <c r="E10" s="33">
        <f>C32*'E Balans VL '!I20/100/3.6*1000000</f>
        <v>38.928867187625343</v>
      </c>
      <c r="F10" s="33">
        <f>C32*'E Balans VL '!L20/100/3.6*1000000+C32*'E Balans VL '!N20/100/3.6*1000000</f>
        <v>346.52015974412052</v>
      </c>
      <c r="G10" s="34"/>
      <c r="H10" s="33"/>
      <c r="I10" s="33"/>
      <c r="J10" s="40">
        <f>C32*'E Balans VL '!D20/100/3.6*1000000+C32*'E Balans VL '!E20/100/3.6*1000000</f>
        <v>0</v>
      </c>
      <c r="K10" s="33"/>
      <c r="L10" s="33"/>
      <c r="M10" s="33"/>
      <c r="N10" s="33">
        <f>C32*'E Balans VL '!Y20/100/3.6*1000000</f>
        <v>574.29550871180959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348.42</v>
      </c>
      <c r="C15" s="33"/>
      <c r="D15" s="37">
        <f>IF( ISERROR(IND_rest_gas_kWh/1000),0,IND_rest_gas_kWh/1000)*0.902</f>
        <v>52.352080000000001</v>
      </c>
      <c r="E15" s="33">
        <f>C37*'E Balans VL '!I15/100/3.6*1000000</f>
        <v>18.909760321197719</v>
      </c>
      <c r="F15" s="33">
        <f>C37*'E Balans VL '!L15/100/3.6*1000000+C37*'E Balans VL '!N15/100/3.6*1000000</f>
        <v>75.939449686007293</v>
      </c>
      <c r="G15" s="34"/>
      <c r="H15" s="33"/>
      <c r="I15" s="33"/>
      <c r="J15" s="40">
        <f>C37*'E Balans VL '!D15/100/3.6*1000000+C37*'E Balans VL '!E15/100/3.6*1000000</f>
        <v>2.824681200298274</v>
      </c>
      <c r="K15" s="33"/>
      <c r="L15" s="33"/>
      <c r="M15" s="33"/>
      <c r="N15" s="33">
        <f>C37*'E Balans VL '!Y15/100/3.6*1000000</f>
        <v>70.160531440898652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2459.7170000000001</v>
      </c>
      <c r="C18" s="21">
        <f>C5+C16</f>
        <v>0</v>
      </c>
      <c r="D18" s="21">
        <f>MAX((D5+D16),0)</f>
        <v>613.83715800000004</v>
      </c>
      <c r="E18" s="21">
        <f>MAX((E5+E16),0)</f>
        <v>191.30130984226517</v>
      </c>
      <c r="F18" s="21">
        <f>MAX((F5+F16),0)</f>
        <v>893.63578070001654</v>
      </c>
      <c r="G18" s="21"/>
      <c r="H18" s="21"/>
      <c r="I18" s="21"/>
      <c r="J18" s="21">
        <f>MAX((J5+J16),0)</f>
        <v>2.824681200298274</v>
      </c>
      <c r="K18" s="21"/>
      <c r="L18" s="21">
        <f>MAX((L5+L16),0)</f>
        <v>0</v>
      </c>
      <c r="M18" s="21"/>
      <c r="N18" s="21">
        <f>MAX((N5+N16),0)</f>
        <v>808.42108727369475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0.11279416549597393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277.44172637126053</v>
      </c>
      <c r="C22" s="23">
        <f ca="1">C18*C20</f>
        <v>0</v>
      </c>
      <c r="D22" s="23">
        <f>D18*D20</f>
        <v>123.99510591600001</v>
      </c>
      <c r="E22" s="23">
        <f>E18*E20</f>
        <v>43.425397334194194</v>
      </c>
      <c r="F22" s="23">
        <f>F18*F20</f>
        <v>238.60075344690443</v>
      </c>
      <c r="G22" s="23"/>
      <c r="H22" s="23"/>
      <c r="I22" s="23"/>
      <c r="J22" s="23">
        <f>J18*J20</f>
        <v>0.99993714490558894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66.28</v>
      </c>
      <c r="C30" s="39">
        <f>IF(ISERROR(B30*3.6/1000000/'E Balans VL '!Z18*100),0,B30*3.6/1000000/'E Balans VL '!Z18*100)</f>
        <v>1.4043310994251379E-2</v>
      </c>
      <c r="D30" s="237" t="s">
        <v>660</v>
      </c>
    </row>
    <row r="31" spans="1:18">
      <c r="A31" s="6" t="s">
        <v>33</v>
      </c>
      <c r="B31" s="37">
        <f>IF( ISERROR(IND_ander_ele_kWh/1000),0,IND_ander_ele_kWh/1000)</f>
        <v>513.673</v>
      </c>
      <c r="C31" s="39">
        <f>IF(ISERROR(B31*3.6/1000000/'E Balans VL '!Z19*100),0,B31*3.6/1000000/'E Balans VL '!Z19*100)</f>
        <v>2.1621662949372508E-2</v>
      </c>
      <c r="D31" s="237" t="s">
        <v>660</v>
      </c>
    </row>
    <row r="32" spans="1:18">
      <c r="A32" s="171" t="s">
        <v>41</v>
      </c>
      <c r="B32" s="37">
        <f>IF( ISERROR(IND_voed_ele_kWh/1000),0,IND_voed_ele_kWh/1000)</f>
        <v>1531.3440000000001</v>
      </c>
      <c r="C32" s="39">
        <f>IF(ISERROR(B32*3.6/1000000/'E Balans VL '!Z20*100),0,B32*3.6/1000000/'E Balans VL '!Z20*100)</f>
        <v>0.25582834116573777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348.42</v>
      </c>
      <c r="C37" s="39">
        <f>IF(ISERROR(B37*3.6/1000000/'E Balans VL '!Z15*100),0,B37*3.6/1000000/'E Balans VL '!Z15*100)</f>
        <v>2.8129295744076326E-3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3136.172</v>
      </c>
      <c r="C5" s="17">
        <f>'Eigen informatie GS &amp; warmtenet'!B60</f>
        <v>0</v>
      </c>
      <c r="D5" s="30">
        <f>IF(ISERROR(SUM(LB_lb_gas_kWh,LB_rest_gas_kWh)/1000),0,SUM(LB_lb_gas_kWh,LB_rest_gas_kWh)/1000)*0.902</f>
        <v>57.254450000000006</v>
      </c>
      <c r="E5" s="17">
        <f>B17*'E Balans VL '!I25/3.6*1000000/100</f>
        <v>80.869834371696072</v>
      </c>
      <c r="F5" s="17">
        <f>B17*('E Balans VL '!L25/3.6*1000000+'E Balans VL '!N25/3.6*1000000)/100</f>
        <v>11463.305914944463</v>
      </c>
      <c r="G5" s="18"/>
      <c r="H5" s="17"/>
      <c r="I5" s="17"/>
      <c r="J5" s="17">
        <f>('E Balans VL '!D25+'E Balans VL '!E25)/3.6*1000000*landbouw!B17/100</f>
        <v>451.49339871611068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3136.172</v>
      </c>
      <c r="C8" s="21">
        <f>C5+C6</f>
        <v>0</v>
      </c>
      <c r="D8" s="21">
        <f>MAX((D5+D6),0)</f>
        <v>57.254450000000006</v>
      </c>
      <c r="E8" s="21">
        <f>MAX((E5+E6),0)</f>
        <v>80.869834371696072</v>
      </c>
      <c r="F8" s="21">
        <f>MAX((F5+F6),0)</f>
        <v>11463.305914944463</v>
      </c>
      <c r="G8" s="21"/>
      <c r="H8" s="21"/>
      <c r="I8" s="21"/>
      <c r="J8" s="21">
        <f>MAX((J5+J6),0)</f>
        <v>451.49339871611068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0.11279416549597393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353.74190359183956</v>
      </c>
      <c r="C12" s="23">
        <f ca="1">C8*C10</f>
        <v>0</v>
      </c>
      <c r="D12" s="23">
        <f>D8*D10</f>
        <v>11.565398900000002</v>
      </c>
      <c r="E12" s="23">
        <f>E8*E10</f>
        <v>18.35745240237501</v>
      </c>
      <c r="F12" s="23">
        <f>F8*F10</f>
        <v>3060.702679290172</v>
      </c>
      <c r="G12" s="23"/>
      <c r="H12" s="23"/>
      <c r="I12" s="23"/>
      <c r="J12" s="23">
        <f>J8*J10</f>
        <v>159.82866314550316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0.44222102553752568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143.70514722840446</v>
      </c>
      <c r="C26" s="247">
        <f>B26*'GWP N2O_CH4'!B5</f>
        <v>3017.8080917964935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92.170067624728688</v>
      </c>
      <c r="C27" s="247">
        <f>B27*'GWP N2O_CH4'!B5</f>
        <v>1935.5714201193025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2.204562465429428</v>
      </c>
      <c r="C28" s="247">
        <f>B28*'GWP N2O_CH4'!B4</f>
        <v>683.41436428312272</v>
      </c>
      <c r="D28" s="50"/>
    </row>
    <row r="29" spans="1:4">
      <c r="A29" s="41" t="s">
        <v>277</v>
      </c>
      <c r="B29" s="247">
        <f>B34*'ha_N2O bodem landbouw'!B4</f>
        <v>15.771112861908133</v>
      </c>
      <c r="C29" s="247">
        <f>B29*'GWP N2O_CH4'!B4</f>
        <v>4889.0449871915216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3.5493574211326491E-3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1.7252165752483262E-4</v>
      </c>
      <c r="C5" s="463" t="s">
        <v>211</v>
      </c>
      <c r="D5" s="448">
        <f>SUM(D6:D11)</f>
        <v>3.8167879543478557E-4</v>
      </c>
      <c r="E5" s="448">
        <f>SUM(E6:E11)</f>
        <v>1.7100858931613666E-3</v>
      </c>
      <c r="F5" s="461" t="s">
        <v>211</v>
      </c>
      <c r="G5" s="448">
        <f>SUM(G6:G11)</f>
        <v>0.58434740601746404</v>
      </c>
      <c r="H5" s="448">
        <f>SUM(H6:H11)</f>
        <v>0.10552857242909175</v>
      </c>
      <c r="I5" s="463" t="s">
        <v>211</v>
      </c>
      <c r="J5" s="463" t="s">
        <v>211</v>
      </c>
      <c r="K5" s="463" t="s">
        <v>211</v>
      </c>
      <c r="L5" s="463" t="s">
        <v>211</v>
      </c>
      <c r="M5" s="448">
        <f>SUM(M6:M11)</f>
        <v>2.1571373164797868E-2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4.1137103152120827E-5</v>
      </c>
      <c r="C6" s="449"/>
      <c r="D6" s="892">
        <f>vkm_2011_GW_PW*SUMIFS(TableVerdeelsleutelVkm[CNG],TableVerdeelsleutelVkm[Voertuigtype],"Lichte voertuigen")*SUMIFS(TableECFTransport[EnergieConsumptieFactor (PJ per km)],TableECFTransport[Index],CONCATENATE($A6,"_CNG_CNG"))</f>
        <v>8.1740144542749081E-5</v>
      </c>
      <c r="E6" s="892">
        <f>vkm_2011_GW_PW*SUMIFS(TableVerdeelsleutelVkm[LPG],TableVerdeelsleutelVkm[Voertuigtype],"Lichte voertuigen")*SUMIFS(TableECFTransport[EnergieConsumptieFactor (PJ per km)],TableECFTransport[Index],CONCATENATE($A6,"_LPG_LPG"))</f>
        <v>3.2167677042095399E-4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7.6483698632501748E-2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2.2129516225605269E-2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3.0728788357526245E-3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5.584684016172807E-2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1.8040914786680048E-5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1.7596484835825667E-3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1.8527717651856087E-5</v>
      </c>
      <c r="C8" s="449"/>
      <c r="D8" s="451">
        <f>vkm_2011_NGW_PW*SUMIFS(TableVerdeelsleutelVkm[CNG],TableVerdeelsleutelVkm[Voertuigtype],"Lichte voertuigen")*SUMIFS(TableECFTransport[EnergieConsumptieFactor (PJ per km)],TableECFTransport[Index],CONCATENATE($A8,"_CNG_CNG"))</f>
        <v>6.5185757323770501E-5</v>
      </c>
      <c r="E8" s="451">
        <f>vkm_2011_NGW_PW*SUMIFS(TableVerdeelsleutelVkm[LPG],TableVerdeelsleutelVkm[Voertuigtype],"Lichte voertuigen")*SUMIFS(TableECFTransport[EnergieConsumptieFactor (PJ per km)],TableECFTransport[Index],CONCATENATE($A8,"_LPG_LPG"))</f>
        <v>2.3724430353472194E-4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5.2674904564890476E-2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1.7112215834116474E-2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2.1724458263851845E-3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1.0311238018934943E-2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3.1501706448580975E-6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3.2488591023299208E-4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1.1285683672085569E-4</v>
      </c>
      <c r="C10" s="449"/>
      <c r="D10" s="451">
        <f>vkm_2011_SW_PW*SUMIFS(TableVerdeelsleutelVkm[CNG],TableVerdeelsleutelVkm[Voertuigtype],"Lichte voertuigen")*SUMIFS(TableECFTransport[EnergieConsumptieFactor (PJ per km)],TableECFTransport[Index],CONCATENATE($A10,"_CNG_CNG"))</f>
        <v>2.34752893568266E-4</v>
      </c>
      <c r="E10" s="451">
        <f>vkm_2011_SW_PW*SUMIFS(TableVerdeelsleutelVkm[LPG],TableVerdeelsleutelVkm[Voertuigtype],"Lichte voertuigen")*SUMIFS(TableECFTransport[EnergieConsumptieFactor (PJ per km)],TableECFTransport[Index],CONCATENATE($A10,"_LPG_LPG"))</f>
        <v>1.1511648192056906E-3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0.24518488924949436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6.6215582519684041E-2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9.7090440026969486E-3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0.14384583538991447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5.0066764254422434E-5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4.5324701061475545E-3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47.922682645786836</v>
      </c>
      <c r="C14" s="21"/>
      <c r="D14" s="21">
        <f t="shared" ref="D14:M14" si="0">((D5)*10^9/3600)+D12</f>
        <v>106.02188762077378</v>
      </c>
      <c r="E14" s="21">
        <f t="shared" si="0"/>
        <v>475.02385921149067</v>
      </c>
      <c r="F14" s="21"/>
      <c r="G14" s="21">
        <f t="shared" si="0"/>
        <v>162318.72389374001</v>
      </c>
      <c r="H14" s="21">
        <f t="shared" si="0"/>
        <v>29313.492341414374</v>
      </c>
      <c r="I14" s="21"/>
      <c r="J14" s="21"/>
      <c r="K14" s="21"/>
      <c r="L14" s="21"/>
      <c r="M14" s="21">
        <f t="shared" si="0"/>
        <v>5992.0481013327417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0.11279416549597393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5.4053989973599181</v>
      </c>
      <c r="C18" s="23"/>
      <c r="D18" s="23">
        <f t="shared" ref="D18:M18" si="1">D14*D16</f>
        <v>21.416421299396305</v>
      </c>
      <c r="E18" s="23">
        <f t="shared" si="1"/>
        <v>107.83041604100839</v>
      </c>
      <c r="F18" s="23"/>
      <c r="G18" s="23">
        <f t="shared" si="1"/>
        <v>43339.099279628586</v>
      </c>
      <c r="H18" s="23">
        <f t="shared" si="1"/>
        <v>7299.059593012179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4.1318234670708644E-3</v>
      </c>
      <c r="H50" s="321">
        <f t="shared" si="2"/>
        <v>0</v>
      </c>
      <c r="I50" s="321">
        <f t="shared" si="2"/>
        <v>0</v>
      </c>
      <c r="J50" s="321">
        <f t="shared" si="2"/>
        <v>0</v>
      </c>
      <c r="K50" s="321">
        <f t="shared" si="2"/>
        <v>0</v>
      </c>
      <c r="L50" s="321">
        <f t="shared" si="2"/>
        <v>0</v>
      </c>
      <c r="M50" s="321">
        <f t="shared" si="2"/>
        <v>1.2815992030708635E-4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4.1318234670708644E-3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1.2815992030708635E-4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1147.7287408530178</v>
      </c>
      <c r="H54" s="21">
        <f t="shared" si="3"/>
        <v>0</v>
      </c>
      <c r="I54" s="21">
        <f t="shared" si="3"/>
        <v>0</v>
      </c>
      <c r="J54" s="21">
        <f t="shared" si="3"/>
        <v>0</v>
      </c>
      <c r="K54" s="21">
        <f t="shared" si="3"/>
        <v>0</v>
      </c>
      <c r="L54" s="21">
        <f t="shared" si="3"/>
        <v>0</v>
      </c>
      <c r="M54" s="21">
        <f t="shared" si="3"/>
        <v>35.599977863079538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0.11279416549597393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306.4435738077558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9670.4390000000003</v>
      </c>
      <c r="D10" s="1012">
        <f ca="1">tertiair!C16</f>
        <v>0</v>
      </c>
      <c r="E10" s="1012">
        <f ca="1">tertiair!D16</f>
        <v>1956.5245920000002</v>
      </c>
      <c r="F10" s="1012">
        <f>tertiair!E16</f>
        <v>153.01083177092971</v>
      </c>
      <c r="G10" s="1012">
        <f ca="1">tertiair!F16</f>
        <v>2332.9869109551587</v>
      </c>
      <c r="H10" s="1012">
        <f>tertiair!G16</f>
        <v>0</v>
      </c>
      <c r="I10" s="1012">
        <f>tertiair!H16</f>
        <v>0</v>
      </c>
      <c r="J10" s="1012">
        <f>tertiair!I16</f>
        <v>0</v>
      </c>
      <c r="K10" s="1012">
        <f>tertiair!J16</f>
        <v>0</v>
      </c>
      <c r="L10" s="1012">
        <f>tertiair!K16</f>
        <v>0</v>
      </c>
      <c r="M10" s="1012">
        <f ca="1">tertiair!L16</f>
        <v>0</v>
      </c>
      <c r="N10" s="1012">
        <f>tertiair!M16</f>
        <v>0</v>
      </c>
      <c r="O10" s="1012">
        <f ca="1">tertiair!N16</f>
        <v>329.13620883635389</v>
      </c>
      <c r="P10" s="1012">
        <f>tertiair!O16</f>
        <v>1.5633333333333335</v>
      </c>
      <c r="Q10" s="1013">
        <f>tertiair!P16</f>
        <v>38.133333333333333</v>
      </c>
      <c r="R10" s="700">
        <f ca="1">SUM(C10:Q10)</f>
        <v>14481.794210229107</v>
      </c>
      <c r="S10" s="67"/>
    </row>
    <row r="11" spans="1:19" s="473" customFormat="1">
      <c r="A11" s="809" t="s">
        <v>225</v>
      </c>
      <c r="B11" s="814"/>
      <c r="C11" s="1012">
        <f>huishoudens!B8</f>
        <v>11319.942721033613</v>
      </c>
      <c r="D11" s="1012">
        <f>huishoudens!C8</f>
        <v>0</v>
      </c>
      <c r="E11" s="1012">
        <f>huishoudens!D8</f>
        <v>7217.1897380000009</v>
      </c>
      <c r="F11" s="1012">
        <f>huishoudens!E8</f>
        <v>3618.7290003510416</v>
      </c>
      <c r="G11" s="1012">
        <f>huishoudens!F8</f>
        <v>32925.197687384658</v>
      </c>
      <c r="H11" s="1012">
        <f>huishoudens!G8</f>
        <v>0</v>
      </c>
      <c r="I11" s="1012">
        <f>huishoudens!H8</f>
        <v>0</v>
      </c>
      <c r="J11" s="1012">
        <f>huishoudens!I8</f>
        <v>0</v>
      </c>
      <c r="K11" s="1012">
        <f>huishoudens!J8</f>
        <v>2272.0661808756872</v>
      </c>
      <c r="L11" s="1012">
        <f>huishoudens!K8</f>
        <v>0</v>
      </c>
      <c r="M11" s="1012">
        <f>huishoudens!L8</f>
        <v>0</v>
      </c>
      <c r="N11" s="1012">
        <f>huishoudens!M8</f>
        <v>0</v>
      </c>
      <c r="O11" s="1012">
        <f>huishoudens!N8</f>
        <v>6445.1673726251047</v>
      </c>
      <c r="P11" s="1012">
        <f>huishoudens!O8</f>
        <v>126.63</v>
      </c>
      <c r="Q11" s="1013">
        <f>huishoudens!P8</f>
        <v>629.20000000000005</v>
      </c>
      <c r="R11" s="700">
        <f>SUM(C11:Q11)</f>
        <v>64554.122700270098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2459.7170000000001</v>
      </c>
      <c r="D13" s="1012">
        <f>industrie!C18</f>
        <v>0</v>
      </c>
      <c r="E13" s="1012">
        <f>industrie!D18</f>
        <v>613.83715800000004</v>
      </c>
      <c r="F13" s="1012">
        <f>industrie!E18</f>
        <v>191.30130984226517</v>
      </c>
      <c r="G13" s="1012">
        <f>industrie!F18</f>
        <v>893.63578070001654</v>
      </c>
      <c r="H13" s="1012">
        <f>industrie!G18</f>
        <v>0</v>
      </c>
      <c r="I13" s="1012">
        <f>industrie!H18</f>
        <v>0</v>
      </c>
      <c r="J13" s="1012">
        <f>industrie!I18</f>
        <v>0</v>
      </c>
      <c r="K13" s="1012">
        <f>industrie!J18</f>
        <v>2.824681200298274</v>
      </c>
      <c r="L13" s="1012">
        <f>industrie!K18</f>
        <v>0</v>
      </c>
      <c r="M13" s="1012">
        <f>industrie!L18</f>
        <v>0</v>
      </c>
      <c r="N13" s="1012">
        <f>industrie!M18</f>
        <v>0</v>
      </c>
      <c r="O13" s="1012">
        <f>industrie!N18</f>
        <v>808.42108727369475</v>
      </c>
      <c r="P13" s="1012">
        <f>industrie!O18</f>
        <v>0</v>
      </c>
      <c r="Q13" s="1013">
        <f>industrie!P18</f>
        <v>0</v>
      </c>
      <c r="R13" s="700">
        <f>SUM(C13:Q13)</f>
        <v>4969.7370170162749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23450.098721033613</v>
      </c>
      <c r="D16" s="732">
        <f t="shared" ref="D16:R16" ca="1" si="0">SUM(D9:D15)</f>
        <v>0</v>
      </c>
      <c r="E16" s="732">
        <f t="shared" ca="1" si="0"/>
        <v>9787.551488000001</v>
      </c>
      <c r="F16" s="732">
        <f t="shared" si="0"/>
        <v>3963.0411419642364</v>
      </c>
      <c r="G16" s="732">
        <f t="shared" ca="1" si="0"/>
        <v>36151.820379039833</v>
      </c>
      <c r="H16" s="732">
        <f t="shared" si="0"/>
        <v>0</v>
      </c>
      <c r="I16" s="732">
        <f t="shared" si="0"/>
        <v>0</v>
      </c>
      <c r="J16" s="732">
        <f t="shared" si="0"/>
        <v>0</v>
      </c>
      <c r="K16" s="732">
        <f t="shared" si="0"/>
        <v>2274.8908620759853</v>
      </c>
      <c r="L16" s="732">
        <f t="shared" si="0"/>
        <v>0</v>
      </c>
      <c r="M16" s="732">
        <f t="shared" ca="1" si="0"/>
        <v>0</v>
      </c>
      <c r="N16" s="732">
        <f t="shared" si="0"/>
        <v>0</v>
      </c>
      <c r="O16" s="732">
        <f t="shared" ca="1" si="0"/>
        <v>7582.7246687351535</v>
      </c>
      <c r="P16" s="732">
        <f t="shared" si="0"/>
        <v>128.19333333333333</v>
      </c>
      <c r="Q16" s="732">
        <f t="shared" si="0"/>
        <v>667.33333333333337</v>
      </c>
      <c r="R16" s="732">
        <f t="shared" ca="1" si="0"/>
        <v>84005.653927515479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1147.7287408530178</v>
      </c>
      <c r="I19" s="1012">
        <f>transport!H54</f>
        <v>0</v>
      </c>
      <c r="J19" s="1012">
        <f>transport!I54</f>
        <v>0</v>
      </c>
      <c r="K19" s="1012">
        <f>transport!J54</f>
        <v>0</v>
      </c>
      <c r="L19" s="1012">
        <f>transport!K54</f>
        <v>0</v>
      </c>
      <c r="M19" s="1012">
        <f>transport!L54</f>
        <v>0</v>
      </c>
      <c r="N19" s="1012">
        <f>transport!M54</f>
        <v>35.599977863079538</v>
      </c>
      <c r="O19" s="1012">
        <f>transport!N54</f>
        <v>0</v>
      </c>
      <c r="P19" s="1012">
        <f>transport!O54</f>
        <v>0</v>
      </c>
      <c r="Q19" s="1013">
        <f>transport!P54</f>
        <v>0</v>
      </c>
      <c r="R19" s="700">
        <f>SUM(C19:Q19)</f>
        <v>1183.3287187160975</v>
      </c>
      <c r="S19" s="67"/>
    </row>
    <row r="20" spans="1:19" s="473" customFormat="1">
      <c r="A20" s="809" t="s">
        <v>307</v>
      </c>
      <c r="B20" s="814"/>
      <c r="C20" s="1012">
        <f>transport!B14</f>
        <v>47.922682645786836</v>
      </c>
      <c r="D20" s="1012">
        <f>transport!C14</f>
        <v>0</v>
      </c>
      <c r="E20" s="1012">
        <f>transport!D14</f>
        <v>106.02188762077378</v>
      </c>
      <c r="F20" s="1012">
        <f>transport!E14</f>
        <v>475.02385921149067</v>
      </c>
      <c r="G20" s="1012">
        <f>transport!F14</f>
        <v>0</v>
      </c>
      <c r="H20" s="1012">
        <f>transport!G14</f>
        <v>162318.72389374001</v>
      </c>
      <c r="I20" s="1012">
        <f>transport!H14</f>
        <v>29313.492341414374</v>
      </c>
      <c r="J20" s="1012">
        <f>transport!I14</f>
        <v>0</v>
      </c>
      <c r="K20" s="1012">
        <f>transport!J14</f>
        <v>0</v>
      </c>
      <c r="L20" s="1012">
        <f>transport!K14</f>
        <v>0</v>
      </c>
      <c r="M20" s="1012">
        <f>transport!L14</f>
        <v>0</v>
      </c>
      <c r="N20" s="1012">
        <f>transport!M14</f>
        <v>5992.0481013327417</v>
      </c>
      <c r="O20" s="1012">
        <f>transport!N14</f>
        <v>0</v>
      </c>
      <c r="P20" s="1012">
        <f>transport!O14</f>
        <v>0</v>
      </c>
      <c r="Q20" s="1013">
        <f>transport!P14</f>
        <v>0</v>
      </c>
      <c r="R20" s="700">
        <f>SUM(C20:Q20)</f>
        <v>198253.23276596519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47.922682645786836</v>
      </c>
      <c r="D22" s="812">
        <f t="shared" ref="D22:R22" si="1">SUM(D18:D21)</f>
        <v>0</v>
      </c>
      <c r="E22" s="812">
        <f t="shared" si="1"/>
        <v>106.02188762077378</v>
      </c>
      <c r="F22" s="812">
        <f t="shared" si="1"/>
        <v>475.02385921149067</v>
      </c>
      <c r="G22" s="812">
        <f t="shared" si="1"/>
        <v>0</v>
      </c>
      <c r="H22" s="812">
        <f t="shared" si="1"/>
        <v>163466.45263459304</v>
      </c>
      <c r="I22" s="812">
        <f t="shared" si="1"/>
        <v>29313.492341414374</v>
      </c>
      <c r="J22" s="812">
        <f t="shared" si="1"/>
        <v>0</v>
      </c>
      <c r="K22" s="812">
        <f t="shared" si="1"/>
        <v>0</v>
      </c>
      <c r="L22" s="812">
        <f t="shared" si="1"/>
        <v>0</v>
      </c>
      <c r="M22" s="812">
        <f t="shared" si="1"/>
        <v>0</v>
      </c>
      <c r="N22" s="812">
        <f t="shared" si="1"/>
        <v>6027.6480791958211</v>
      </c>
      <c r="O22" s="812">
        <f t="shared" si="1"/>
        <v>0</v>
      </c>
      <c r="P22" s="812">
        <f t="shared" si="1"/>
        <v>0</v>
      </c>
      <c r="Q22" s="812">
        <f t="shared" si="1"/>
        <v>0</v>
      </c>
      <c r="R22" s="812">
        <f t="shared" si="1"/>
        <v>199436.5614846813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3136.172</v>
      </c>
      <c r="D24" s="1012">
        <f>+landbouw!C8</f>
        <v>0</v>
      </c>
      <c r="E24" s="1012">
        <f>+landbouw!D8</f>
        <v>57.254450000000006</v>
      </c>
      <c r="F24" s="1012">
        <f>+landbouw!E8</f>
        <v>80.869834371696072</v>
      </c>
      <c r="G24" s="1012">
        <f>+landbouw!F8</f>
        <v>11463.305914944463</v>
      </c>
      <c r="H24" s="1012">
        <f>+landbouw!G8</f>
        <v>0</v>
      </c>
      <c r="I24" s="1012">
        <f>+landbouw!H8</f>
        <v>0</v>
      </c>
      <c r="J24" s="1012">
        <f>+landbouw!I8</f>
        <v>0</v>
      </c>
      <c r="K24" s="1012">
        <f>+landbouw!J8</f>
        <v>451.49339871611068</v>
      </c>
      <c r="L24" s="1012">
        <f>+landbouw!K8</f>
        <v>0</v>
      </c>
      <c r="M24" s="1012">
        <f>+landbouw!L8</f>
        <v>0</v>
      </c>
      <c r="N24" s="1012">
        <f>+landbouw!M8</f>
        <v>0</v>
      </c>
      <c r="O24" s="1012">
        <f>+landbouw!N8</f>
        <v>0</v>
      </c>
      <c r="P24" s="1012">
        <f>+landbouw!O8</f>
        <v>0</v>
      </c>
      <c r="Q24" s="1013">
        <f>+landbouw!P8</f>
        <v>0</v>
      </c>
      <c r="R24" s="700">
        <f>SUM(C24:Q24)</f>
        <v>15189.095598032271</v>
      </c>
      <c r="S24" s="67"/>
    </row>
    <row r="25" spans="1:19" s="473" customFormat="1" ht="15" thickBot="1">
      <c r="A25" s="831" t="s">
        <v>848</v>
      </c>
      <c r="B25" s="1015"/>
      <c r="C25" s="1016">
        <f>IF(Onbekend_ele_kWh="---",0,Onbekend_ele_kWh)/1000+IF(REST_rest_ele_kWh="---",0,REST_rest_ele_kWh)/1000</f>
        <v>218.471</v>
      </c>
      <c r="D25" s="1016"/>
      <c r="E25" s="1016">
        <f>IF(onbekend_gas_kWh="---",0,onbekend_gas_kWh)/1000+IF(REST_rest_gas_kWh="---",0,REST_rest_gas_kWh)/1000</f>
        <v>364.36799999999999</v>
      </c>
      <c r="F25" s="1016"/>
      <c r="G25" s="1016"/>
      <c r="H25" s="1016"/>
      <c r="I25" s="1016"/>
      <c r="J25" s="1016"/>
      <c r="K25" s="1016"/>
      <c r="L25" s="1016"/>
      <c r="M25" s="1016"/>
      <c r="N25" s="1016"/>
      <c r="O25" s="1016"/>
      <c r="P25" s="1016"/>
      <c r="Q25" s="1017"/>
      <c r="R25" s="700">
        <f>SUM(C25:Q25)</f>
        <v>582.83899999999994</v>
      </c>
      <c r="S25" s="67"/>
    </row>
    <row r="26" spans="1:19" s="473" customFormat="1" ht="15.75" thickBot="1">
      <c r="A26" s="705" t="s">
        <v>849</v>
      </c>
      <c r="B26" s="817"/>
      <c r="C26" s="812">
        <f>SUM(C24:C25)</f>
        <v>3354.643</v>
      </c>
      <c r="D26" s="812">
        <f t="shared" ref="D26:R26" si="2">SUM(D24:D25)</f>
        <v>0</v>
      </c>
      <c r="E26" s="812">
        <f t="shared" si="2"/>
        <v>421.62245000000001</v>
      </c>
      <c r="F26" s="812">
        <f t="shared" si="2"/>
        <v>80.869834371696072</v>
      </c>
      <c r="G26" s="812">
        <f t="shared" si="2"/>
        <v>11463.305914944463</v>
      </c>
      <c r="H26" s="812">
        <f t="shared" si="2"/>
        <v>0</v>
      </c>
      <c r="I26" s="812">
        <f t="shared" si="2"/>
        <v>0</v>
      </c>
      <c r="J26" s="812">
        <f t="shared" si="2"/>
        <v>0</v>
      </c>
      <c r="K26" s="812">
        <f t="shared" si="2"/>
        <v>451.49339871611068</v>
      </c>
      <c r="L26" s="812">
        <f t="shared" si="2"/>
        <v>0</v>
      </c>
      <c r="M26" s="812">
        <f t="shared" si="2"/>
        <v>0</v>
      </c>
      <c r="N26" s="812">
        <f t="shared" si="2"/>
        <v>0</v>
      </c>
      <c r="O26" s="812">
        <f t="shared" si="2"/>
        <v>0</v>
      </c>
      <c r="P26" s="812">
        <f t="shared" si="2"/>
        <v>0</v>
      </c>
      <c r="Q26" s="812">
        <f t="shared" si="2"/>
        <v>0</v>
      </c>
      <c r="R26" s="812">
        <f t="shared" si="2"/>
        <v>15771.934598032271</v>
      </c>
      <c r="S26" s="67"/>
    </row>
    <row r="27" spans="1:19" s="473" customFormat="1" ht="17.25" thickTop="1" thickBot="1">
      <c r="A27" s="706" t="s">
        <v>116</v>
      </c>
      <c r="B27" s="805"/>
      <c r="C27" s="707">
        <f ca="1">C22+C16+C26</f>
        <v>26852.664403679399</v>
      </c>
      <c r="D27" s="707">
        <f t="shared" ref="D27:R27" ca="1" si="3">D22+D16+D26</f>
        <v>0</v>
      </c>
      <c r="E27" s="707">
        <f t="shared" ca="1" si="3"/>
        <v>10315.195825620776</v>
      </c>
      <c r="F27" s="707">
        <f t="shared" si="3"/>
        <v>4518.9348355474231</v>
      </c>
      <c r="G27" s="707">
        <f t="shared" ca="1" si="3"/>
        <v>47615.1262939843</v>
      </c>
      <c r="H27" s="707">
        <f t="shared" si="3"/>
        <v>163466.45263459304</v>
      </c>
      <c r="I27" s="707">
        <f t="shared" si="3"/>
        <v>29313.492341414374</v>
      </c>
      <c r="J27" s="707">
        <f t="shared" si="3"/>
        <v>0</v>
      </c>
      <c r="K27" s="707">
        <f t="shared" si="3"/>
        <v>2726.384260792096</v>
      </c>
      <c r="L27" s="707">
        <f t="shared" si="3"/>
        <v>0</v>
      </c>
      <c r="M27" s="707">
        <f t="shared" ca="1" si="3"/>
        <v>0</v>
      </c>
      <c r="N27" s="707">
        <f t="shared" si="3"/>
        <v>6027.6480791958211</v>
      </c>
      <c r="O27" s="707">
        <f t="shared" ca="1" si="3"/>
        <v>7582.7246687351535</v>
      </c>
      <c r="P27" s="707">
        <f t="shared" si="3"/>
        <v>128.19333333333333</v>
      </c>
      <c r="Q27" s="707">
        <f t="shared" si="3"/>
        <v>667.33333333333337</v>
      </c>
      <c r="R27" s="707">
        <f t="shared" ca="1" si="3"/>
        <v>299214.15001022903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1090.7690969847206</v>
      </c>
      <c r="D40" s="1012">
        <f ca="1">tertiair!C20</f>
        <v>0</v>
      </c>
      <c r="E40" s="1012">
        <f ca="1">tertiair!D20</f>
        <v>395.21796758400006</v>
      </c>
      <c r="F40" s="1012">
        <f>tertiair!E20</f>
        <v>34.733458812001047</v>
      </c>
      <c r="G40" s="1012">
        <f ca="1">tertiair!F20</f>
        <v>622.90750522502742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2143.628028605749</v>
      </c>
    </row>
    <row r="41" spans="1:18">
      <c r="A41" s="822" t="s">
        <v>225</v>
      </c>
      <c r="B41" s="829"/>
      <c r="C41" s="1012">
        <f ca="1">huishoudens!B12</f>
        <v>1276.8234926812108</v>
      </c>
      <c r="D41" s="1012">
        <f ca="1">huishoudens!C12</f>
        <v>0</v>
      </c>
      <c r="E41" s="1012">
        <f>huishoudens!D12</f>
        <v>1457.8723270760004</v>
      </c>
      <c r="F41" s="1012">
        <f>huishoudens!E12</f>
        <v>821.45148307968645</v>
      </c>
      <c r="G41" s="1012">
        <f>huishoudens!F12</f>
        <v>8791.0277825317044</v>
      </c>
      <c r="H41" s="1012">
        <f>huishoudens!G12</f>
        <v>0</v>
      </c>
      <c r="I41" s="1012">
        <f>huishoudens!H12</f>
        <v>0</v>
      </c>
      <c r="J41" s="1012">
        <f>huishoudens!I12</f>
        <v>0</v>
      </c>
      <c r="K41" s="1012">
        <f>huishoudens!J12</f>
        <v>804.31142802999318</v>
      </c>
      <c r="L41" s="1012">
        <f>huishoudens!K12</f>
        <v>0</v>
      </c>
      <c r="M41" s="1012">
        <f>huishoudens!L12</f>
        <v>0</v>
      </c>
      <c r="N41" s="1012">
        <f>huishoudens!M12</f>
        <v>0</v>
      </c>
      <c r="O41" s="1012">
        <f>huishoudens!N12</f>
        <v>0</v>
      </c>
      <c r="P41" s="1012">
        <f>huishoudens!O12</f>
        <v>0</v>
      </c>
      <c r="Q41" s="774">
        <f>huishoudens!P12</f>
        <v>0</v>
      </c>
      <c r="R41" s="850">
        <f t="shared" ca="1" si="4"/>
        <v>13151.486513398595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277.44172637126053</v>
      </c>
      <c r="D43" s="1012">
        <f ca="1">industrie!C22</f>
        <v>0</v>
      </c>
      <c r="E43" s="1012">
        <f>industrie!D22</f>
        <v>123.99510591600001</v>
      </c>
      <c r="F43" s="1012">
        <f>industrie!E22</f>
        <v>43.425397334194194</v>
      </c>
      <c r="G43" s="1012">
        <f>industrie!F22</f>
        <v>238.60075344690443</v>
      </c>
      <c r="H43" s="1012">
        <f>industrie!G22</f>
        <v>0</v>
      </c>
      <c r="I43" s="1012">
        <f>industrie!H22</f>
        <v>0</v>
      </c>
      <c r="J43" s="1012">
        <f>industrie!I22</f>
        <v>0</v>
      </c>
      <c r="K43" s="1012">
        <f>industrie!J22</f>
        <v>0.99993714490558894</v>
      </c>
      <c r="L43" s="1012">
        <f>industrie!K22</f>
        <v>0</v>
      </c>
      <c r="M43" s="1012">
        <f>industrie!L22</f>
        <v>0</v>
      </c>
      <c r="N43" s="1012">
        <f>industrie!M22</f>
        <v>0</v>
      </c>
      <c r="O43" s="1012">
        <f>industrie!N22</f>
        <v>0</v>
      </c>
      <c r="P43" s="1012">
        <f>industrie!O22</f>
        <v>0</v>
      </c>
      <c r="Q43" s="774">
        <f>industrie!P22</f>
        <v>0</v>
      </c>
      <c r="R43" s="849">
        <f t="shared" ca="1" si="4"/>
        <v>684.46292021326474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2645.0343160371922</v>
      </c>
      <c r="D46" s="732">
        <f t="shared" ref="D46:Q46" ca="1" si="5">SUM(D39:D45)</f>
        <v>0</v>
      </c>
      <c r="E46" s="732">
        <f t="shared" ca="1" si="5"/>
        <v>1977.0854005760004</v>
      </c>
      <c r="F46" s="732">
        <f t="shared" si="5"/>
        <v>899.6103392258816</v>
      </c>
      <c r="G46" s="732">
        <f t="shared" ca="1" si="5"/>
        <v>9652.5360412036371</v>
      </c>
      <c r="H46" s="732">
        <f t="shared" si="5"/>
        <v>0</v>
      </c>
      <c r="I46" s="732">
        <f t="shared" si="5"/>
        <v>0</v>
      </c>
      <c r="J46" s="732">
        <f t="shared" si="5"/>
        <v>0</v>
      </c>
      <c r="K46" s="732">
        <f t="shared" si="5"/>
        <v>805.31136517489881</v>
      </c>
      <c r="L46" s="732">
        <f t="shared" si="5"/>
        <v>0</v>
      </c>
      <c r="M46" s="732">
        <f t="shared" ca="1" si="5"/>
        <v>0</v>
      </c>
      <c r="N46" s="732">
        <f t="shared" si="5"/>
        <v>0</v>
      </c>
      <c r="O46" s="732">
        <f t="shared" ca="1" si="5"/>
        <v>0</v>
      </c>
      <c r="P46" s="732">
        <f t="shared" si="5"/>
        <v>0</v>
      </c>
      <c r="Q46" s="732">
        <f t="shared" si="5"/>
        <v>0</v>
      </c>
      <c r="R46" s="732">
        <f ca="1">SUM(R39:R45)</f>
        <v>15979.577462217609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306.4435738077558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306.4435738077558</v>
      </c>
    </row>
    <row r="50" spans="1:18">
      <c r="A50" s="825" t="s">
        <v>307</v>
      </c>
      <c r="B50" s="835"/>
      <c r="C50" s="703">
        <f ca="1">transport!B18</f>
        <v>5.4053989973599181</v>
      </c>
      <c r="D50" s="703">
        <f>transport!C18</f>
        <v>0</v>
      </c>
      <c r="E50" s="703">
        <f>transport!D18</f>
        <v>21.416421299396305</v>
      </c>
      <c r="F50" s="703">
        <f>transport!E18</f>
        <v>107.83041604100839</v>
      </c>
      <c r="G50" s="703">
        <f>transport!F18</f>
        <v>0</v>
      </c>
      <c r="H50" s="703">
        <f>transport!G18</f>
        <v>43339.099279628586</v>
      </c>
      <c r="I50" s="703">
        <f>transport!H18</f>
        <v>7299.059593012179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50772.811108978531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5.4053989973599181</v>
      </c>
      <c r="D52" s="732">
        <f t="shared" ref="D52:Q52" ca="1" si="6">SUM(D48:D51)</f>
        <v>0</v>
      </c>
      <c r="E52" s="732">
        <f t="shared" si="6"/>
        <v>21.416421299396305</v>
      </c>
      <c r="F52" s="732">
        <f t="shared" si="6"/>
        <v>107.83041604100839</v>
      </c>
      <c r="G52" s="732">
        <f t="shared" si="6"/>
        <v>0</v>
      </c>
      <c r="H52" s="732">
        <f t="shared" si="6"/>
        <v>43645.542853436345</v>
      </c>
      <c r="I52" s="732">
        <f t="shared" si="6"/>
        <v>7299.059593012179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51079.25468278629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353.74190359183956</v>
      </c>
      <c r="D54" s="703">
        <f ca="1">+landbouw!C12</f>
        <v>0</v>
      </c>
      <c r="E54" s="703">
        <f>+landbouw!D12</f>
        <v>11.565398900000002</v>
      </c>
      <c r="F54" s="703">
        <f>+landbouw!E12</f>
        <v>18.35745240237501</v>
      </c>
      <c r="G54" s="703">
        <f>+landbouw!F12</f>
        <v>3060.702679290172</v>
      </c>
      <c r="H54" s="703">
        <f>+landbouw!G12</f>
        <v>0</v>
      </c>
      <c r="I54" s="703">
        <f>+landbouw!H12</f>
        <v>0</v>
      </c>
      <c r="J54" s="703">
        <f>+landbouw!I12</f>
        <v>0</v>
      </c>
      <c r="K54" s="703">
        <f>+landbouw!J12</f>
        <v>159.82866314550316</v>
      </c>
      <c r="L54" s="703">
        <f>+landbouw!K12</f>
        <v>0</v>
      </c>
      <c r="M54" s="703">
        <f>+landbouw!L12</f>
        <v>0</v>
      </c>
      <c r="N54" s="703">
        <f>+landbouw!M12</f>
        <v>0</v>
      </c>
      <c r="O54" s="703">
        <f>+landbouw!N12</f>
        <v>0</v>
      </c>
      <c r="P54" s="703">
        <f>+landbouw!O12</f>
        <v>0</v>
      </c>
      <c r="Q54" s="704">
        <f>+landbouw!P12</f>
        <v>0</v>
      </c>
      <c r="R54" s="731">
        <f ca="1">SUM(C54:Q54)</f>
        <v>3604.1960973298897</v>
      </c>
    </row>
    <row r="55" spans="1:18" ht="15" thickBot="1">
      <c r="A55" s="825" t="s">
        <v>848</v>
      </c>
      <c r="B55" s="835"/>
      <c r="C55" s="703">
        <f ca="1">C25*'EF ele_warmte'!B12</f>
        <v>24.642254130070921</v>
      </c>
      <c r="D55" s="703"/>
      <c r="E55" s="703">
        <f>E25*EF_CO2_aardgas</f>
        <v>73.602336000000008</v>
      </c>
      <c r="F55" s="703"/>
      <c r="G55" s="703"/>
      <c r="H55" s="703"/>
      <c r="I55" s="703"/>
      <c r="J55" s="703"/>
      <c r="K55" s="703"/>
      <c r="L55" s="703"/>
      <c r="M55" s="703"/>
      <c r="N55" s="703"/>
      <c r="O55" s="703"/>
      <c r="P55" s="703"/>
      <c r="Q55" s="704"/>
      <c r="R55" s="731">
        <f ca="1">SUM(C55:Q55)</f>
        <v>98.244590130070932</v>
      </c>
    </row>
    <row r="56" spans="1:18" ht="15.75" thickBot="1">
      <c r="A56" s="823" t="s">
        <v>849</v>
      </c>
      <c r="B56" s="836"/>
      <c r="C56" s="732">
        <f ca="1">SUM(C54:C55)</f>
        <v>378.38415772191047</v>
      </c>
      <c r="D56" s="732">
        <f t="shared" ref="D56:Q56" ca="1" si="7">SUM(D54:D55)</f>
        <v>0</v>
      </c>
      <c r="E56" s="732">
        <f t="shared" si="7"/>
        <v>85.167734900000013</v>
      </c>
      <c r="F56" s="732">
        <f t="shared" si="7"/>
        <v>18.35745240237501</v>
      </c>
      <c r="G56" s="732">
        <f t="shared" si="7"/>
        <v>3060.702679290172</v>
      </c>
      <c r="H56" s="732">
        <f t="shared" si="7"/>
        <v>0</v>
      </c>
      <c r="I56" s="732">
        <f t="shared" si="7"/>
        <v>0</v>
      </c>
      <c r="J56" s="732">
        <f t="shared" si="7"/>
        <v>0</v>
      </c>
      <c r="K56" s="732">
        <f t="shared" si="7"/>
        <v>159.82866314550316</v>
      </c>
      <c r="L56" s="732">
        <f t="shared" si="7"/>
        <v>0</v>
      </c>
      <c r="M56" s="732">
        <f t="shared" si="7"/>
        <v>0</v>
      </c>
      <c r="N56" s="732">
        <f t="shared" si="7"/>
        <v>0</v>
      </c>
      <c r="O56" s="732">
        <f t="shared" si="7"/>
        <v>0</v>
      </c>
      <c r="P56" s="732">
        <f t="shared" si="7"/>
        <v>0</v>
      </c>
      <c r="Q56" s="733">
        <f t="shared" si="7"/>
        <v>0</v>
      </c>
      <c r="R56" s="734">
        <f ca="1">SUM(R54:R55)</f>
        <v>3702.4406874599604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3028.8238727564626</v>
      </c>
      <c r="D61" s="740">
        <f t="shared" ref="D61:Q61" ca="1" si="8">D46+D52+D56</f>
        <v>0</v>
      </c>
      <c r="E61" s="740">
        <f t="shared" ca="1" si="8"/>
        <v>2083.6695567753968</v>
      </c>
      <c r="F61" s="740">
        <f t="shared" si="8"/>
        <v>1025.7982076692649</v>
      </c>
      <c r="G61" s="740">
        <f t="shared" ca="1" si="8"/>
        <v>12713.23872049381</v>
      </c>
      <c r="H61" s="740">
        <f t="shared" si="8"/>
        <v>43645.542853436345</v>
      </c>
      <c r="I61" s="740">
        <f t="shared" si="8"/>
        <v>7299.059593012179</v>
      </c>
      <c r="J61" s="740">
        <f t="shared" si="8"/>
        <v>0</v>
      </c>
      <c r="K61" s="740">
        <f t="shared" si="8"/>
        <v>965.14002832040194</v>
      </c>
      <c r="L61" s="740">
        <f t="shared" si="8"/>
        <v>0</v>
      </c>
      <c r="M61" s="740">
        <f t="shared" ca="1" si="8"/>
        <v>0</v>
      </c>
      <c r="N61" s="740">
        <f t="shared" si="8"/>
        <v>0</v>
      </c>
      <c r="O61" s="740">
        <f t="shared" ca="1" si="8"/>
        <v>0</v>
      </c>
      <c r="P61" s="740">
        <f t="shared" si="8"/>
        <v>0</v>
      </c>
      <c r="Q61" s="740">
        <f t="shared" si="8"/>
        <v>0</v>
      </c>
      <c r="R61" s="740">
        <f ca="1">R46+R52+R56</f>
        <v>70761.272832463859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0.11279416549597394</v>
      </c>
      <c r="D63" s="781">
        <f t="shared" ca="1" si="9"/>
        <v>0</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8113.7159571026823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5033.863049488652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13147.579006591335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8113.7159571026823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5033.863049488652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13147.579006591335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11319.942721033613</v>
      </c>
      <c r="C4" s="477">
        <f>huishoudens!C8</f>
        <v>0</v>
      </c>
      <c r="D4" s="477">
        <f>huishoudens!D8</f>
        <v>7217.1897380000009</v>
      </c>
      <c r="E4" s="477">
        <f>huishoudens!E8</f>
        <v>3618.7290003510416</v>
      </c>
      <c r="F4" s="477">
        <f>huishoudens!F8</f>
        <v>32925.197687384658</v>
      </c>
      <c r="G4" s="477">
        <f>huishoudens!G8</f>
        <v>0</v>
      </c>
      <c r="H4" s="477">
        <f>huishoudens!H8</f>
        <v>0</v>
      </c>
      <c r="I4" s="477">
        <f>huishoudens!I8</f>
        <v>0</v>
      </c>
      <c r="J4" s="477">
        <f>huishoudens!J8</f>
        <v>2272.0661808756872</v>
      </c>
      <c r="K4" s="477">
        <f>huishoudens!K8</f>
        <v>0</v>
      </c>
      <c r="L4" s="477">
        <f>huishoudens!L8</f>
        <v>0</v>
      </c>
      <c r="M4" s="477">
        <f>huishoudens!M8</f>
        <v>0</v>
      </c>
      <c r="N4" s="477">
        <f>huishoudens!N8</f>
        <v>6445.1673726251047</v>
      </c>
      <c r="O4" s="477">
        <f>huishoudens!O8</f>
        <v>126.63</v>
      </c>
      <c r="P4" s="478">
        <f>huishoudens!P8</f>
        <v>629.20000000000005</v>
      </c>
      <c r="Q4" s="479">
        <f>SUM(B4:P4)</f>
        <v>64554.122700270098</v>
      </c>
    </row>
    <row r="5" spans="1:17">
      <c r="A5" s="476" t="s">
        <v>156</v>
      </c>
      <c r="B5" s="477">
        <f ca="1">tertiair!B16</f>
        <v>9174.9979999999996</v>
      </c>
      <c r="C5" s="477">
        <f ca="1">tertiair!C16</f>
        <v>0</v>
      </c>
      <c r="D5" s="477">
        <f ca="1">tertiair!D16</f>
        <v>1956.5245920000002</v>
      </c>
      <c r="E5" s="477">
        <f>tertiair!E16</f>
        <v>153.01083177092971</v>
      </c>
      <c r="F5" s="477">
        <f ca="1">tertiair!F16</f>
        <v>2332.9869109551587</v>
      </c>
      <c r="G5" s="477">
        <f>tertiair!G16</f>
        <v>0</v>
      </c>
      <c r="H5" s="477">
        <f>tertiair!H16</f>
        <v>0</v>
      </c>
      <c r="I5" s="477">
        <f>tertiair!I16</f>
        <v>0</v>
      </c>
      <c r="J5" s="477">
        <f>tertiair!J16</f>
        <v>0</v>
      </c>
      <c r="K5" s="477">
        <f>tertiair!K16</f>
        <v>0</v>
      </c>
      <c r="L5" s="477">
        <f ca="1">tertiair!L16</f>
        <v>0</v>
      </c>
      <c r="M5" s="477">
        <f>tertiair!M16</f>
        <v>0</v>
      </c>
      <c r="N5" s="477">
        <f ca="1">tertiair!N16</f>
        <v>329.13620883635389</v>
      </c>
      <c r="O5" s="477">
        <f>tertiair!O16</f>
        <v>1.5633333333333335</v>
      </c>
      <c r="P5" s="478">
        <f>tertiair!P16</f>
        <v>38.133333333333333</v>
      </c>
      <c r="Q5" s="476">
        <f t="shared" ref="Q5:Q14" ca="1" si="0">SUM(B5:P5)</f>
        <v>13986.353210229106</v>
      </c>
    </row>
    <row r="6" spans="1:17">
      <c r="A6" s="476" t="s">
        <v>194</v>
      </c>
      <c r="B6" s="477">
        <f>'openbare verlichting'!B8</f>
        <v>495.44099999999997</v>
      </c>
      <c r="C6" s="477"/>
      <c r="D6" s="477"/>
      <c r="E6" s="477"/>
      <c r="F6" s="477"/>
      <c r="G6" s="477"/>
      <c r="H6" s="477"/>
      <c r="I6" s="477"/>
      <c r="J6" s="477"/>
      <c r="K6" s="477"/>
      <c r="L6" s="477"/>
      <c r="M6" s="477"/>
      <c r="N6" s="477"/>
      <c r="O6" s="477"/>
      <c r="P6" s="478"/>
      <c r="Q6" s="476">
        <f t="shared" si="0"/>
        <v>495.44099999999997</v>
      </c>
    </row>
    <row r="7" spans="1:17">
      <c r="A7" s="476" t="s">
        <v>112</v>
      </c>
      <c r="B7" s="477">
        <f>landbouw!B8</f>
        <v>3136.172</v>
      </c>
      <c r="C7" s="477">
        <f>landbouw!C8</f>
        <v>0</v>
      </c>
      <c r="D7" s="477">
        <f>landbouw!D8</f>
        <v>57.254450000000006</v>
      </c>
      <c r="E7" s="477">
        <f>landbouw!E8</f>
        <v>80.869834371696072</v>
      </c>
      <c r="F7" s="477">
        <f>landbouw!F8</f>
        <v>11463.305914944463</v>
      </c>
      <c r="G7" s="477">
        <f>landbouw!G8</f>
        <v>0</v>
      </c>
      <c r="H7" s="477">
        <f>landbouw!H8</f>
        <v>0</v>
      </c>
      <c r="I7" s="477">
        <f>landbouw!I8</f>
        <v>0</v>
      </c>
      <c r="J7" s="477">
        <f>landbouw!J8</f>
        <v>451.49339871611068</v>
      </c>
      <c r="K7" s="477">
        <f>landbouw!K8</f>
        <v>0</v>
      </c>
      <c r="L7" s="477">
        <f>landbouw!L8</f>
        <v>0</v>
      </c>
      <c r="M7" s="477">
        <f>landbouw!M8</f>
        <v>0</v>
      </c>
      <c r="N7" s="477">
        <f>landbouw!N8</f>
        <v>0</v>
      </c>
      <c r="O7" s="477">
        <f>landbouw!O8</f>
        <v>0</v>
      </c>
      <c r="P7" s="478">
        <f>landbouw!P8</f>
        <v>0</v>
      </c>
      <c r="Q7" s="476">
        <f t="shared" si="0"/>
        <v>15189.095598032271</v>
      </c>
    </row>
    <row r="8" spans="1:17">
      <c r="A8" s="476" t="s">
        <v>638</v>
      </c>
      <c r="B8" s="477">
        <f>industrie!B18</f>
        <v>2459.7170000000001</v>
      </c>
      <c r="C8" s="477">
        <f>industrie!C18</f>
        <v>0</v>
      </c>
      <c r="D8" s="477">
        <f>industrie!D18</f>
        <v>613.83715800000004</v>
      </c>
      <c r="E8" s="477">
        <f>industrie!E18</f>
        <v>191.30130984226517</v>
      </c>
      <c r="F8" s="477">
        <f>industrie!F18</f>
        <v>893.63578070001654</v>
      </c>
      <c r="G8" s="477">
        <f>industrie!G18</f>
        <v>0</v>
      </c>
      <c r="H8" s="477">
        <f>industrie!H18</f>
        <v>0</v>
      </c>
      <c r="I8" s="477">
        <f>industrie!I18</f>
        <v>0</v>
      </c>
      <c r="J8" s="477">
        <f>industrie!J18</f>
        <v>2.824681200298274</v>
      </c>
      <c r="K8" s="477">
        <f>industrie!K18</f>
        <v>0</v>
      </c>
      <c r="L8" s="477">
        <f>industrie!L18</f>
        <v>0</v>
      </c>
      <c r="M8" s="477">
        <f>industrie!M18</f>
        <v>0</v>
      </c>
      <c r="N8" s="477">
        <f>industrie!N18</f>
        <v>808.42108727369475</v>
      </c>
      <c r="O8" s="477">
        <f>industrie!O18</f>
        <v>0</v>
      </c>
      <c r="P8" s="478">
        <f>industrie!P18</f>
        <v>0</v>
      </c>
      <c r="Q8" s="476">
        <f t="shared" si="0"/>
        <v>4969.7370170162749</v>
      </c>
    </row>
    <row r="9" spans="1:17" s="482" customFormat="1">
      <c r="A9" s="480" t="s">
        <v>564</v>
      </c>
      <c r="B9" s="481">
        <f>transport!B14</f>
        <v>47.922682645786836</v>
      </c>
      <c r="C9" s="481">
        <f>transport!C14</f>
        <v>0</v>
      </c>
      <c r="D9" s="481">
        <f>transport!D14</f>
        <v>106.02188762077378</v>
      </c>
      <c r="E9" s="481">
        <f>transport!E14</f>
        <v>475.02385921149067</v>
      </c>
      <c r="F9" s="481">
        <f>transport!F14</f>
        <v>0</v>
      </c>
      <c r="G9" s="481">
        <f>transport!G14</f>
        <v>162318.72389374001</v>
      </c>
      <c r="H9" s="481">
        <f>transport!H14</f>
        <v>29313.492341414374</v>
      </c>
      <c r="I9" s="481">
        <f>transport!I14</f>
        <v>0</v>
      </c>
      <c r="J9" s="481">
        <f>transport!J14</f>
        <v>0</v>
      </c>
      <c r="K9" s="481">
        <f>transport!K14</f>
        <v>0</v>
      </c>
      <c r="L9" s="481">
        <f>transport!L14</f>
        <v>0</v>
      </c>
      <c r="M9" s="481">
        <f>transport!M14</f>
        <v>5992.0481013327417</v>
      </c>
      <c r="N9" s="481">
        <f>transport!N14</f>
        <v>0</v>
      </c>
      <c r="O9" s="481">
        <f>transport!O14</f>
        <v>0</v>
      </c>
      <c r="P9" s="481">
        <f>transport!P14</f>
        <v>0</v>
      </c>
      <c r="Q9" s="480">
        <f>SUM(B9:P9)</f>
        <v>198253.23276596519</v>
      </c>
    </row>
    <row r="10" spans="1:17">
      <c r="A10" s="476" t="s">
        <v>554</v>
      </c>
      <c r="B10" s="477">
        <f>transport!B54</f>
        <v>0</v>
      </c>
      <c r="C10" s="477">
        <f>transport!C54</f>
        <v>0</v>
      </c>
      <c r="D10" s="477">
        <f>transport!D54</f>
        <v>0</v>
      </c>
      <c r="E10" s="477">
        <f>transport!E54</f>
        <v>0</v>
      </c>
      <c r="F10" s="477">
        <f>transport!F54</f>
        <v>0</v>
      </c>
      <c r="G10" s="477">
        <f>transport!G54</f>
        <v>1147.7287408530178</v>
      </c>
      <c r="H10" s="477">
        <f>transport!H54</f>
        <v>0</v>
      </c>
      <c r="I10" s="477">
        <f>transport!I54</f>
        <v>0</v>
      </c>
      <c r="J10" s="477">
        <f>transport!J54</f>
        <v>0</v>
      </c>
      <c r="K10" s="477">
        <f>transport!K54</f>
        <v>0</v>
      </c>
      <c r="L10" s="477">
        <f>transport!L54</f>
        <v>0</v>
      </c>
      <c r="M10" s="477">
        <f>transport!M54</f>
        <v>35.599977863079538</v>
      </c>
      <c r="N10" s="477">
        <f>transport!N54</f>
        <v>0</v>
      </c>
      <c r="O10" s="477">
        <f>transport!O54</f>
        <v>0</v>
      </c>
      <c r="P10" s="478">
        <f>transport!P54</f>
        <v>0</v>
      </c>
      <c r="Q10" s="476">
        <f t="shared" si="0"/>
        <v>1183.3287187160975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218.471</v>
      </c>
      <c r="C14" s="484"/>
      <c r="D14" s="484">
        <f>'SEAP template'!E25</f>
        <v>364.36799999999999</v>
      </c>
      <c r="E14" s="484"/>
      <c r="F14" s="484"/>
      <c r="G14" s="484"/>
      <c r="H14" s="484"/>
      <c r="I14" s="484"/>
      <c r="J14" s="484"/>
      <c r="K14" s="484"/>
      <c r="L14" s="484"/>
      <c r="M14" s="484"/>
      <c r="N14" s="484"/>
      <c r="O14" s="484"/>
      <c r="P14" s="485"/>
      <c r="Q14" s="476">
        <f t="shared" si="0"/>
        <v>582.83899999999994</v>
      </c>
    </row>
    <row r="15" spans="1:17" s="486" customFormat="1">
      <c r="A15" s="1038" t="s">
        <v>558</v>
      </c>
      <c r="B15" s="978">
        <f ca="1">SUM(B4:B14)</f>
        <v>26852.664403679399</v>
      </c>
      <c r="C15" s="978">
        <f t="shared" ref="C15:Q15" ca="1" si="1">SUM(C4:C14)</f>
        <v>0</v>
      </c>
      <c r="D15" s="978">
        <f t="shared" ca="1" si="1"/>
        <v>10315.195825620776</v>
      </c>
      <c r="E15" s="978">
        <f t="shared" si="1"/>
        <v>4518.9348355474231</v>
      </c>
      <c r="F15" s="978">
        <f t="shared" ca="1" si="1"/>
        <v>47615.1262939843</v>
      </c>
      <c r="G15" s="978">
        <f t="shared" si="1"/>
        <v>163466.45263459304</v>
      </c>
      <c r="H15" s="978">
        <f t="shared" si="1"/>
        <v>29313.492341414374</v>
      </c>
      <c r="I15" s="978">
        <f t="shared" si="1"/>
        <v>0</v>
      </c>
      <c r="J15" s="978">
        <f t="shared" si="1"/>
        <v>2726.384260792096</v>
      </c>
      <c r="K15" s="978">
        <f t="shared" si="1"/>
        <v>0</v>
      </c>
      <c r="L15" s="978">
        <f t="shared" ca="1" si="1"/>
        <v>0</v>
      </c>
      <c r="M15" s="978">
        <f t="shared" si="1"/>
        <v>6027.6480791958211</v>
      </c>
      <c r="N15" s="978">
        <f t="shared" ca="1" si="1"/>
        <v>7582.7246687351535</v>
      </c>
      <c r="O15" s="978">
        <f t="shared" si="1"/>
        <v>128.19333333333333</v>
      </c>
      <c r="P15" s="978">
        <f t="shared" si="1"/>
        <v>667.33333333333337</v>
      </c>
      <c r="Q15" s="978">
        <f t="shared" ca="1" si="1"/>
        <v>299214.15001022903</v>
      </c>
    </row>
    <row r="17" spans="1:17">
      <c r="A17" s="487" t="s">
        <v>559</v>
      </c>
      <c r="B17" s="786">
        <f ca="1">huishoudens!B10</f>
        <v>0.11279416549597393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1276.8234926812108</v>
      </c>
      <c r="C22" s="477">
        <f t="shared" ref="C22:C32" ca="1" si="3">C4*$C$17</f>
        <v>0</v>
      </c>
      <c r="D22" s="477">
        <f t="shared" ref="D22:D32" si="4">D4*$D$17</f>
        <v>1457.8723270760004</v>
      </c>
      <c r="E22" s="477">
        <f t="shared" ref="E22:E32" si="5">E4*$E$17</f>
        <v>821.45148307968645</v>
      </c>
      <c r="F22" s="477">
        <f t="shared" ref="F22:F32" si="6">F4*$F$17</f>
        <v>8791.0277825317044</v>
      </c>
      <c r="G22" s="477">
        <f t="shared" ref="G22:G32" si="7">G4*$G$17</f>
        <v>0</v>
      </c>
      <c r="H22" s="477">
        <f t="shared" ref="H22:H32" si="8">H4*$H$17</f>
        <v>0</v>
      </c>
      <c r="I22" s="477">
        <f t="shared" ref="I22:I32" si="9">I4*$I$17</f>
        <v>0</v>
      </c>
      <c r="J22" s="477">
        <f t="shared" ref="J22:J32" si="10">J4*$J$17</f>
        <v>804.31142802999318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13151.486513398595</v>
      </c>
    </row>
    <row r="23" spans="1:17">
      <c r="A23" s="476" t="s">
        <v>156</v>
      </c>
      <c r="B23" s="477">
        <f t="shared" ca="1" si="2"/>
        <v>1034.8862428372297</v>
      </c>
      <c r="C23" s="477">
        <f t="shared" ca="1" si="3"/>
        <v>0</v>
      </c>
      <c r="D23" s="477">
        <f t="shared" ca="1" si="4"/>
        <v>395.21796758400006</v>
      </c>
      <c r="E23" s="477">
        <f t="shared" si="5"/>
        <v>34.733458812001047</v>
      </c>
      <c r="F23" s="477">
        <f t="shared" ca="1" si="6"/>
        <v>622.90750522502742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2087.7451744582581</v>
      </c>
    </row>
    <row r="24" spans="1:17">
      <c r="A24" s="476" t="s">
        <v>194</v>
      </c>
      <c r="B24" s="477">
        <f t="shared" ca="1" si="2"/>
        <v>55.882854147490818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55.882854147490818</v>
      </c>
    </row>
    <row r="25" spans="1:17">
      <c r="A25" s="476" t="s">
        <v>112</v>
      </c>
      <c r="B25" s="477">
        <f t="shared" ca="1" si="2"/>
        <v>353.74190359183956</v>
      </c>
      <c r="C25" s="477">
        <f t="shared" ca="1" si="3"/>
        <v>0</v>
      </c>
      <c r="D25" s="477">
        <f t="shared" si="4"/>
        <v>11.565398900000002</v>
      </c>
      <c r="E25" s="477">
        <f t="shared" si="5"/>
        <v>18.35745240237501</v>
      </c>
      <c r="F25" s="477">
        <f t="shared" si="6"/>
        <v>3060.702679290172</v>
      </c>
      <c r="G25" s="477">
        <f t="shared" si="7"/>
        <v>0</v>
      </c>
      <c r="H25" s="477">
        <f t="shared" si="8"/>
        <v>0</v>
      </c>
      <c r="I25" s="477">
        <f t="shared" si="9"/>
        <v>0</v>
      </c>
      <c r="J25" s="477">
        <f t="shared" si="10"/>
        <v>159.82866314550316</v>
      </c>
      <c r="K25" s="477">
        <f t="shared" si="11"/>
        <v>0</v>
      </c>
      <c r="L25" s="477">
        <f t="shared" si="12"/>
        <v>0</v>
      </c>
      <c r="M25" s="477">
        <f t="shared" si="13"/>
        <v>0</v>
      </c>
      <c r="N25" s="477">
        <f t="shared" si="14"/>
        <v>0</v>
      </c>
      <c r="O25" s="477">
        <f t="shared" si="15"/>
        <v>0</v>
      </c>
      <c r="P25" s="478">
        <f t="shared" si="16"/>
        <v>0</v>
      </c>
      <c r="Q25" s="476">
        <f t="shared" ca="1" si="17"/>
        <v>3604.1960973298897</v>
      </c>
    </row>
    <row r="26" spans="1:17">
      <c r="A26" s="476" t="s">
        <v>638</v>
      </c>
      <c r="B26" s="477">
        <f t="shared" ca="1" si="2"/>
        <v>277.44172637126053</v>
      </c>
      <c r="C26" s="477">
        <f t="shared" ca="1" si="3"/>
        <v>0</v>
      </c>
      <c r="D26" s="477">
        <f t="shared" si="4"/>
        <v>123.99510591600001</v>
      </c>
      <c r="E26" s="477">
        <f t="shared" si="5"/>
        <v>43.425397334194194</v>
      </c>
      <c r="F26" s="477">
        <f t="shared" si="6"/>
        <v>238.60075344690443</v>
      </c>
      <c r="G26" s="477">
        <f t="shared" si="7"/>
        <v>0</v>
      </c>
      <c r="H26" s="477">
        <f t="shared" si="8"/>
        <v>0</v>
      </c>
      <c r="I26" s="477">
        <f t="shared" si="9"/>
        <v>0</v>
      </c>
      <c r="J26" s="477">
        <f t="shared" si="10"/>
        <v>0.99993714490558894</v>
      </c>
      <c r="K26" s="477">
        <f t="shared" si="11"/>
        <v>0</v>
      </c>
      <c r="L26" s="477">
        <f t="shared" si="12"/>
        <v>0</v>
      </c>
      <c r="M26" s="477">
        <f t="shared" si="13"/>
        <v>0</v>
      </c>
      <c r="N26" s="477">
        <f t="shared" si="14"/>
        <v>0</v>
      </c>
      <c r="O26" s="477">
        <f t="shared" si="15"/>
        <v>0</v>
      </c>
      <c r="P26" s="478">
        <f t="shared" si="16"/>
        <v>0</v>
      </c>
      <c r="Q26" s="476">
        <f t="shared" ca="1" si="17"/>
        <v>684.46292021326474</v>
      </c>
    </row>
    <row r="27" spans="1:17" s="482" customFormat="1">
      <c r="A27" s="480" t="s">
        <v>564</v>
      </c>
      <c r="B27" s="780">
        <f t="shared" ca="1" si="2"/>
        <v>5.4053989973599181</v>
      </c>
      <c r="C27" s="481">
        <f t="shared" ca="1" si="3"/>
        <v>0</v>
      </c>
      <c r="D27" s="481">
        <f t="shared" si="4"/>
        <v>21.416421299396305</v>
      </c>
      <c r="E27" s="481">
        <f t="shared" si="5"/>
        <v>107.83041604100839</v>
      </c>
      <c r="F27" s="481">
        <f t="shared" si="6"/>
        <v>0</v>
      </c>
      <c r="G27" s="481">
        <f t="shared" si="7"/>
        <v>43339.099279628586</v>
      </c>
      <c r="H27" s="481">
        <f t="shared" si="8"/>
        <v>7299.059593012179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50772.811108978531</v>
      </c>
    </row>
    <row r="28" spans="1:17">
      <c r="A28" s="476" t="s">
        <v>554</v>
      </c>
      <c r="B28" s="477">
        <f t="shared" ca="1" si="2"/>
        <v>0</v>
      </c>
      <c r="C28" s="477">
        <f t="shared" ca="1" si="3"/>
        <v>0</v>
      </c>
      <c r="D28" s="477">
        <f t="shared" si="4"/>
        <v>0</v>
      </c>
      <c r="E28" s="477">
        <f t="shared" si="5"/>
        <v>0</v>
      </c>
      <c r="F28" s="477">
        <f t="shared" si="6"/>
        <v>0</v>
      </c>
      <c r="G28" s="477">
        <f t="shared" si="7"/>
        <v>306.4435738077558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306.4435738077558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24.642254130070921</v>
      </c>
      <c r="C32" s="477">
        <f t="shared" ca="1" si="3"/>
        <v>0</v>
      </c>
      <c r="D32" s="477">
        <f t="shared" si="4"/>
        <v>73.602336000000008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98.244590130070932</v>
      </c>
    </row>
    <row r="33" spans="1:17" s="486" customFormat="1">
      <c r="A33" s="1038" t="s">
        <v>558</v>
      </c>
      <c r="B33" s="978">
        <f ca="1">SUM(B22:B32)</f>
        <v>3028.8238727564622</v>
      </c>
      <c r="C33" s="978">
        <f t="shared" ref="C33:Q33" ca="1" si="18">SUM(C22:C32)</f>
        <v>0</v>
      </c>
      <c r="D33" s="978">
        <f t="shared" ca="1" si="18"/>
        <v>2083.6695567753968</v>
      </c>
      <c r="E33" s="978">
        <f t="shared" si="18"/>
        <v>1025.7982076692649</v>
      </c>
      <c r="F33" s="978">
        <f t="shared" ca="1" si="18"/>
        <v>12713.23872049381</v>
      </c>
      <c r="G33" s="978">
        <f t="shared" si="18"/>
        <v>43645.542853436345</v>
      </c>
      <c r="H33" s="978">
        <f t="shared" si="18"/>
        <v>7299.059593012179</v>
      </c>
      <c r="I33" s="978">
        <f t="shared" si="18"/>
        <v>0</v>
      </c>
      <c r="J33" s="978">
        <f t="shared" si="18"/>
        <v>965.14002832040194</v>
      </c>
      <c r="K33" s="978">
        <f t="shared" si="18"/>
        <v>0</v>
      </c>
      <c r="L33" s="978">
        <f t="shared" ca="1" si="18"/>
        <v>0</v>
      </c>
      <c r="M33" s="978">
        <f t="shared" si="18"/>
        <v>0</v>
      </c>
      <c r="N33" s="978">
        <f t="shared" ca="1" si="18"/>
        <v>0</v>
      </c>
      <c r="O33" s="978">
        <f t="shared" si="18"/>
        <v>0</v>
      </c>
      <c r="P33" s="978">
        <f t="shared" si="18"/>
        <v>0</v>
      </c>
      <c r="Q33" s="978">
        <f t="shared" ca="1" si="18"/>
        <v>70761.272832463845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8113.7159571026823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5033.863049488652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13147.579006591335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0.11279416549597393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0.11279416549597393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2019-08-12T08:23:40Z</dcterms:modified>
</cp:coreProperties>
</file>