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N77" i="14" s="1"/>
  <c r="N9" i="59" s="1"/>
  <c r="I9" i="18"/>
  <c r="I77" i="14" s="1"/>
  <c r="I9" i="59" s="1"/>
  <c r="G9" i="18"/>
  <c r="F9"/>
  <c r="D9"/>
  <c r="E77" i="14" s="1"/>
  <c r="E9" i="59" s="1"/>
  <c r="C9" i="18"/>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O78" l="1"/>
  <c r="O9" i="59"/>
  <c r="O10" s="1"/>
  <c r="O19"/>
  <c r="O20" s="1"/>
  <c r="O90" i="14"/>
  <c r="N19" i="59"/>
  <c r="N90" i="14"/>
  <c r="L18" i="59"/>
  <c r="L20" s="1"/>
  <c r="L90" i="14"/>
  <c r="L78"/>
  <c r="L8" i="59"/>
  <c r="L10" s="1"/>
  <c r="H90" i="14"/>
  <c r="H18" i="59"/>
  <c r="H78" i="14"/>
  <c r="H8" i="59"/>
  <c r="H10" s="1"/>
  <c r="K10"/>
  <c r="P29" i="48"/>
  <c r="L10" i="18"/>
  <c r="K90" i="14"/>
  <c r="O29" i="48"/>
  <c r="P31"/>
  <c r="K10" i="18"/>
  <c r="N20" i="59"/>
  <c r="B17" i="18"/>
  <c r="B20" s="1"/>
  <c r="P25" i="48"/>
  <c r="R25" i="14"/>
  <c r="D10" i="18"/>
  <c r="F13" i="15"/>
  <c r="H20" i="59"/>
  <c r="E89" i="14"/>
  <c r="E19" i="59" s="1"/>
  <c r="E20" s="1"/>
  <c r="C98" i="18"/>
  <c r="B101" s="1"/>
  <c r="C8" s="1"/>
  <c r="E10" i="59"/>
  <c r="K20"/>
  <c r="G78" i="14"/>
  <c r="N10" i="59"/>
  <c r="B8" i="18"/>
  <c r="B10" s="1"/>
  <c r="O19"/>
  <c r="L13" i="15"/>
  <c r="N13"/>
  <c r="Q77" i="14"/>
  <c r="P9" i="59" s="1"/>
  <c r="O9" i="18"/>
  <c r="O18"/>
  <c r="G88" i="14"/>
  <c r="F89"/>
  <c r="I101" i="18"/>
  <c r="H8" s="1"/>
  <c r="E101"/>
  <c r="E8" s="1"/>
  <c r="H101"/>
  <c r="D101"/>
  <c r="G10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G90" l="1"/>
  <c r="G18" i="59"/>
  <c r="G20" s="1"/>
  <c r="C101" i="18"/>
  <c r="J8" s="1"/>
  <c r="C89" i="14"/>
  <c r="C19" i="59" s="1"/>
  <c r="F19"/>
  <c r="B89" i="14"/>
  <c r="B19" i="59" s="1"/>
  <c r="F101" i="18"/>
  <c r="I8"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O8" i="18" l="1"/>
  <c r="O10" s="1"/>
  <c r="M78" i="14"/>
  <c r="M8" i="59"/>
  <c r="M10" s="1"/>
  <c r="F90" i="14"/>
  <c r="F17" i="59"/>
  <c r="F20" s="1"/>
  <c r="I10" i="14"/>
  <c r="I16" s="1"/>
  <c r="H5" i="48"/>
  <c r="H10" i="14"/>
  <c r="H16" s="1"/>
  <c r="G5" i="48"/>
  <c r="M90" i="14"/>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O4" i="48"/>
  <c r="P11" i="14"/>
  <c r="D4" i="48"/>
  <c r="D22" s="1"/>
  <c r="E11" i="14"/>
  <c r="D11"/>
  <c r="C4" i="48"/>
  <c r="F32"/>
  <c r="F27"/>
  <c r="F28"/>
  <c r="F30"/>
  <c r="F24"/>
  <c r="F29"/>
  <c r="F31"/>
  <c r="B10"/>
  <c r="C19" i="14"/>
  <c r="L10"/>
  <c r="L16" s="1"/>
  <c r="L27" s="1"/>
  <c r="K5" i="48"/>
  <c r="D28"/>
  <c r="D32"/>
  <c r="D30"/>
  <c r="D29"/>
  <c r="D31"/>
  <c r="D24"/>
  <c r="L27"/>
  <c r="L32"/>
  <c r="L28"/>
  <c r="L29"/>
  <c r="L22"/>
  <c r="L31"/>
  <c r="L30"/>
  <c r="L24"/>
  <c r="P5"/>
  <c r="P23" s="1"/>
  <c r="Q10" i="14"/>
  <c r="J32" i="48"/>
  <c r="J31"/>
  <c r="J28"/>
  <c r="J27"/>
  <c r="J29"/>
  <c r="J30"/>
  <c r="J24"/>
  <c r="I27"/>
  <c r="I25"/>
  <c r="I32"/>
  <c r="I31"/>
  <c r="I29"/>
  <c r="I26"/>
  <c r="I22"/>
  <c r="I24"/>
  <c r="I28"/>
  <c r="I30"/>
  <c r="H32"/>
  <c r="H25"/>
  <c r="H29"/>
  <c r="H26"/>
  <c r="H28"/>
  <c r="H24"/>
  <c r="H22"/>
  <c r="H30"/>
  <c r="H23"/>
  <c r="G25"/>
  <c r="G29"/>
  <c r="G32"/>
  <c r="G26"/>
  <c r="G30"/>
  <c r="G24"/>
  <c r="G22"/>
  <c r="G23"/>
  <c r="B4"/>
  <c r="C11" i="14"/>
  <c r="N32" i="48"/>
  <c r="N28"/>
  <c r="N27"/>
  <c r="N30"/>
  <c r="N29"/>
  <c r="N24"/>
  <c r="N31"/>
  <c r="E28"/>
  <c r="E32"/>
  <c r="E24"/>
  <c r="E29"/>
  <c r="E31"/>
  <c r="E30"/>
  <c r="M32"/>
  <c r="M26"/>
  <c r="M24"/>
  <c r="M30"/>
  <c r="M22"/>
  <c r="M25"/>
  <c r="M29"/>
  <c r="M23"/>
  <c r="K28"/>
  <c r="K32"/>
  <c r="K27"/>
  <c r="K31"/>
  <c r="K25"/>
  <c r="K29"/>
  <c r="K26"/>
  <c r="K22"/>
  <c r="K24"/>
  <c r="K30"/>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10" i="14" l="1"/>
  <c r="J16" s="1"/>
  <c r="J27" s="1"/>
  <c r="I5" i="48"/>
  <c r="C22" i="14"/>
  <c r="P22" i="48"/>
  <c r="M12" i="22"/>
  <c r="M13" i="48"/>
  <c r="M31" s="1"/>
  <c r="N18" i="14"/>
  <c r="P8" i="48"/>
  <c r="P26" s="1"/>
  <c r="Q13" i="14"/>
  <c r="F20"/>
  <c r="F22" s="1"/>
  <c r="E9" i="48"/>
  <c r="E27" s="1"/>
  <c r="F4"/>
  <c r="F22" s="1"/>
  <c r="G11" i="14"/>
  <c r="G13" i="48"/>
  <c r="H18" i="14"/>
  <c r="H13" i="48"/>
  <c r="H31" s="1"/>
  <c r="I18" i="14"/>
  <c r="K23" i="48"/>
  <c r="K33" s="1"/>
  <c r="K15"/>
  <c r="O22"/>
  <c r="E20" i="14"/>
  <c r="E22" s="1"/>
  <c r="D9" i="48"/>
  <c r="D27" s="1"/>
  <c r="P10" i="14"/>
  <c r="O5" i="48"/>
  <c r="O23" s="1"/>
  <c r="J7"/>
  <c r="J25" s="1"/>
  <c r="K24" i="14"/>
  <c r="K26" s="1"/>
  <c r="C20"/>
  <c r="B9" i="48"/>
  <c r="Q16" i="14"/>
  <c r="Q27" s="1"/>
  <c r="I20" i="15"/>
  <c r="J40" i="14" s="1"/>
  <c r="J46" s="1"/>
  <c r="J61"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E12" i="13"/>
  <c r="F41" i="14" s="1"/>
  <c r="F11"/>
  <c r="E4" i="48"/>
  <c r="J4"/>
  <c r="K11" i="14"/>
  <c r="E7" i="48"/>
  <c r="E25" s="1"/>
  <c r="F24" i="14"/>
  <c r="F26" s="1"/>
  <c r="N20"/>
  <c r="M9" i="48"/>
  <c r="O22" i="16"/>
  <c r="P43" i="14" s="1"/>
  <c r="O8" i="48"/>
  <c r="O26" s="1"/>
  <c r="P13" i="14"/>
  <c r="P16"/>
  <c r="P27" s="1"/>
  <c r="N22"/>
  <c r="N27" s="1"/>
  <c r="J63"/>
  <c r="P46"/>
  <c r="P61" s="1"/>
  <c r="O15" i="48"/>
  <c r="P15"/>
  <c r="O33"/>
  <c r="P33"/>
  <c r="H19" i="14"/>
  <c r="R19" s="1"/>
  <c r="G10" i="48"/>
  <c r="I23"/>
  <c r="I33" s="1"/>
  <c r="I15"/>
  <c r="Q13"/>
  <c r="G31"/>
  <c r="I20" i="14"/>
  <c r="I22" s="1"/>
  <c r="I27" s="1"/>
  <c r="H9" i="48"/>
  <c r="R18" i="14"/>
  <c r="Q63"/>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52" l="1"/>
  <c r="H61" s="1"/>
  <c r="H20"/>
  <c r="G9" i="48"/>
  <c r="H27"/>
  <c r="H33" s="1"/>
  <c r="H15"/>
  <c r="K10" i="14"/>
  <c r="J5" i="48"/>
  <c r="J23" s="1"/>
  <c r="P63" i="14"/>
  <c r="R11"/>
  <c r="F10"/>
  <c r="E5" i="48"/>
  <c r="E23" s="1"/>
  <c r="G28"/>
  <c r="Q10"/>
  <c r="M27"/>
  <c r="M33" s="1"/>
  <c r="M15"/>
  <c r="E22"/>
  <c r="Q4"/>
  <c r="J22"/>
  <c r="R24" i="14"/>
  <c r="R26" s="1"/>
  <c r="Q7" i="48"/>
  <c r="E20" i="15"/>
  <c r="F40" i="14" s="1"/>
  <c r="J18" i="16"/>
  <c r="E18"/>
  <c r="F18"/>
  <c r="F22" s="1"/>
  <c r="G43" i="14" s="1"/>
  <c r="N18" i="16"/>
  <c r="G18" i="22"/>
  <c r="H50" i="14" s="1"/>
  <c r="H18" i="22"/>
  <c r="I50" i="14" s="1"/>
  <c r="I52" s="1"/>
  <c r="I61" s="1"/>
  <c r="I63" s="1"/>
  <c r="J22" i="16" l="1"/>
  <c r="K43" i="14" s="1"/>
  <c r="K46" s="1"/>
  <c r="K61" s="1"/>
  <c r="K13"/>
  <c r="K16" s="1"/>
  <c r="K27" s="1"/>
  <c r="J8" i="48"/>
  <c r="R20" i="14"/>
  <c r="R22" s="1"/>
  <c r="H22"/>
  <c r="H27" s="1"/>
  <c r="G27" i="48"/>
  <c r="G33" s="1"/>
  <c r="G15"/>
  <c r="Q9"/>
  <c r="H63" i="14"/>
  <c r="F13"/>
  <c r="F16" s="1"/>
  <c r="F27" s="1"/>
  <c r="E8" i="48"/>
  <c r="E22" i="16"/>
  <c r="F43" i="14" s="1"/>
  <c r="F46" s="1"/>
  <c r="F61" s="1"/>
  <c r="N8" i="48"/>
  <c r="N26" s="1"/>
  <c r="O13" i="14"/>
  <c r="N22" i="16"/>
  <c r="O43" i="14" s="1"/>
  <c r="G13"/>
  <c r="F8" i="48"/>
  <c r="F63" i="14" l="1"/>
  <c r="J26" i="48"/>
  <c r="J33" s="1"/>
  <c r="J15"/>
  <c r="E26"/>
  <c r="E33" s="1"/>
  <c r="E15"/>
  <c r="K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<sst xmlns="http://schemas.openxmlformats.org/spreadsheetml/2006/main" count="2392" uniqueCount="890">
  <si>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</si>
  <si>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</si>
  <si>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</si>
  <si>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</si>
  <si>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</si>
  <si>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</si>
  <si>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</si>
  <si>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</si>
  <si>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</si>
  <si>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</si>
  <si>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</si>
  <si>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</si>
  <si>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</si>
  <si>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</si>
  <si>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</si>
  <si>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</si>
  <si>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</si>
  <si>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</si>
  <si>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</si>
  <si>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</si>
  <si>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</si>
  <si>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</si>
  <si>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</si>
  <si>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</si>
  <si>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</si>
  <si>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</si>
  <si>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</si>
  <si>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</si>
  <si>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</si>
  <si>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</si>
  <si>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</si>
  <si>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</si>
  <si>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</si>
  <si>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</si>
  <si>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</si>
  <si>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</si>
  <si>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</si>
  <si>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</si>
  <si>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</si>
  <si>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</si>
  <si>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</si>
  <si>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</si>
  <si>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</si>
  <si>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</si>
  <si>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</si>
  <si>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</si>
  <si>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</si>
  <si>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</si>
  <si>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</si>
  <si>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</si>
  <si>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</si>
  <si>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</si>
  <si>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</si>
  <si>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</si>
  <si>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</si>
  <si>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</si>
  <si>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</si>
  <si>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</si>
  <si>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</si>
  <si>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</si>
  <si>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</si>
  <si>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</si>
  <si>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</si>
  <si>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</si>
  <si>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</si>
  <si>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</si>
  <si>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</si>
  <si>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</si>
  <si>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</si>
  <si>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</si>
  <si>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</si>
  <si>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</si>
  <si>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</si>
  <si>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</si>
  <si>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</si>
  <si>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</si>
  <si>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</si>
  <si>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</si>
  <si>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</si>
  <si>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</si>
  <si>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</si>
  <si>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</si>
  <si>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</si>
  <si>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</si>
  <si>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</si>
  <si>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</si>
  <si>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</si>
  <si>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</si>
  <si>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</si>
  <si>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</si>
  <si>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</si>
  <si>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</si>
  <si>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</si>
  <si>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</si>
  <si>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</si>
  <si>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</si>
  <si>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</si>
  <si>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</si>
  <si>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</si>
  <si>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</si>
  <si>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</si>
  <si>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</si>
  <si>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</si>
  <si>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</si>
  <si>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</si>
  <si>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</si>
  <si>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</si>
  <si>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</si>
  <si>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</si>
  <si>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</si>
  <si>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</si>
  <si>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</si>
  <si>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</si>
  <si>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</si>
  <si>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</si>
  <si>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</si>
  <si>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</si>
  <si>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</si>
  <si>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</si>
  <si>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</si>
  <si>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</si>
  <si>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</si>
  <si>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</si>
  <si>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</si>
  <si>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</si>
  <si>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</si>
  <si>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</si>
  <si>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</si>
  <si>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</si>
  <si>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</si>
  <si>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</si>
  <si>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</si>
  <si>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</si>
  <si>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</si>
  <si>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</si>
  <si>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</si>
  <si>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</si>
  <si>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</si>
  <si>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</si>
  <si>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</si>
  <si>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</si>
  <si>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</si>
  <si>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</si>
  <si>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</si>
  <si>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</si>
  <si>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</si>
  <si>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</si>
  <si>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</si>
  <si>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</si>
  <si>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</si>
  <si>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</si>
  <si>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</si>
  <si>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</si>
  <si>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</si>
  <si>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</si>
  <si>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</si>
  <si>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</si>
  <si>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</si>
  <si>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</si>
  <si>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</si>
  <si>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</si>
  <si>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</si>
  <si>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</si>
  <si>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</si>
  <si>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</si>
  <si>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</si>
  <si>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</si>
  <si>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</si>
  <si>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</si>
  <si>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</si>
  <si>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</si>
  <si>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</si>
  <si>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</si>
  <si>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</si>
  <si>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</si>
  <si>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</si>
  <si>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</si>
  <si>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</si>
  <si>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</si>
  <si>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</si>
  <si>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</si>
  <si>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</si>
  <si>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</si>
  <si>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</si>
  <si>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</si>
  <si>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</si>
  <si>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</si>
  <si>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</si>
  <si>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</si>
  <si>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</si>
  <si>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</si>
  <si>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</si>
  <si>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</si>
  <si>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</si>
  <si>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</si>
  <si>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</si>
  <si>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</si>
  <si>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</si>
  <si>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</si>
  <si>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</si>
  <si>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</si>
  <si>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</si>
  <si>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</si>
  <si>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</si>
  <si>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</si>
  <si>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</si>
  <si>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</si>
  <si>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</si>
  <si>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</si>
  <si>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</si>
  <si>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</si>
  <si>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</si>
  <si>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</si>
  <si>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</si>
  <si>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</si>
  <si>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</si>
  <si>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</si>
  <si>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</si>
  <si>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</si>
  <si>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</si>
  <si>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</si>
  <si>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</si>
  <si>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</si>
  <si>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</si>
  <si>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</si>
  <si>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</si>
  <si>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</si>
  <si>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</si>
  <si>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</si>
  <si>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</si>
  <si>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</si>
  <si>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</si>
  <si>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</si>
  <si>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</si>
  <si>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</si>
  <si>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</si>
  <si>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</si>
  <si>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</si>
  <si>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</si>
  <si>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</si>
  <si>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</si>
  <si>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</si>
  <si>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</si>
  <si>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</si>
  <si>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</si>
  <si>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</si>
  <si>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</si>
  <si>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</si>
  <si>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</si>
  <si>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</si>
  <si>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</si>
  <si>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</si>
  <si>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</si>
  <si>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</si>
  <si>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</si>
  <si>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</si>
  <si>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</si>
  <si>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</si>
  <si>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</si>
  <si>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</si>
  <si>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</si>
  <si>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</si>
  <si>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</si>
  <si>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</si>
  <si>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</si>
  <si>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</si>
  <si>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</si>
  <si>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</si>
  <si>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</si>
  <si>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</si>
  <si>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</si>
  <si>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</si>
  <si>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</si>
  <si>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</si>
  <si>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</si>
  <si>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</si>
  <si>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</si>
  <si>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</si>
  <si>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</si>
  <si>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</si>
  <si>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</si>
  <si>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</si>
  <si>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</si>
  <si>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</si>
  <si>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</si>
  <si>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</si>
  <si>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</si>
  <si>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</si>
  <si>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</si>
  <si>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</si>
  <si>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</si>
  <si>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</si>
  <si>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</si>
  <si>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</si>
  <si>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</si>
  <si>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</si>
  <si>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</si>
  <si>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</si>
  <si>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</si>
  <si>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</si>
  <si>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</si>
  <si>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</si>
  <si>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</si>
  <si>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</si>
  <si>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</si>
  <si>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</si>
  <si>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</si>
  <si>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</si>
  <si>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</si>
  <si>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</si>
  <si>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</si>
  <si>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</si>
  <si>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</si>
  <si>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</si>
  <si>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</si>
  <si>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</si>
  <si>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</si>
  <si>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</si>
  <si>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</si>
  <si>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</si>
  <si>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</si>
  <si>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</si>
  <si>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</si>
  <si>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</si>
  <si>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</si>
  <si>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</si>
  <si>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</si>
  <si>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</si>
  <si>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</si>
  <si>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</si>
  <si>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</si>
  <si>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</si>
  <si>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</si>
  <si>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</si>
  <si>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</si>
  <si>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</si>
  <si>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</si>
  <si>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</si>
  <si>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</si>
  <si>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</si>
  <si>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</si>
  <si>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</si>
  <si>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</si>
  <si>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</si>
  <si>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</si>
  <si>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</si>
  <si>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</si>
  <si>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</si>
  <si>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</si>
  <si>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</si>
  <si>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</si>
  <si>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</si>
  <si>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</si>
  <si>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</si>
  <si>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</si>
  <si>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</si>
  <si>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</si>
  <si>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</si>
  <si>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</si>
  <si>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</si>
  <si>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</si>
  <si>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</si>
  <si>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</si>
  <si>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</si>
  <si>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</si>
  <si>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</si>
  <si>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</si>
  <si>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</si>
  <si>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</si>
  <si>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</si>
  <si>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</si>
  <si>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</si>
  <si>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</si>
  <si>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</si>
  <si>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</si>
  <si>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</si>
  <si>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</si>
  <si>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</si>
  <si>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</si>
  <si>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</si>
  <si>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</si>
  <si>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</si>
  <si>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</si>
  <si>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</si>
  <si>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</si>
  <si>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</si>
  <si>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</si>
  <si>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</si>
  <si>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</si>
  <si>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</si>
  <si>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</si>
  <si>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</si>
  <si>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</si>
  <si>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</si>
  <si>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</si>
  <si>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</si>
  <si>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</si>
  <si>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</si>
  <si>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</si>
  <si>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</si>
  <si>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</si>
  <si>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</si>
  <si>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</si>
  <si>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</si>
  <si>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</si>
  <si>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</si>
  <si>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</si>
  <si>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</si>
  <si>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</si>
  <si>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</si>
  <si>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</si>
  <si>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</si>
  <si>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</si>
  <si>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</si>
  <si>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</si>
  <si>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</si>
  <si>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</si>
  <si>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</si>
  <si>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</si>
  <si>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</si>
  <si>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</si>
  <si>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</si>
  <si>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</si>
  <si>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</si>
  <si>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</si>
  <si>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</si>
  <si>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</si>
  <si>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</si>
  <si>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</si>
  <si>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</si>
  <si>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</si>
  <si>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</si>
  <si>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</si>
  <si>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</si>
  <si>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</si>
  <si>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</si>
  <si>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</si>
  <si>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</si>
  <si>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</si>
  <si>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</si>
  <si>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</si>
  <si>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</si>
  <si>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</si>
  <si>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</si>
  <si>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</si>
  <si>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</si>
  <si>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</si>
  <si>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</si>
  <si>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</si>
  <si>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</si>
  <si>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</si>
  <si>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</si>
  <si>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</si>
  <si>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</si>
  <si>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</si>
  <si>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</si>
  <si>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</si>
  <si>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</si>
  <si>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</si>
  <si>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</si>
  <si>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</si>
  <si>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</si>
  <si>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</si>
  <si>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</si>
  <si>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</si>
  <si>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</si>
  <si>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</si>
  <si>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</si>
  <si>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</si>
  <si>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</si>
  <si>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</si>
  <si>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</si>
  <si>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</si>
  <si>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</si>
  <si>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</si>
  <si>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</si>
  <si>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</si>
  <si>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</si>
  <si>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</si>
  <si>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</si>
  <si>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</si>
  <si>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</si>
  <si>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</si>
  <si>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</si>
  <si>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</si>
  <si>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</si>
  <si>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</si>
  <si>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</si>
  <si>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</si>
  <si>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</si>
  <si>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</si>
  <si>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</si>
  <si>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</si>
  <si>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</si>
  <si>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</si>
  <si>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</si>
  <si>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</si>
  <si>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</si>
  <si>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</si>
  <si>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</si>
  <si>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</si>
  <si>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</si>
  <si>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</si>
  <si>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</si>
  <si>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</si>
  <si>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</si>
  <si>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</si>
  <si>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</si>
  <si>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</si>
  <si>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</si>
  <si>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</si>
  <si>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</si>
  <si>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</si>
  <si>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</si>
  <si>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</si>
  <si>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</si>
  <si>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</si>
  <si>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</si>
  <si>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</si>
  <si>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</si>
  <si>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</si>
  <si>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</si>
  <si>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</si>
  <si>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</si>
  <si>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</si>
  <si>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</si>
  <si>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</si>
  <si>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</si>
  <si>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</si>
  <si>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</si>
  <si>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</si>
  <si>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</si>
  <si>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</si>
  <si>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</si>
  <si>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</si>
  <si>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</si>
  <si>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</si>
  <si>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</si>
  <si>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</si>
  <si>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</si>
  <si>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</si>
  <si>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</si>
  <si>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</si>
  <si>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</si>
  <si>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</si>
  <si>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</si>
  <si>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</si>
  <si>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</si>
  <si>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</si>
  <si>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</si>
  <si>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</si>
  <si>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</si>
  <si>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</si>
  <si>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</si>
  <si>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</si>
  <si>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</si>
  <si>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</si>
  <si>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</si>
  <si>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</si>
  <si>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</si>
  <si>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</si>
  <si>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</si>
  <si>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</si>
  <si>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</si>
  <si>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</si>
  <si>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</si>
  <si>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</si>
  <si>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</si>
  <si>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</si>
  <si>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</si>
  <si>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</si>
  <si>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</si>
  <si>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</si>
  <si>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</si>
  <si>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</si>
  <si>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</si>
  <si>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</si>
  <si>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</si>
  <si>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</si>
  <si>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</si>
  <si>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</si>
  <si>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</si>
  <si>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</si>
  <si>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</si>
  <si>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</si>
  <si>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</si>
  <si>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</si>
  <si>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</si>
  <si>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</si>
  <si>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</si>
  <si>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</si>
  <si>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</si>
  <si>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</si>
  <si>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</si>
  <si>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</si>
  <si>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</si>
  <si>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</si>
  <si>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</si>
  <si>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</si>
  <si>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</si>
  <si>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</si>
  <si>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</si>
  <si>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</si>
  <si>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</si>
  <si>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</si>
  <si>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</si>
  <si>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</si>
  <si>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</si>
  <si>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</si>
  <si>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</si>
  <si>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</si>
  <si>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</si>
  <si>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</si>
  <si>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</si>
  <si>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</si>
  <si>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</si>
  <si>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</si>
  <si>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</si>
  <si>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</si>
  <si>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</si>
  <si>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</si>
  <si>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</si>
  <si>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</si>
  <si>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</si>
  <si>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</si>
  <si>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</si>
  <si>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</si>
  <si>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</si>
  <si>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</si>
  <si>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</si>
  <si>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</si>
  <si>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</si>
  <si>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</si>
  <si>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</si>
  <si>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</si>
  <si>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</si>
  <si>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</si>
  <si>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</si>
  <si>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</si>
  <si>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</si>
  <si>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</si>
  <si>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</si>
  <si>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</si>
  <si>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</si>
  <si>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</si>
  <si>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</si>
  <si>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</si>
  <si>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</si>
  <si>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</si>
  <si>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</si>
  <si>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</si>
  <si>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</si>
  <si>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</si>
  <si>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</si>
  <si>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</si>
  <si>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</si>
  <si>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</si>
  <si>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</si>
  <si>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</si>
  <si>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</si>
  <si>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</si>
  <si>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</si>
  <si>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</si>
  <si>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</si>
  <si>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</si>
  <si>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</si>
  <si>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</si>
  <si>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</si>
  <si>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</si>
  <si>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</si>
  <si>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</si>
  <si>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</si>
  <si>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</si>
  <si>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</si>
  <si>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</si>
  <si>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</si>
  <si>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</si>
  <si>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</si>
  <si>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</si>
  <si>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</si>
  <si>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</si>
  <si>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</si>
  <si>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</si>
  <si>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</si>
  <si>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</si>
  <si>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</si>
  <si>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</si>
  <si>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</si>
  <si>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</si>
  <si>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</si>
  <si>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</si>
  <si>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</si>
  <si>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</si>
  <si>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</si>
  <si>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</si>
  <si>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</si>
  <si>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</si>
  <si>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</si>
  <si>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</si>
  <si>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</si>
  <si>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</si>
  <si>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</si>
  <si>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</si>
  <si>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</si>
  <si>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</si>
  <si>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</si>
  <si>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</si>
  <si>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</si>
  <si>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</si>
  <si>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</si>
  <si>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</si>
  <si>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</si>
  <si>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</si>
  <si>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</si>
  <si>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</si>
  <si>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</si>
  <si>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</si>
  <si>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</si>
  <si>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</si>
  <si>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</si>
  <si>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</si>
  <si>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</si>
  <si>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</si>
  <si>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</si>
  <si>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</si>
  <si>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</si>
  <si>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</si>
  <si>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</si>
  <si>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</si>
  <si>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</si>
  <si>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</si>
  <si>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</si>
  <si>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</si>
  <si>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</si>
  <si>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</si>
  <si>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</si>
  <si>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</si>
  <si>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</si>
  <si>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</si>
  <si>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</si>
  <si>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</si>
  <si>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</si>
  <si>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</si>
  <si>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</si>
  <si>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</si>
  <si>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</si>
  <si>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</si>
  <si>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</si>
  <si>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</si>
  <si>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</si>
  <si>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</si>
  <si>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</si>
  <si>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</si>
  <si>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</si>
  <si>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</si>
  <si>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</si>
  <si>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</si>
  <si>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</si>
  <si>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</si>
  <si>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</si>
  <si>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</si>
  <si>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</si>
  <si>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</si>
  <si>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</si>
  <si>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</si>
  <si>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</si>
  <si>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</si>
  <si>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</si>
  <si>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</si>
  <si>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</si>
  <si>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</si>
  <si>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</si>
  <si>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</si>
  <si>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</si>
  <si>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</si>
  <si>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</si>
  <si>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</si>
  <si>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</si>
  <si>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</si>
  <si>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</si>
  <si>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</si>
  <si>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</si>
  <si>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</si>
  <si>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</si>
  <si>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</si>
  <si>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</si>
  <si>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</si>
  <si>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</si>
  <si>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</si>
  <si>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</si>
  <si>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</si>
  <si>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</si>
  <si>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</si>
  <si>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</si>
  <si>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</si>
  <si>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</si>
  <si>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</si>
  <si>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</si>
  <si>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</si>
  <si>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</si>
  <si>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</si>
  <si>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</si>
  <si>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</si>
  <si>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</si>
  <si>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</si>
  <si>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</si>
  <si>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</si>
  <si>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</si>
  <si>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</si>
  <si>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</si>
  <si>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</si>
  <si>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</si>
  <si>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</si>
  <si>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</si>
  <si>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</si>
  <si>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</si>
  <si>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</si>
  <si>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</si>
  <si>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</si>
  <si>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</si>
  <si>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</si>
  <si>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</si>
  <si>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</si>
  <si>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</si>
  <si>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</si>
  <si>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</si>
  <si>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</si>
  <si>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</si>
  <si>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</si>
  <si>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</si>
  <si>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</si>
  <si>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</si>
  <si>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</si>
  <si>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</si>
  <si>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</si>
  <si>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</si>
  <si>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</si>
  <si>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</si>
  <si>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</si>
  <si>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</si>
  <si>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</si>
  <si>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</si>
  <si>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</si>
  <si>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</si>
  <si>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</si>
  <si>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</si>
  <si>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</si>
  <si>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</si>
  <si>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</si>
  <si>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</si>
  <si>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</si>
  <si>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</si>
  <si>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</si>
  <si>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</si>
  <si>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</si>
  <si>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</si>
  <si>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</si>
  <si>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</si>
  <si>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</si>
  <si>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</si>
  <si>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</si>
  <si>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</si>
  <si>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</si>
  <si>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</si>
  <si>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</si>
  <si>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</si>
  <si>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</si>
  <si>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</si>
  <si>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</si>
  <si>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</si>
  <si>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</si>
  <si>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</si>
  <si>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</si>
  <si>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</si>
  <si>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</si>
  <si>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</si>
  <si>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</si>
  <si>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</si>
  <si>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</si>
  <si>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</si>
  <si>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</si>
  <si>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</si>
  <si>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24001</t>
  </si>
  <si>
    <t>AARSCHOT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</si>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</sst>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259589.23145572699</c:v>
                </c:pt>
                <c:pt idx="1">
                  <c:v>98990.352041787846</c:v>
                </c:pt>
                <c:pt idx="2">
                  <c:v>1838.431</c:v>
                </c:pt>
                <c:pt idx="3">
                  <c:v>13510.985093908566</c:v>
                </c:pt>
                <c:pt idx="4">
                  <c:v>61755.532901983883</c:v>
                </c:pt>
                <c:pt idx="5">
                  <c:v>311902.50087450194</c:v>
                </c:pt>
                <c:pt idx="6">
                  <c:v>3945.9486074161337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259589.23145572699</c:v>
                </c:pt>
                <c:pt idx="1">
                  <c:v>98990.352041787846</c:v>
                </c:pt>
                <c:pt idx="2">
                  <c:v>1838.431</c:v>
                </c:pt>
                <c:pt idx="3">
                  <c:v>13510.985093908566</c:v>
                </c:pt>
                <c:pt idx="4">
                  <c:v>61755.532901983883</c:v>
                </c:pt>
                <c:pt idx="5">
                  <c:v>311902.50087450194</c:v>
                </c:pt>
                <c:pt idx="6">
                  <c:v>3945.9486074161337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55596.387346523385</c:v>
                </c:pt>
                <c:pt idx="2">
                  <c:v>19537.095578981862</c:v>
                </c:pt>
                <c:pt idx="3">
                  <c:v>378.76526650443355</c:v>
                </c:pt>
                <c:pt idx="4">
                  <c:v>3321.0757383962678</c:v>
                </c:pt>
                <c:pt idx="5">
                  <c:v>11286.342722042831</c:v>
                </c:pt>
                <c:pt idx="6">
                  <c:v>79820.521473727305</c:v>
                </c:pt>
                <c:pt idx="7">
                  <c:v>1021.872092000202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13568"/>
      </c:barChart>
      <c:catAx>
        <c:axId val="183823360"/>
        <c:scaling>
          <c:orientation val="minMax"/>
        </c:scaling>
        <c:axPos val="b"/>
        <c:numFmt formatCode="General" sourceLinked="0"/>
        <c:tickLblPos val="nextTo"/>
        <c:crossAx val="184013568"/>
        <c:crosses val="autoZero"/>
        <c:auto val="1"/>
        <c:lblAlgn val="ctr"/>
        <c:lblOffset val="100"/>
      </c:catAx>
      <c:valAx>
        <c:axId val="18401356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55596.387346523385</c:v>
                </c:pt>
                <c:pt idx="2">
                  <c:v>19537.095578981862</c:v>
                </c:pt>
                <c:pt idx="3">
                  <c:v>378.76526650443355</c:v>
                </c:pt>
                <c:pt idx="4">
                  <c:v>3321.0757383962678</c:v>
                </c:pt>
                <c:pt idx="5">
                  <c:v>11286.342722042831</c:v>
                </c:pt>
                <c:pt idx="6">
                  <c:v>79820.521473727305</c:v>
                </c:pt>
                <c:pt idx="7">
                  <c:v>1021.872092000202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24001</v>
      </c>
      <c r="B6" s="415"/>
      <c r="C6" s="416"/>
    </row>
    <row r="7" spans="1:7" s="413" customFormat="1" ht="15.75" customHeight="1">
      <c r="A7" s="417" t="str">
        <f>txtMunicipality</f>
        <v>AARSCHOT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0.20602637058689369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0.20602637058689369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13099</v>
      </c>
      <c r="C9" s="342">
        <v>13373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1586.7</v>
      </c>
    </row>
    <row r="15" spans="1:6">
      <c r="A15" s="348" t="s">
        <v>184</v>
      </c>
      <c r="B15" s="334">
        <v>669</v>
      </c>
    </row>
    <row r="16" spans="1:6">
      <c r="A16" s="348" t="s">
        <v>6</v>
      </c>
      <c r="B16" s="334">
        <v>133</v>
      </c>
    </row>
    <row r="17" spans="1:6">
      <c r="A17" s="348" t="s">
        <v>7</v>
      </c>
      <c r="B17" s="334">
        <v>199</v>
      </c>
    </row>
    <row r="18" spans="1:6">
      <c r="A18" s="348" t="s">
        <v>8</v>
      </c>
      <c r="B18" s="334">
        <v>344</v>
      </c>
    </row>
    <row r="19" spans="1:6">
      <c r="A19" s="348" t="s">
        <v>9</v>
      </c>
      <c r="B19" s="334">
        <v>246</v>
      </c>
    </row>
    <row r="20" spans="1:6">
      <c r="A20" s="348" t="s">
        <v>10</v>
      </c>
      <c r="B20" s="334">
        <v>131</v>
      </c>
    </row>
    <row r="21" spans="1:6">
      <c r="A21" s="348" t="s">
        <v>11</v>
      </c>
      <c r="B21" s="334">
        <v>198</v>
      </c>
    </row>
    <row r="22" spans="1:6">
      <c r="A22" s="348" t="s">
        <v>12</v>
      </c>
      <c r="B22" s="334">
        <v>534</v>
      </c>
    </row>
    <row r="23" spans="1:6">
      <c r="A23" s="348" t="s">
        <v>13</v>
      </c>
      <c r="B23" s="334">
        <v>0</v>
      </c>
    </row>
    <row r="24" spans="1:6">
      <c r="A24" s="348" t="s">
        <v>14</v>
      </c>
      <c r="B24" s="334">
        <v>0</v>
      </c>
    </row>
    <row r="25" spans="1:6">
      <c r="A25" s="348" t="s">
        <v>15</v>
      </c>
      <c r="B25" s="334">
        <v>85</v>
      </c>
    </row>
    <row r="26" spans="1:6">
      <c r="A26" s="348" t="s">
        <v>16</v>
      </c>
      <c r="B26" s="334">
        <v>328</v>
      </c>
    </row>
    <row r="27" spans="1:6">
      <c r="A27" s="348" t="s">
        <v>17</v>
      </c>
      <c r="B27" s="334">
        <v>3</v>
      </c>
    </row>
    <row r="28" spans="1:6" s="356" customFormat="1">
      <c r="A28" s="355" t="s">
        <v>18</v>
      </c>
      <c r="B28" s="355">
        <v>11395</v>
      </c>
    </row>
    <row r="29" spans="1:6">
      <c r="A29" s="355" t="s">
        <v>884</v>
      </c>
      <c r="B29" s="355">
        <v>233</v>
      </c>
      <c r="C29" s="356"/>
      <c r="D29" s="356"/>
      <c r="E29" s="356"/>
      <c r="F29" s="356"/>
    </row>
    <row r="30" spans="1:6">
      <c r="A30" s="355" t="s">
        <v>885</v>
      </c>
      <c r="B30" s="341">
        <v>39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4268.7016149999999</v>
      </c>
    </row>
    <row r="39" spans="1:6">
      <c r="A39" s="348" t="s">
        <v>30</v>
      </c>
      <c r="B39" s="348" t="s">
        <v>31</v>
      </c>
      <c r="C39" s="334">
        <v>6214</v>
      </c>
      <c r="D39" s="334">
        <v>88551804.033000007</v>
      </c>
      <c r="E39" s="334">
        <v>13027</v>
      </c>
      <c r="F39" s="334">
        <v>46680195.395000003</v>
      </c>
    </row>
    <row r="40" spans="1:6">
      <c r="A40" s="348" t="s">
        <v>30</v>
      </c>
      <c r="B40" s="348" t="s">
        <v>29</v>
      </c>
      <c r="C40" s="334">
        <v>0</v>
      </c>
      <c r="D40" s="334">
        <v>0</v>
      </c>
      <c r="E40" s="334">
        <v>0</v>
      </c>
      <c r="F40" s="334">
        <v>0</v>
      </c>
    </row>
    <row r="41" spans="1:6">
      <c r="A41" s="348" t="s">
        <v>32</v>
      </c>
      <c r="B41" s="348" t="s">
        <v>33</v>
      </c>
      <c r="C41" s="334">
        <v>53</v>
      </c>
      <c r="D41" s="334">
        <v>1464480.2634999999</v>
      </c>
      <c r="E41" s="334">
        <v>222</v>
      </c>
      <c r="F41" s="334">
        <v>2318077.9944000002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103614.36434</v>
      </c>
      <c r="E44" s="334">
        <v>20</v>
      </c>
      <c r="F44" s="334">
        <v>773562.57562000002</v>
      </c>
    </row>
    <row r="45" spans="1:6">
      <c r="A45" s="348" t="s">
        <v>32</v>
      </c>
      <c r="B45" s="348" t="s">
        <v>37</v>
      </c>
      <c r="C45" s="334">
        <v>0</v>
      </c>
      <c r="D45" s="334">
        <v>0</v>
      </c>
      <c r="E45" s="334">
        <v>4</v>
      </c>
      <c r="F45" s="334">
        <v>609007.83112999995</v>
      </c>
    </row>
    <row r="46" spans="1:6">
      <c r="A46" s="348" t="s">
        <v>32</v>
      </c>
      <c r="B46" s="348" t="s">
        <v>38</v>
      </c>
      <c r="C46" s="334">
        <v>0</v>
      </c>
      <c r="D46" s="334">
        <v>0</v>
      </c>
      <c r="E46" s="334">
        <v>0</v>
      </c>
      <c r="F46" s="334">
        <v>0</v>
      </c>
    </row>
    <row r="47" spans="1:6">
      <c r="A47" s="348" t="s">
        <v>32</v>
      </c>
      <c r="B47" s="348" t="s">
        <v>39</v>
      </c>
      <c r="C47" s="334">
        <v>0</v>
      </c>
      <c r="D47" s="334">
        <v>0</v>
      </c>
      <c r="E47" s="334">
        <v>16</v>
      </c>
      <c r="F47" s="334">
        <v>2085085.6078999999</v>
      </c>
    </row>
    <row r="48" spans="1:6">
      <c r="A48" s="348" t="s">
        <v>32</v>
      </c>
      <c r="B48" s="348" t="s">
        <v>29</v>
      </c>
      <c r="C48" s="334">
        <v>50</v>
      </c>
      <c r="D48" s="334">
        <v>11823935.83</v>
      </c>
      <c r="E48" s="334">
        <v>74</v>
      </c>
      <c r="F48" s="334">
        <v>23838403.864886507</v>
      </c>
    </row>
    <row r="49" spans="1:6">
      <c r="A49" s="348" t="s">
        <v>32</v>
      </c>
      <c r="B49" s="348" t="s">
        <v>40</v>
      </c>
      <c r="C49" s="334">
        <v>0</v>
      </c>
      <c r="D49" s="334">
        <v>0</v>
      </c>
      <c r="E49" s="334">
        <v>3</v>
      </c>
      <c r="F49" s="334">
        <v>12980.295816</v>
      </c>
    </row>
    <row r="50" spans="1:6">
      <c r="A50" s="348" t="s">
        <v>32</v>
      </c>
      <c r="B50" s="348" t="s">
        <v>41</v>
      </c>
      <c r="C50" s="334">
        <v>12</v>
      </c>
      <c r="D50" s="334">
        <v>316111.38060999999</v>
      </c>
      <c r="E50" s="334">
        <v>14</v>
      </c>
      <c r="F50" s="334">
        <v>272988.42222000001</v>
      </c>
    </row>
    <row r="51" spans="1:6">
      <c r="A51" s="348" t="s">
        <v>42</v>
      </c>
      <c r="B51" s="348" t="s">
        <v>43</v>
      </c>
      <c r="C51" s="334">
        <v>0</v>
      </c>
      <c r="D51" s="334">
        <v>0</v>
      </c>
      <c r="E51" s="334">
        <v>39</v>
      </c>
      <c r="F51" s="334">
        <v>2025987.7013000001</v>
      </c>
    </row>
    <row r="52" spans="1:6">
      <c r="A52" s="348" t="s">
        <v>42</v>
      </c>
      <c r="B52" s="348" t="s">
        <v>29</v>
      </c>
      <c r="C52" s="334">
        <v>5</v>
      </c>
      <c r="D52" s="334">
        <v>2993134.8265999998</v>
      </c>
      <c r="E52" s="334">
        <v>19</v>
      </c>
      <c r="F52" s="334">
        <v>214698.79342999999</v>
      </c>
    </row>
    <row r="53" spans="1:6">
      <c r="A53" s="348" t="s">
        <v>44</v>
      </c>
      <c r="B53" s="348" t="s">
        <v>45</v>
      </c>
      <c r="C53" s="334">
        <v>203</v>
      </c>
      <c r="D53" s="334">
        <v>4371849.6415999997</v>
      </c>
      <c r="E53" s="334">
        <v>585</v>
      </c>
      <c r="F53" s="334">
        <v>1746261.4875</v>
      </c>
    </row>
    <row r="54" spans="1:6">
      <c r="A54" s="348" t="s">
        <v>46</v>
      </c>
      <c r="B54" s="348" t="s">
        <v>47</v>
      </c>
      <c r="C54" s="334">
        <v>0</v>
      </c>
      <c r="D54" s="334">
        <v>0</v>
      </c>
      <c r="E54" s="334">
        <v>1</v>
      </c>
      <c r="F54" s="334">
        <v>1838431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89</v>
      </c>
      <c r="D57" s="334">
        <v>14097781.159</v>
      </c>
      <c r="E57" s="334">
        <v>283</v>
      </c>
      <c r="F57" s="334">
        <v>7274706.1036</v>
      </c>
    </row>
    <row r="58" spans="1:6">
      <c r="A58" s="348" t="s">
        <v>49</v>
      </c>
      <c r="B58" s="348" t="s">
        <v>51</v>
      </c>
      <c r="C58" s="334">
        <v>60</v>
      </c>
      <c r="D58" s="334">
        <v>6838037.4250999996</v>
      </c>
      <c r="E58" s="334">
        <v>142</v>
      </c>
      <c r="F58" s="334">
        <v>3696751.9978</v>
      </c>
    </row>
    <row r="59" spans="1:6">
      <c r="A59" s="348" t="s">
        <v>49</v>
      </c>
      <c r="B59" s="348" t="s">
        <v>52</v>
      </c>
      <c r="C59" s="334">
        <v>175</v>
      </c>
      <c r="D59" s="334">
        <v>8258792.4271999998</v>
      </c>
      <c r="E59" s="334">
        <v>393</v>
      </c>
      <c r="F59" s="334">
        <v>12902038.211999999</v>
      </c>
    </row>
    <row r="60" spans="1:6">
      <c r="A60" s="348" t="s">
        <v>49</v>
      </c>
      <c r="B60" s="348" t="s">
        <v>53</v>
      </c>
      <c r="C60" s="334">
        <v>105</v>
      </c>
      <c r="D60" s="334">
        <v>4523003.4977000002</v>
      </c>
      <c r="E60" s="334">
        <v>183</v>
      </c>
      <c r="F60" s="334">
        <v>4200379.6254000003</v>
      </c>
    </row>
    <row r="61" spans="1:6">
      <c r="A61" s="348" t="s">
        <v>49</v>
      </c>
      <c r="B61" s="348" t="s">
        <v>54</v>
      </c>
      <c r="C61" s="334">
        <v>163</v>
      </c>
      <c r="D61" s="334">
        <v>3561956.6863000002</v>
      </c>
      <c r="E61" s="334">
        <v>462</v>
      </c>
      <c r="F61" s="334">
        <v>4367410.8455999997</v>
      </c>
    </row>
    <row r="62" spans="1:6">
      <c r="A62" s="348" t="s">
        <v>49</v>
      </c>
      <c r="B62" s="348" t="s">
        <v>55</v>
      </c>
      <c r="C62" s="334">
        <v>18</v>
      </c>
      <c r="D62" s="334">
        <v>1461381.5852000001</v>
      </c>
      <c r="E62" s="334">
        <v>27</v>
      </c>
      <c r="F62" s="334">
        <v>1726769.9080000001</v>
      </c>
    </row>
    <row r="63" spans="1:6">
      <c r="A63" s="348" t="s">
        <v>49</v>
      </c>
      <c r="B63" s="348" t="s">
        <v>29</v>
      </c>
      <c r="C63" s="334">
        <v>192</v>
      </c>
      <c r="D63" s="334">
        <v>9439841.4055000003</v>
      </c>
      <c r="E63" s="334">
        <v>244</v>
      </c>
      <c r="F63" s="334">
        <v>4576906.6180999996</v>
      </c>
    </row>
    <row r="64" spans="1:6">
      <c r="A64" s="348" t="s">
        <v>56</v>
      </c>
      <c r="B64" s="348" t="s">
        <v>57</v>
      </c>
      <c r="C64" s="334">
        <v>0</v>
      </c>
      <c r="D64" s="334">
        <v>0</v>
      </c>
      <c r="E64" s="334">
        <v>0</v>
      </c>
      <c r="F64" s="334">
        <v>0</v>
      </c>
    </row>
    <row r="65" spans="1:6">
      <c r="A65" s="348" t="s">
        <v>56</v>
      </c>
      <c r="B65" s="348" t="s">
        <v>29</v>
      </c>
      <c r="C65" s="334">
        <v>4</v>
      </c>
      <c r="D65" s="334">
        <v>168440.06474</v>
      </c>
      <c r="E65" s="334">
        <v>5</v>
      </c>
      <c r="F65" s="334">
        <v>76649.152247999999</v>
      </c>
    </row>
    <row r="66" spans="1:6">
      <c r="A66" s="348" t="s">
        <v>56</v>
      </c>
      <c r="B66" s="348" t="s">
        <v>58</v>
      </c>
      <c r="C66" s="334">
        <v>0</v>
      </c>
      <c r="D66" s="334">
        <v>0</v>
      </c>
      <c r="E66" s="334">
        <v>27</v>
      </c>
      <c r="F66" s="334">
        <v>847953.29310999997</v>
      </c>
    </row>
    <row r="67" spans="1:6">
      <c r="A67" s="355" t="s">
        <v>56</v>
      </c>
      <c r="B67" s="355" t="s">
        <v>59</v>
      </c>
      <c r="C67" s="334">
        <v>0</v>
      </c>
      <c r="D67" s="334">
        <v>0</v>
      </c>
      <c r="E67" s="334">
        <v>0</v>
      </c>
      <c r="F67" s="334">
        <v>0</v>
      </c>
    </row>
    <row r="68" spans="1:6">
      <c r="A68" s="341" t="s">
        <v>56</v>
      </c>
      <c r="B68" s="341" t="s">
        <v>60</v>
      </c>
      <c r="C68" s="334">
        <v>0</v>
      </c>
      <c r="D68" s="334">
        <v>0</v>
      </c>
      <c r="E68" s="334">
        <v>11</v>
      </c>
      <c r="F68" s="334">
        <v>221077.83545000001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130626582</v>
      </c>
      <c r="E73" s="475">
        <v>134032269.04409273</v>
      </c>
    </row>
    <row r="74" spans="1:6">
      <c r="A74" s="348" t="s">
        <v>64</v>
      </c>
      <c r="B74" s="348" t="s">
        <v>667</v>
      </c>
      <c r="C74" s="1294" t="s">
        <v>669</v>
      </c>
      <c r="D74" s="475">
        <v>12216010.999756167</v>
      </c>
      <c r="E74" s="475">
        <v>12270946.731227279</v>
      </c>
    </row>
    <row r="75" spans="1:6">
      <c r="A75" s="348" t="s">
        <v>65</v>
      </c>
      <c r="B75" s="348" t="s">
        <v>666</v>
      </c>
      <c r="C75" s="1294" t="s">
        <v>670</v>
      </c>
      <c r="D75" s="475">
        <v>52447425</v>
      </c>
      <c r="E75" s="475">
        <v>53352594.179859668</v>
      </c>
    </row>
    <row r="76" spans="1:6">
      <c r="A76" s="348" t="s">
        <v>65</v>
      </c>
      <c r="B76" s="348" t="s">
        <v>667</v>
      </c>
      <c r="C76" s="1294" t="s">
        <v>671</v>
      </c>
      <c r="D76" s="475">
        <v>1329044.9997561672</v>
      </c>
      <c r="E76" s="475">
        <v>1343628.1562707312</v>
      </c>
    </row>
    <row r="77" spans="1:6">
      <c r="A77" s="348" t="s">
        <v>66</v>
      </c>
      <c r="B77" s="348" t="s">
        <v>666</v>
      </c>
      <c r="C77" s="1294" t="s">
        <v>672</v>
      </c>
      <c r="D77" s="475">
        <v>158911241</v>
      </c>
      <c r="E77" s="475">
        <v>168984314.54247007</v>
      </c>
    </row>
    <row r="78" spans="1:6">
      <c r="A78" s="341" t="s">
        <v>66</v>
      </c>
      <c r="B78" s="341" t="s">
        <v>667</v>
      </c>
      <c r="C78" s="341" t="s">
        <v>673</v>
      </c>
      <c r="D78" s="1295">
        <v>16505083</v>
      </c>
      <c r="E78" s="1295">
        <v>16625926.146350889</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1059828.0004876654</v>
      </c>
      <c r="C83" s="475">
        <v>1059828.0004876654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26.68639053254438</v>
      </c>
    </row>
    <row r="90" spans="1:6">
      <c r="A90" s="348" t="s">
        <v>552</v>
      </c>
      <c r="B90" s="1296">
        <v>0</v>
      </c>
    </row>
    <row r="91" spans="1:6">
      <c r="A91" s="348" t="s">
        <v>68</v>
      </c>
      <c r="B91" s="334">
        <v>5158.0838718573668</v>
      </c>
    </row>
    <row r="92" spans="1:6">
      <c r="A92" s="341" t="s">
        <v>69</v>
      </c>
      <c r="B92" s="342">
        <v>3379.2559724522998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2902</v>
      </c>
    </row>
    <row r="98" spans="1:6">
      <c r="A98" s="348" t="s">
        <v>72</v>
      </c>
      <c r="B98" s="334">
        <v>5</v>
      </c>
    </row>
    <row r="99" spans="1:6">
      <c r="A99" s="348" t="s">
        <v>73</v>
      </c>
      <c r="B99" s="334">
        <v>234</v>
      </c>
    </row>
    <row r="100" spans="1:6">
      <c r="A100" s="348" t="s">
        <v>74</v>
      </c>
      <c r="B100" s="334">
        <v>851</v>
      </c>
    </row>
    <row r="101" spans="1:6">
      <c r="A101" s="348" t="s">
        <v>75</v>
      </c>
      <c r="B101" s="334">
        <v>108</v>
      </c>
    </row>
    <row r="102" spans="1:6">
      <c r="A102" s="348" t="s">
        <v>76</v>
      </c>
      <c r="B102" s="334">
        <v>153</v>
      </c>
    </row>
    <row r="103" spans="1:6">
      <c r="A103" s="348" t="s">
        <v>77</v>
      </c>
      <c r="B103" s="334">
        <v>296</v>
      </c>
    </row>
    <row r="104" spans="1:6">
      <c r="A104" s="348" t="s">
        <v>78</v>
      </c>
      <c r="B104" s="334">
        <v>6974</v>
      </c>
    </row>
    <row r="105" spans="1:6">
      <c r="A105" s="341" t="s">
        <v>79</v>
      </c>
      <c r="B105" s="341">
        <v>15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34</v>
      </c>
      <c r="C123" s="334">
        <v>27</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163</v>
      </c>
    </row>
    <row r="130" spans="1:6">
      <c r="A130" s="348" t="s">
        <v>295</v>
      </c>
      <c r="B130" s="334">
        <v>3</v>
      </c>
    </row>
    <row r="131" spans="1:6">
      <c r="A131" s="348" t="s">
        <v>296</v>
      </c>
      <c r="B131" s="334">
        <v>4</v>
      </c>
    </row>
    <row r="132" spans="1:6">
      <c r="A132" s="341" t="s">
        <v>297</v>
      </c>
      <c r="B132" s="342">
        <v>47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126398.86734765224</v>
      </c>
      <c r="C3" s="43" t="s">
        <v>170</v>
      </c>
      <c r="D3" s="43"/>
      <c r="E3" s="154"/>
      <c r="F3" s="43"/>
      <c r="G3" s="43"/>
      <c r="H3" s="43"/>
      <c r="I3" s="43"/>
      <c r="J3" s="43"/>
      <c r="K3" s="96"/>
    </row>
    <row r="4" spans="1:11">
      <c r="A4" s="383" t="s">
        <v>171</v>
      </c>
      <c r="B4" s="49">
        <f>IF(ISERROR('SEAP template'!B78+'SEAP template'!C78),0,'SEAP template'!B78+'SEAP template'!C78)</f>
        <v>8564.0262348422111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0.20602637058689369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1838.431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1838.431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0.20602637058689369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378.76526650443355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46680.195395000002</v>
      </c>
      <c r="C5" s="17">
        <f>IF(ISERROR('Eigen informatie GS &amp; warmtenet'!B57),0,'Eigen informatie GS &amp; warmtenet'!B57)</f>
        <v>0</v>
      </c>
      <c r="D5" s="30">
        <f>(SUM(HH_hh_gas_kWh,HH_rest_gas_kWh)/1000)*0.902</f>
        <v>79873.727237766012</v>
      </c>
      <c r="E5" s="17">
        <f>B46*B57</f>
        <v>12460.867423287658</v>
      </c>
      <c r="F5" s="17">
        <f>B51*B62</f>
        <v>97203.089904823617</v>
      </c>
      <c r="G5" s="18"/>
      <c r="H5" s="17"/>
      <c r="I5" s="17"/>
      <c r="J5" s="17">
        <f>B50*B61+C50*C61</f>
        <v>0</v>
      </c>
      <c r="K5" s="17"/>
      <c r="L5" s="17"/>
      <c r="M5" s="17"/>
      <c r="N5" s="17">
        <f>B48*B59+C48*C59</f>
        <v>16333.700956325647</v>
      </c>
      <c r="O5" s="17">
        <f>B69*B70*B71</f>
        <v>297.03333333333336</v>
      </c>
      <c r="P5" s="17">
        <f>B77*B78*B79/1000-B77*B78*B79/1000/B80</f>
        <v>1582.5333333333333</v>
      </c>
    </row>
    <row r="6" spans="1:16">
      <c r="A6" s="16" t="s">
        <v>624</v>
      </c>
      <c r="B6" s="788">
        <f>kWh_PV_kleiner_dan_10kW</f>
        <v>5158.0838718573668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51838.279266857367</v>
      </c>
      <c r="C8" s="21">
        <f>C5</f>
        <v>0</v>
      </c>
      <c r="D8" s="21">
        <f>D5</f>
        <v>79873.727237766012</v>
      </c>
      <c r="E8" s="21">
        <f>E5</f>
        <v>12460.867423287658</v>
      </c>
      <c r="F8" s="21">
        <f>F5</f>
        <v>97203.089904823617</v>
      </c>
      <c r="G8" s="21"/>
      <c r="H8" s="21"/>
      <c r="I8" s="21"/>
      <c r="J8" s="21">
        <f>J5</f>
        <v>0</v>
      </c>
      <c r="K8" s="21"/>
      <c r="L8" s="21">
        <f>L5</f>
        <v>0</v>
      </c>
      <c r="M8" s="21">
        <f>M5</f>
        <v>0</v>
      </c>
      <c r="N8" s="21">
        <f>N5</f>
        <v>16333.700956325647</v>
      </c>
      <c r="O8" s="21">
        <f>O5</f>
        <v>297.03333333333336</v>
      </c>
      <c r="P8" s="21">
        <f>P5</f>
        <v>1582.5333333333333</v>
      </c>
    </row>
    <row r="9" spans="1:16">
      <c r="B9" s="19"/>
      <c r="C9" s="19"/>
      <c r="D9" s="258"/>
      <c r="E9" s="19"/>
      <c r="F9" s="19"/>
      <c r="G9" s="19"/>
      <c r="H9" s="19"/>
      <c r="I9" s="19"/>
      <c r="J9" s="19"/>
      <c r="K9" s="19"/>
      <c r="L9" s="19"/>
      <c r="M9" s="19"/>
      <c r="N9" s="19"/>
      <c r="O9" s="19"/>
      <c r="P9" s="19"/>
    </row>
    <row r="10" spans="1:16">
      <c r="A10" s="24" t="s">
        <v>214</v>
      </c>
      <c r="B10" s="25">
        <f ca="1">'EF ele_warmte'!B12</f>
        <v>0.20602637058689369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10680.052534820443</v>
      </c>
      <c r="C12" s="23">
        <f ca="1">C10*C8</f>
        <v>0</v>
      </c>
      <c r="D12" s="23">
        <f>D8*D10</f>
        <v>16134.492902028736</v>
      </c>
      <c r="E12" s="23">
        <f>E10*E8</f>
        <v>2828.6169050862986</v>
      </c>
      <c r="F12" s="23">
        <f>F10*F8</f>
        <v>25953.225004587908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2902</v>
      </c>
      <c r="C18" s="166" t="s">
        <v>111</v>
      </c>
      <c r="D18" s="228"/>
      <c r="E18" s="15"/>
    </row>
    <row r="19" spans="1:7">
      <c r="A19" s="171" t="s">
        <v>72</v>
      </c>
      <c r="B19" s="37">
        <f>aantalw2001_ander</f>
        <v>5</v>
      </c>
      <c r="C19" s="166" t="s">
        <v>111</v>
      </c>
      <c r="D19" s="229"/>
      <c r="E19" s="15"/>
    </row>
    <row r="20" spans="1:7">
      <c r="A20" s="171" t="s">
        <v>73</v>
      </c>
      <c r="B20" s="37">
        <f>aantalw2001_propaan</f>
        <v>234</v>
      </c>
      <c r="C20" s="167">
        <f>IF(ISERROR(B20/SUM($B$20,$B$21,$B$22)*100),0,B20/SUM($B$20,$B$21,$B$22)*100)</f>
        <v>19.614417435037719</v>
      </c>
      <c r="D20" s="229"/>
      <c r="E20" s="15"/>
    </row>
    <row r="21" spans="1:7">
      <c r="A21" s="171" t="s">
        <v>74</v>
      </c>
      <c r="B21" s="37">
        <f>aantalw2001_elektriciteit</f>
        <v>851</v>
      </c>
      <c r="C21" s="167">
        <f>IF(ISERROR(B21/SUM($B$20,$B$21,$B$22)*100),0,B21/SUM($B$20,$B$21,$B$22)*100)</f>
        <v>71.332774518021793</v>
      </c>
      <c r="D21" s="229"/>
      <c r="E21" s="15"/>
    </row>
    <row r="22" spans="1:7">
      <c r="A22" s="171" t="s">
        <v>75</v>
      </c>
      <c r="B22" s="37">
        <f>aantalw2001_hout</f>
        <v>108</v>
      </c>
      <c r="C22" s="167">
        <f>IF(ISERROR(B22/SUM($B$20,$B$21,$B$22)*100),0,B22/SUM($B$20,$B$21,$B$22)*100)</f>
        <v>9.0528080469404859</v>
      </c>
      <c r="D22" s="229"/>
      <c r="E22" s="15"/>
    </row>
    <row r="23" spans="1:7">
      <c r="A23" s="171" t="s">
        <v>76</v>
      </c>
      <c r="B23" s="37">
        <f>aantalw2001_niet_gespec</f>
        <v>153</v>
      </c>
      <c r="C23" s="166" t="s">
        <v>111</v>
      </c>
      <c r="D23" s="228"/>
      <c r="E23" s="15"/>
    </row>
    <row r="24" spans="1:7">
      <c r="A24" s="171" t="s">
        <v>77</v>
      </c>
      <c r="B24" s="37">
        <f>aantalw2001_steenkool</f>
        <v>296</v>
      </c>
      <c r="C24" s="166" t="s">
        <v>111</v>
      </c>
      <c r="D24" s="229"/>
      <c r="E24" s="15"/>
    </row>
    <row r="25" spans="1:7">
      <c r="A25" s="171" t="s">
        <v>78</v>
      </c>
      <c r="B25" s="37">
        <f>aantalw2001_stookolie</f>
        <v>6974</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698</v>
      </c>
      <c r="B28" s="37">
        <f>aantalHuishoudens2011</f>
        <v>13099</v>
      </c>
      <c r="C28" s="36"/>
      <c r="D28" s="228"/>
    </row>
    <row r="29" spans="1:7" s="15" customFormat="1">
      <c r="A29" s="230" t="s">
        <v>699</v>
      </c>
      <c r="B29" s="37">
        <f>SUM(HH_hh_gas_aantal,HH_rest_gas_aantal)</f>
        <v>6214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6214</v>
      </c>
      <c r="C32" s="167">
        <f>IF(ISERROR(B32/SUM($B$32,$B$34,$B$35,$B$36,$B$38,$B$39)*100),0,B32/SUM($B$32,$B$34,$B$35,$B$36,$B$38,$B$39)*100)</f>
        <v>47.741241548862938</v>
      </c>
      <c r="D32" s="233"/>
      <c r="G32" s="15"/>
    </row>
    <row r="33" spans="1:7">
      <c r="A33" s="171" t="s">
        <v>72</v>
      </c>
      <c r="B33" s="34" t="s">
        <v>111</v>
      </c>
      <c r="C33" s="167"/>
      <c r="D33" s="233"/>
      <c r="G33" s="15"/>
    </row>
    <row r="34" spans="1:7">
      <c r="A34" s="171" t="s">
        <v>73</v>
      </c>
      <c r="B34" s="33">
        <f>IF((($B$28-$B$32-$B$39-$B$77-$B$38)*C20/100)&lt;0,0,($B$28-$B$32-$B$39-$B$77-$B$38)*C20/100)</f>
        <v>550.92975691533945</v>
      </c>
      <c r="C34" s="167">
        <f>IF(ISERROR(B34/SUM($B$32,$B$34,$B$35,$B$36,$B$38,$B$39)*100),0,B34/SUM($B$32,$B$34,$B$35,$B$36,$B$38,$B$39)*100)</f>
        <v>4.2327117156986738</v>
      </c>
      <c r="D34" s="233"/>
      <c r="G34" s="15"/>
    </row>
    <row r="35" spans="1:7">
      <c r="A35" s="171" t="s">
        <v>74</v>
      </c>
      <c r="B35" s="33">
        <f>IF((($B$28-$B$32-$B$39-$B$77-$B$38)*C21/100)&lt;0,0,($B$28-$B$32-$B$39-$B$77-$B$38)*C21/100)</f>
        <v>2003.5949706621964</v>
      </c>
      <c r="C35" s="167">
        <f>IF(ISERROR(B35/SUM($B$32,$B$34,$B$35,$B$36,$B$38,$B$39)*100),0,B35/SUM($B$32,$B$34,$B$35,$B$36,$B$38,$B$39)*100)</f>
        <v>15.393323376322959</v>
      </c>
      <c r="D35" s="233"/>
      <c r="G35" s="15"/>
    </row>
    <row r="36" spans="1:7">
      <c r="A36" s="171" t="s">
        <v>75</v>
      </c>
      <c r="B36" s="33">
        <f>IF((($B$28-$B$32-$B$39-$B$77-$B$38)*C22/100)&lt;0,0,($B$28-$B$32-$B$39-$B$77-$B$38)*C22/100)</f>
        <v>254.27527242246435</v>
      </c>
      <c r="C36" s="167">
        <f>IF(ISERROR(B36/SUM($B$32,$B$34,$B$35,$B$36,$B$38,$B$39)*100),0,B36/SUM($B$32,$B$34,$B$35,$B$36,$B$38,$B$39)*100)</f>
        <v>1.9535592533993882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3993.2</v>
      </c>
      <c r="C39" s="167">
        <f>IF(ISERROR(B39/SUM($B$32,$B$34,$B$35,$B$36,$B$38,$B$39)*100),0,B39/SUM($B$32,$B$34,$B$35,$B$36,$B$38,$B$39)*100)</f>
        <v>30.67916410571604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6214</v>
      </c>
      <c r="C44" s="34" t="s">
        <v>111</v>
      </c>
      <c r="D44" s="174"/>
    </row>
    <row r="45" spans="1:7">
      <c r="A45" s="171" t="s">
        <v>72</v>
      </c>
      <c r="B45" s="33" t="str">
        <f t="shared" si="0"/>
        <v>-</v>
      </c>
      <c r="C45" s="34" t="s">
        <v>111</v>
      </c>
      <c r="D45" s="174"/>
    </row>
    <row r="46" spans="1:7">
      <c r="A46" s="171" t="s">
        <v>73</v>
      </c>
      <c r="B46" s="33">
        <f t="shared" si="0"/>
        <v>550.92975691533945</v>
      </c>
      <c r="C46" s="34" t="s">
        <v>111</v>
      </c>
      <c r="D46" s="174"/>
    </row>
    <row r="47" spans="1:7">
      <c r="A47" s="171" t="s">
        <v>74</v>
      </c>
      <c r="B47" s="33">
        <f t="shared" si="0"/>
        <v>2003.5949706621964</v>
      </c>
      <c r="C47" s="34" t="s">
        <v>111</v>
      </c>
      <c r="D47" s="174"/>
    </row>
    <row r="48" spans="1:7">
      <c r="A48" s="171" t="s">
        <v>75</v>
      </c>
      <c r="B48" s="33">
        <f t="shared" si="0"/>
        <v>254.27527242246435</v>
      </c>
      <c r="C48" s="33">
        <f>B48*10</f>
        <v>2542.7527242246433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3993.2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38744.963310500003</v>
      </c>
      <c r="C5" s="17">
        <f>IF(ISERROR('Eigen informatie GS &amp; warmtenet'!B58),0,'Eigen informatie GS &amp; warmtenet'!B58)</f>
        <v>0</v>
      </c>
      <c r="D5" s="30">
        <f>SUM(D6:D12)</f>
        <v>43459.076355772006</v>
      </c>
      <c r="E5" s="17">
        <f>SUM(E6:E12)</f>
        <v>698.42692871768622</v>
      </c>
      <c r="F5" s="17">
        <f>SUM(F6:F12)</f>
        <v>9802.7530820686497</v>
      </c>
      <c r="G5" s="18"/>
      <c r="H5" s="17"/>
      <c r="I5" s="17"/>
      <c r="J5" s="17">
        <f>SUM(J6:J12)</f>
        <v>0</v>
      </c>
      <c r="K5" s="17"/>
      <c r="L5" s="17"/>
      <c r="M5" s="17"/>
      <c r="N5" s="17">
        <f>SUM(N6:N12)</f>
        <v>6204.1756980628479</v>
      </c>
      <c r="O5" s="17">
        <f>B38*B39*B40</f>
        <v>4.6900000000000004</v>
      </c>
      <c r="P5" s="17">
        <f>B46*B47*B48/1000-B46*B47*B48/1000/B49</f>
        <v>76.266666666666666</v>
      </c>
      <c r="R5" s="32"/>
    </row>
    <row r="6" spans="1:18">
      <c r="A6" s="32" t="s">
        <v>54</v>
      </c>
      <c r="B6" s="37">
        <f>B26</f>
        <v>4367.4108455999994</v>
      </c>
      <c r="C6" s="33"/>
      <c r="D6" s="37">
        <f>IF(ISERROR(TER_kantoor_gas_kWh/1000),0,TER_kantoor_gas_kWh/1000)*0.902</f>
        <v>3212.8849310425999</v>
      </c>
      <c r="E6" s="33">
        <f>$C$26*'E Balans VL '!I12/100/3.6*1000000</f>
        <v>57.17478783896297</v>
      </c>
      <c r="F6" s="33">
        <f>$C$26*('E Balans VL '!L12+'E Balans VL '!N12)/100/3.6*1000000</f>
        <v>1113.6446344901906</v>
      </c>
      <c r="G6" s="34"/>
      <c r="H6" s="33"/>
      <c r="I6" s="33"/>
      <c r="J6" s="33">
        <f>$C$26*('E Balans VL '!D12+'E Balans VL '!E12)/100/3.6*1000000</f>
        <v>0</v>
      </c>
      <c r="K6" s="33"/>
      <c r="L6" s="33"/>
      <c r="M6" s="33"/>
      <c r="N6" s="33">
        <f>$C$26*'E Balans VL '!Y12/100/3.6*1000000</f>
        <v>4.3821178676917629</v>
      </c>
      <c r="O6" s="33"/>
      <c r="P6" s="33"/>
      <c r="R6" s="32"/>
    </row>
    <row r="7" spans="1:18">
      <c r="A7" s="32" t="s">
        <v>53</v>
      </c>
      <c r="B7" s="37">
        <f t="shared" ref="B7:B12" si="0">B27</f>
        <v>4200.3796253999999</v>
      </c>
      <c r="C7" s="33"/>
      <c r="D7" s="37">
        <f>IF(ISERROR(TER_horeca_gas_kWh/1000),0,TER_horeca_gas_kWh/1000)*0.902</f>
        <v>4079.7491549254005</v>
      </c>
      <c r="E7" s="33">
        <f>$C$27*'E Balans VL '!I9/100/3.6*1000000</f>
        <v>139.0070155485792</v>
      </c>
      <c r="F7" s="33">
        <f>$C$27*('E Balans VL '!L9+'E Balans VL '!N9)/100/3.6*1000000</f>
        <v>1806.1471411173763</v>
      </c>
      <c r="G7" s="34"/>
      <c r="H7" s="33"/>
      <c r="I7" s="33"/>
      <c r="J7" s="33">
        <f>$C$27*('E Balans VL '!D9+'E Balans VL '!E9)/100/3.6*1000000</f>
        <v>0</v>
      </c>
      <c r="K7" s="33"/>
      <c r="L7" s="33"/>
      <c r="M7" s="33"/>
      <c r="N7" s="33">
        <f>$C$27*'E Balans VL '!Y9/100/3.6*1000000</f>
        <v>1.011092372039718</v>
      </c>
      <c r="O7" s="33"/>
      <c r="P7" s="33"/>
      <c r="R7" s="32"/>
    </row>
    <row r="8" spans="1:18">
      <c r="A8" s="6" t="s">
        <v>52</v>
      </c>
      <c r="B8" s="37">
        <f t="shared" si="0"/>
        <v>12902.038211999999</v>
      </c>
      <c r="C8" s="33"/>
      <c r="D8" s="37">
        <f>IF(ISERROR(TER_handel_gas_kWh/1000),0,TER_handel_gas_kWh/1000)*0.902</f>
        <v>7449.4307693343999</v>
      </c>
      <c r="E8" s="33">
        <f>$C$28*'E Balans VL '!I13/100/3.6*1000000</f>
        <v>407.20803969829757</v>
      </c>
      <c r="F8" s="33">
        <f>$C$28*('E Balans VL '!L13+'E Balans VL '!N13)/100/3.6*1000000</f>
        <v>2530.3168841608585</v>
      </c>
      <c r="G8" s="34"/>
      <c r="H8" s="33"/>
      <c r="I8" s="33"/>
      <c r="J8" s="33">
        <f>$C$28*('E Balans VL '!D13+'E Balans VL '!E13)/100/3.6*1000000</f>
        <v>0</v>
      </c>
      <c r="K8" s="33"/>
      <c r="L8" s="33"/>
      <c r="M8" s="33"/>
      <c r="N8" s="33">
        <f>$C$28*'E Balans VL '!Y13/100/3.6*1000000</f>
        <v>15.312214457676463</v>
      </c>
      <c r="O8" s="33"/>
      <c r="P8" s="33"/>
      <c r="R8" s="32"/>
    </row>
    <row r="9" spans="1:18">
      <c r="A9" s="32" t="s">
        <v>51</v>
      </c>
      <c r="B9" s="37">
        <f t="shared" si="0"/>
        <v>3696.7519978</v>
      </c>
      <c r="C9" s="33"/>
      <c r="D9" s="37">
        <f>IF(ISERROR(TER_gezond_gas_kWh/1000),0,TER_gezond_gas_kWh/1000)*0.902</f>
        <v>6167.9097574401994</v>
      </c>
      <c r="E9" s="33">
        <f>$C$29*'E Balans VL '!I10/100/3.6*1000000</f>
        <v>0.47329240179853688</v>
      </c>
      <c r="F9" s="33">
        <f>$C$29*('E Balans VL '!L10+'E Balans VL '!N10)/100/3.6*1000000</f>
        <v>770.1883862176586</v>
      </c>
      <c r="G9" s="34"/>
      <c r="H9" s="33"/>
      <c r="I9" s="33"/>
      <c r="J9" s="33">
        <f>$C$29*('E Balans VL '!D10+'E Balans VL '!E10)/100/3.6*1000000</f>
        <v>0</v>
      </c>
      <c r="K9" s="33"/>
      <c r="L9" s="33"/>
      <c r="M9" s="33"/>
      <c r="N9" s="33">
        <f>$C$29*'E Balans VL '!Y10/100/3.6*1000000</f>
        <v>43.420099528867325</v>
      </c>
      <c r="O9" s="33"/>
      <c r="P9" s="33"/>
      <c r="R9" s="32"/>
    </row>
    <row r="10" spans="1:18">
      <c r="A10" s="32" t="s">
        <v>50</v>
      </c>
      <c r="B10" s="37">
        <f t="shared" si="0"/>
        <v>7274.7061036000005</v>
      </c>
      <c r="C10" s="33"/>
      <c r="D10" s="37">
        <f>IF(ISERROR(TER_ander_gas_kWh/1000),0,TER_ander_gas_kWh/1000)*0.902</f>
        <v>12716.198605418</v>
      </c>
      <c r="E10" s="33">
        <f>$C$30*'E Balans VL '!I14/100/3.6*1000000</f>
        <v>10.939447219276596</v>
      </c>
      <c r="F10" s="33">
        <f>$C$30*('E Balans VL '!L14+'E Balans VL '!N14)/100/3.6*1000000</f>
        <v>1606.0206104554275</v>
      </c>
      <c r="G10" s="34"/>
      <c r="H10" s="33"/>
      <c r="I10" s="33"/>
      <c r="J10" s="33">
        <f>$C$30*('E Balans VL '!D14+'E Balans VL '!E14)/100/3.6*1000000</f>
        <v>0</v>
      </c>
      <c r="K10" s="33"/>
      <c r="L10" s="33"/>
      <c r="M10" s="33"/>
      <c r="N10" s="33">
        <f>$C$30*'E Balans VL '!Y14/100/3.6*1000000</f>
        <v>5732.9579788989722</v>
      </c>
      <c r="O10" s="33"/>
      <c r="P10" s="33"/>
      <c r="R10" s="32"/>
    </row>
    <row r="11" spans="1:18">
      <c r="A11" s="32" t="s">
        <v>55</v>
      </c>
      <c r="B11" s="37">
        <f t="shared" si="0"/>
        <v>1726.769908</v>
      </c>
      <c r="C11" s="33"/>
      <c r="D11" s="37">
        <f>IF(ISERROR(TER_onderwijs_gas_kWh/1000),0,TER_onderwijs_gas_kWh/1000)*0.902</f>
        <v>1318.1661898504001</v>
      </c>
      <c r="E11" s="33">
        <f>$C$31*'E Balans VL '!I11/100/3.6*1000000</f>
        <v>3.0409865108061052</v>
      </c>
      <c r="F11" s="33">
        <f>$C$31*('E Balans VL '!L11+'E Balans VL '!N11)/100/3.6*1000000</f>
        <v>797.28091237340686</v>
      </c>
      <c r="G11" s="34"/>
      <c r="H11" s="33"/>
      <c r="I11" s="33"/>
      <c r="J11" s="33">
        <f>$C$31*('E Balans VL '!D11+'E Balans VL '!E11)/100/3.6*1000000</f>
        <v>0</v>
      </c>
      <c r="K11" s="33"/>
      <c r="L11" s="33"/>
      <c r="M11" s="33"/>
      <c r="N11" s="33">
        <f>$C$31*'E Balans VL '!Y11/100/3.6*1000000</f>
        <v>3.2169962177229428</v>
      </c>
      <c r="O11" s="33"/>
      <c r="P11" s="33"/>
      <c r="R11" s="32"/>
    </row>
    <row r="12" spans="1:18">
      <c r="A12" s="32" t="s">
        <v>260</v>
      </c>
      <c r="B12" s="37">
        <f t="shared" si="0"/>
        <v>4576.9066180999998</v>
      </c>
      <c r="C12" s="33"/>
      <c r="D12" s="37">
        <f>IF(ISERROR(TER_rest_gas_kWh/1000),0,TER_rest_gas_kWh/1000)*0.902</f>
        <v>8514.7369477610009</v>
      </c>
      <c r="E12" s="33">
        <f>$C$32*'E Balans VL '!I8/100/3.6*1000000</f>
        <v>80.583359499965241</v>
      </c>
      <c r="F12" s="33">
        <f>$C$32*('E Balans VL '!L8+'E Balans VL '!N8)/100/3.6*1000000</f>
        <v>1179.1545132537317</v>
      </c>
      <c r="G12" s="34"/>
      <c r="H12" s="33"/>
      <c r="I12" s="33"/>
      <c r="J12" s="33">
        <f>$C$32*('E Balans VL '!D8+'E Balans VL '!E8)/100/3.6*1000000</f>
        <v>0</v>
      </c>
      <c r="K12" s="33"/>
      <c r="L12" s="33"/>
      <c r="M12" s="33"/>
      <c r="N12" s="33">
        <f>$C$32*'E Balans VL '!Y8/100/3.6*1000000</f>
        <v>403.87519871987718</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38744.963310500003</v>
      </c>
      <c r="C16" s="21">
        <f t="shared" ca="1" si="1"/>
        <v>0</v>
      </c>
      <c r="D16" s="21">
        <f t="shared" ca="1" si="1"/>
        <v>43459.076355772006</v>
      </c>
      <c r="E16" s="21">
        <f t="shared" si="1"/>
        <v>698.42692871768622</v>
      </c>
      <c r="F16" s="21">
        <f t="shared" ca="1" si="1"/>
        <v>9802.7530820686497</v>
      </c>
      <c r="G16" s="21">
        <f t="shared" si="1"/>
        <v>0</v>
      </c>
      <c r="H16" s="21">
        <f t="shared" si="1"/>
        <v>0</v>
      </c>
      <c r="I16" s="21">
        <f t="shared" si="1"/>
        <v>0</v>
      </c>
      <c r="J16" s="21">
        <f t="shared" si="1"/>
        <v>0</v>
      </c>
      <c r="K16" s="21">
        <f t="shared" si="1"/>
        <v>0</v>
      </c>
      <c r="L16" s="21">
        <f t="shared" ca="1" si="1"/>
        <v>0</v>
      </c>
      <c r="M16" s="21">
        <f t="shared" si="1"/>
        <v>0</v>
      </c>
      <c r="N16" s="21">
        <f t="shared" ca="1" si="1"/>
        <v>6204.1756980628479</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0.20602637058689369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7982.4841693846729</v>
      </c>
      <c r="C20" s="23">
        <f t="shared" ref="C20:P20" ca="1" si="2">C16*C18</f>
        <v>0</v>
      </c>
      <c r="D20" s="23">
        <f t="shared" ca="1" si="2"/>
        <v>8778.733423865946</v>
      </c>
      <c r="E20" s="23">
        <f t="shared" si="2"/>
        <v>158.54291281891477</v>
      </c>
      <c r="F20" s="23">
        <f t="shared" ca="1" si="2"/>
        <v>2617.3350729123295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4367.4108455999994</v>
      </c>
      <c r="C26" s="39">
        <f>IF(ISERROR(B26*3.6/1000000/'E Balans VL '!Z12*100),0,B26*3.6/1000000/'E Balans VL '!Z12*100)</f>
        <v>9.3553333222119645E-2</v>
      </c>
      <c r="D26" s="237" t="s">
        <v>660</v>
      </c>
      <c r="F26" s="6"/>
    </row>
    <row r="27" spans="1:18">
      <c r="A27" s="231" t="s">
        <v>53</v>
      </c>
      <c r="B27" s="33">
        <f>IF(ISERROR(TER_horeca_ele_kWh/1000),0,TER_horeca_ele_kWh/1000)</f>
        <v>4200.3796253999999</v>
      </c>
      <c r="C27" s="39">
        <f>IF(ISERROR(B27*3.6/1000000/'E Balans VL '!Z9*100),0,B27*3.6/1000000/'E Balans VL '!Z9*100)</f>
        <v>0.33706586456780047</v>
      </c>
      <c r="D27" s="237" t="s">
        <v>660</v>
      </c>
      <c r="F27" s="6"/>
    </row>
    <row r="28" spans="1:18">
      <c r="A28" s="171" t="s">
        <v>52</v>
      </c>
      <c r="B28" s="33">
        <f>IF(ISERROR(TER_handel_ele_kWh/1000),0,TER_handel_ele_kWh/1000)</f>
        <v>12902.038211999999</v>
      </c>
      <c r="C28" s="39">
        <f>IF(ISERROR(B28*3.6/1000000/'E Balans VL '!Z13*100),0,B28*3.6/1000000/'E Balans VL '!Z13*100)</f>
        <v>0.38053612411456145</v>
      </c>
      <c r="D28" s="237" t="s">
        <v>660</v>
      </c>
      <c r="F28" s="6"/>
    </row>
    <row r="29" spans="1:18">
      <c r="A29" s="231" t="s">
        <v>51</v>
      </c>
      <c r="B29" s="33">
        <f>IF(ISERROR(TER_gezond_ele_kWh/1000),0,TER_gezond_ele_kWh/1000)</f>
        <v>3696.7519978</v>
      </c>
      <c r="C29" s="39">
        <f>IF(ISERROR(B29*3.6/1000000/'E Balans VL '!Z10*100),0,B29*3.6/1000000/'E Balans VL '!Z10*100)</f>
        <v>0.39471399972724819</v>
      </c>
      <c r="D29" s="237" t="s">
        <v>660</v>
      </c>
      <c r="F29" s="6"/>
    </row>
    <row r="30" spans="1:18">
      <c r="A30" s="231" t="s">
        <v>50</v>
      </c>
      <c r="B30" s="33">
        <f>IF(ISERROR(TER_ander_ele_kWh/1000),0,TER_ander_ele_kWh/1000)</f>
        <v>7274.7061036000005</v>
      </c>
      <c r="C30" s="39">
        <f>IF(ISERROR(B30*3.6/1000000/'E Balans VL '!Z14*100),0,B30*3.6/1000000/'E Balans VL '!Z14*100)</f>
        <v>0.54948711862349442</v>
      </c>
      <c r="D30" s="237" t="s">
        <v>660</v>
      </c>
      <c r="F30" s="6"/>
    </row>
    <row r="31" spans="1:18">
      <c r="A31" s="231" t="s">
        <v>55</v>
      </c>
      <c r="B31" s="33">
        <f>IF(ISERROR(TER_onderwijs_ele_kWh/1000),0,TER_onderwijs_ele_kWh/1000)</f>
        <v>1726.769908</v>
      </c>
      <c r="C31" s="39">
        <f>IF(ISERROR(B31*3.6/1000000/'E Balans VL '!Z11*100),0,B31*3.6/1000000/'E Balans VL '!Z11*100)</f>
        <v>0.3486924884579734</v>
      </c>
      <c r="D31" s="237" t="s">
        <v>660</v>
      </c>
    </row>
    <row r="32" spans="1:18">
      <c r="A32" s="231" t="s">
        <v>260</v>
      </c>
      <c r="B32" s="33">
        <f>IF(ISERROR(TER_rest_ele_kWh/1000),0,TER_rest_ele_kWh/1000)</f>
        <v>4576.9066180999998</v>
      </c>
      <c r="C32" s="39">
        <f>IF(ISERROR(B32*3.6/1000000/'E Balans VL '!Z8*100),0,B32*3.6/1000000/'E Balans VL '!Z8*100)</f>
        <v>3.7948929160536972E-2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29910.106591972508</v>
      </c>
      <c r="C5" s="17">
        <f>IF(ISERROR('Eigen informatie GS &amp; warmtenet'!B59),0,'Eigen informatie GS &amp; warmtenet'!B59)</f>
        <v>0</v>
      </c>
      <c r="D5" s="30">
        <f>SUM(D6:D15)</f>
        <v>12364.743938281901</v>
      </c>
      <c r="E5" s="17">
        <f>SUM(E6:E15)</f>
        <v>1941.992838341532</v>
      </c>
      <c r="F5" s="17">
        <f>SUM(F6:F15)</f>
        <v>7743.3812517920223</v>
      </c>
      <c r="G5" s="18"/>
      <c r="H5" s="17"/>
      <c r="I5" s="17"/>
      <c r="J5" s="17">
        <f>SUM(J6:J15)</f>
        <v>333.55529086630457</v>
      </c>
      <c r="K5" s="17"/>
      <c r="L5" s="17"/>
      <c r="M5" s="17"/>
      <c r="N5" s="17">
        <f>SUM(N6:N15)</f>
        <v>9461.7529907296157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773.56257561999996</v>
      </c>
      <c r="C8" s="33"/>
      <c r="D8" s="37">
        <f>IF( ISERROR(IND_metaal_Gas_kWH/1000),0,IND_metaal_Gas_kWH/1000)*0.902</f>
        <v>93.460156634680004</v>
      </c>
      <c r="E8" s="33">
        <f>C30*'E Balans VL '!I18/100/3.6*1000000</f>
        <v>27.835121656235351</v>
      </c>
      <c r="F8" s="33">
        <f>C30*'E Balans VL '!L18/100/3.6*1000000+C30*'E Balans VL '!N18/100/3.6*1000000</f>
        <v>337.78970057249757</v>
      </c>
      <c r="G8" s="34"/>
      <c r="H8" s="33"/>
      <c r="I8" s="33"/>
      <c r="J8" s="40">
        <f>C30*'E Balans VL '!D18/100/3.6*1000000+C30*'E Balans VL '!E18/100/3.6*1000000</f>
        <v>0</v>
      </c>
      <c r="K8" s="33"/>
      <c r="L8" s="33"/>
      <c r="M8" s="33"/>
      <c r="N8" s="33">
        <f>C30*'E Balans VL '!Y18/100/3.6*1000000</f>
        <v>38.770430598602211</v>
      </c>
      <c r="O8" s="33"/>
      <c r="P8" s="33"/>
      <c r="R8" s="32"/>
    </row>
    <row r="9" spans="1:18">
      <c r="A9" s="6" t="s">
        <v>33</v>
      </c>
      <c r="B9" s="37">
        <f t="shared" si="0"/>
        <v>2318.0779944000001</v>
      </c>
      <c r="C9" s="33"/>
      <c r="D9" s="37">
        <f>IF( ISERROR(IND_andere_gas_kWh/1000),0,IND_andere_gas_kWh/1000)*0.902</f>
        <v>1320.961197677</v>
      </c>
      <c r="E9" s="33">
        <f>C31*'E Balans VL '!I19/100/3.6*1000000</f>
        <v>591.52105618724329</v>
      </c>
      <c r="F9" s="33">
        <f>C31*'E Balans VL '!L19/100/3.6*1000000+C31*'E Balans VL '!N19/100/3.6*1000000</f>
        <v>1995.6909196627234</v>
      </c>
      <c r="G9" s="34"/>
      <c r="H9" s="33"/>
      <c r="I9" s="33"/>
      <c r="J9" s="40">
        <f>C31*'E Balans VL '!D19/100/3.6*1000000+C31*'E Balans VL '!E19/100/3.6*1000000</f>
        <v>0</v>
      </c>
      <c r="K9" s="33"/>
      <c r="L9" s="33"/>
      <c r="M9" s="33"/>
      <c r="N9" s="33">
        <f>C31*'E Balans VL '!Y19/100/3.6*1000000</f>
        <v>724.94237472922384</v>
      </c>
      <c r="O9" s="33"/>
      <c r="P9" s="33"/>
      <c r="R9" s="32"/>
    </row>
    <row r="10" spans="1:18">
      <c r="A10" s="6" t="s">
        <v>41</v>
      </c>
      <c r="B10" s="37">
        <f t="shared" si="0"/>
        <v>272.98842222000002</v>
      </c>
      <c r="C10" s="33"/>
      <c r="D10" s="37">
        <f>IF( ISERROR(IND_voed_gas_kWh/1000),0,IND_voed_gas_kWh/1000)*0.902</f>
        <v>285.13246531021997</v>
      </c>
      <c r="E10" s="33">
        <f>C32*'E Balans VL '!I20/100/3.6*1000000</f>
        <v>6.939740536653928</v>
      </c>
      <c r="F10" s="33">
        <f>C32*'E Balans VL '!L20/100/3.6*1000000+C32*'E Balans VL '!N20/100/3.6*1000000</f>
        <v>61.773182038764539</v>
      </c>
      <c r="G10" s="34"/>
      <c r="H10" s="33"/>
      <c r="I10" s="33"/>
      <c r="J10" s="40">
        <f>C32*'E Balans VL '!D20/100/3.6*1000000+C32*'E Balans VL '!E20/100/3.6*1000000</f>
        <v>0</v>
      </c>
      <c r="K10" s="33"/>
      <c r="L10" s="33"/>
      <c r="M10" s="33"/>
      <c r="N10" s="33">
        <f>C32*'E Balans VL '!Y20/100/3.6*1000000</f>
        <v>102.37805797473929</v>
      </c>
      <c r="O10" s="33"/>
      <c r="P10" s="33"/>
      <c r="R10" s="32"/>
    </row>
    <row r="11" spans="1:18">
      <c r="A11" s="6" t="s">
        <v>40</v>
      </c>
      <c r="B11" s="37">
        <f t="shared" si="0"/>
        <v>12.980295816</v>
      </c>
      <c r="C11" s="33"/>
      <c r="D11" s="37">
        <f>IF( ISERROR(IND_textiel_gas_kWh/1000),0,IND_textiel_gas_kWh/1000)*0.902</f>
        <v>0</v>
      </c>
      <c r="E11" s="33">
        <f>C33*'E Balans VL '!I21/100/3.6*1000000</f>
        <v>3.5634402713067094E-2</v>
      </c>
      <c r="F11" s="33">
        <f>C33*'E Balans VL '!L21/100/3.6*1000000+C33*'E Balans VL '!N21/100/3.6*1000000</f>
        <v>0.68816118830118933</v>
      </c>
      <c r="G11" s="34"/>
      <c r="H11" s="33"/>
      <c r="I11" s="33"/>
      <c r="J11" s="40">
        <f>C33*'E Balans VL '!D21/100/3.6*1000000+C33*'E Balans VL '!E21/100/3.6*1000000</f>
        <v>0</v>
      </c>
      <c r="K11" s="33"/>
      <c r="L11" s="33"/>
      <c r="M11" s="33"/>
      <c r="N11" s="33">
        <f>C33*'E Balans VL '!Y21/100/3.6*1000000</f>
        <v>2.6088246576978381E-2</v>
      </c>
      <c r="O11" s="33"/>
      <c r="P11" s="33"/>
      <c r="R11" s="32"/>
    </row>
    <row r="12" spans="1:18">
      <c r="A12" s="6" t="s">
        <v>37</v>
      </c>
      <c r="B12" s="37">
        <f t="shared" si="0"/>
        <v>609.00783113</v>
      </c>
      <c r="C12" s="33"/>
      <c r="D12" s="37">
        <f>IF( ISERROR(IND_min_gas_kWh/1000),0,IND_min_gas_kWh/1000)*0.902</f>
        <v>0</v>
      </c>
      <c r="E12" s="33">
        <f>C34*'E Balans VL '!I22/100/3.6*1000000</f>
        <v>12.939890102557028</v>
      </c>
      <c r="F12" s="33">
        <f>C34*'E Balans VL '!L22/100/3.6*1000000+C34*'E Balans VL '!N22/100/3.6*1000000</f>
        <v>99.364817673654031</v>
      </c>
      <c r="G12" s="34"/>
      <c r="H12" s="33"/>
      <c r="I12" s="33"/>
      <c r="J12" s="40">
        <f>C34*'E Balans VL '!D22/100/3.6*1000000+C34*'E Balans VL '!E22/100/3.6*1000000</f>
        <v>0.70955095618903286</v>
      </c>
      <c r="K12" s="33"/>
      <c r="L12" s="33"/>
      <c r="M12" s="33"/>
      <c r="N12" s="33">
        <f>C34*'E Balans VL '!Y22/100/3.6*1000000</f>
        <v>0</v>
      </c>
      <c r="O12" s="33"/>
      <c r="P12" s="33"/>
      <c r="R12" s="32"/>
    </row>
    <row r="13" spans="1:18">
      <c r="A13" s="6" t="s">
        <v>39</v>
      </c>
      <c r="B13" s="37">
        <f t="shared" si="0"/>
        <v>2085.0856079</v>
      </c>
      <c r="C13" s="33"/>
      <c r="D13" s="37">
        <f>IF( ISERROR(IND_papier_gas_kWh/1000),0,IND_papier_gas_kWh/1000)*0.902</f>
        <v>0</v>
      </c>
      <c r="E13" s="33">
        <f>C35*'E Balans VL '!I23/100/3.6*1000000</f>
        <v>8.9423255837994926</v>
      </c>
      <c r="F13" s="33">
        <f>C35*'E Balans VL '!L23/100/3.6*1000000+C35*'E Balans VL '!N23/100/3.6*1000000</f>
        <v>52.404673020265619</v>
      </c>
      <c r="G13" s="34"/>
      <c r="H13" s="33"/>
      <c r="I13" s="33"/>
      <c r="J13" s="40">
        <f>C35*'E Balans VL '!D23/100/3.6*1000000+C35*'E Balans VL '!E23/100/3.6*1000000</f>
        <v>139.58504522478572</v>
      </c>
      <c r="K13" s="33"/>
      <c r="L13" s="33"/>
      <c r="M13" s="33"/>
      <c r="N13" s="33">
        <f>C35*'E Balans VL '!Y23/100/3.6*1000000</f>
        <v>3795.351658653497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23838.403864886506</v>
      </c>
      <c r="C15" s="33"/>
      <c r="D15" s="37">
        <f>IF( ISERROR(IND_rest_gas_kWh/1000),0,IND_rest_gas_kWh/1000)*0.902</f>
        <v>10665.190118660001</v>
      </c>
      <c r="E15" s="33">
        <f>C37*'E Balans VL '!I15/100/3.6*1000000</f>
        <v>1293.7790698723297</v>
      </c>
      <c r="F15" s="33">
        <f>C37*'E Balans VL '!L15/100/3.6*1000000+C37*'E Balans VL '!N15/100/3.6*1000000</f>
        <v>5195.6697976358155</v>
      </c>
      <c r="G15" s="34"/>
      <c r="H15" s="33"/>
      <c r="I15" s="33"/>
      <c r="J15" s="40">
        <f>C37*'E Balans VL '!D15/100/3.6*1000000+C37*'E Balans VL '!E15/100/3.6*1000000</f>
        <v>193.26069468532984</v>
      </c>
      <c r="K15" s="33"/>
      <c r="L15" s="33"/>
      <c r="M15" s="33"/>
      <c r="N15" s="33">
        <f>C37*'E Balans VL '!Y15/100/3.6*1000000</f>
        <v>4800.2843805269777</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29910.106591972508</v>
      </c>
      <c r="C18" s="21">
        <f>C5+C16</f>
        <v>0</v>
      </c>
      <c r="D18" s="21">
        <f>MAX((D5+D16),0)</f>
        <v>12364.743938281901</v>
      </c>
      <c r="E18" s="21">
        <f>MAX((E5+E16),0)</f>
        <v>1941.992838341532</v>
      </c>
      <c r="F18" s="21">
        <f>MAX((F5+F16),0)</f>
        <v>7743.3812517920223</v>
      </c>
      <c r="G18" s="21"/>
      <c r="H18" s="21"/>
      <c r="I18" s="21"/>
      <c r="J18" s="21">
        <f>MAX((J5+J16),0)</f>
        <v>333.55529086630457</v>
      </c>
      <c r="K18" s="21"/>
      <c r="L18" s="21">
        <f>MAX((L5+L16),0)</f>
        <v>0</v>
      </c>
      <c r="M18" s="21"/>
      <c r="N18" s="21">
        <f>MAX((N5+N16),0)</f>
        <v>9461.7529907296157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0.20602637058689369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6162.2707050112194</v>
      </c>
      <c r="C22" s="23">
        <f ca="1">C18*C20</f>
        <v>0</v>
      </c>
      <c r="D22" s="23">
        <f>D18*D20</f>
        <v>2497.6782755329441</v>
      </c>
      <c r="E22" s="23">
        <f>E18*E20</f>
        <v>440.83237430352779</v>
      </c>
      <c r="F22" s="23">
        <f>F18*F20</f>
        <v>2067.4827942284701</v>
      </c>
      <c r="G22" s="23"/>
      <c r="H22" s="23"/>
      <c r="I22" s="23"/>
      <c r="J22" s="23">
        <f>J18*J20</f>
        <v>118.07857296667181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773.56257561999996</v>
      </c>
      <c r="C30" s="39">
        <f>IF(ISERROR(B30*3.6/1000000/'E Balans VL '!Z18*100),0,B30*3.6/1000000/'E Balans VL '!Z18*100)</f>
        <v>0.16390132502935664</v>
      </c>
      <c r="D30" s="237" t="s">
        <v>660</v>
      </c>
    </row>
    <row r="31" spans="1:18">
      <c r="A31" s="6" t="s">
        <v>33</v>
      </c>
      <c r="B31" s="37">
        <f>IF( ISERROR(IND_ander_ele_kWh/1000),0,IND_ander_ele_kWh/1000)</f>
        <v>2318.0779944000001</v>
      </c>
      <c r="C31" s="39">
        <f>IF(ISERROR(B31*3.6/1000000/'E Balans VL '!Z19*100),0,B31*3.6/1000000/'E Balans VL '!Z19*100)</f>
        <v>9.7573166363180863E-2</v>
      </c>
      <c r="D31" s="237" t="s">
        <v>660</v>
      </c>
    </row>
    <row r="32" spans="1:18">
      <c r="A32" s="171" t="s">
        <v>41</v>
      </c>
      <c r="B32" s="37">
        <f>IF( ISERROR(IND_voed_ele_kWh/1000),0,IND_voed_ele_kWh/1000)</f>
        <v>272.98842222000002</v>
      </c>
      <c r="C32" s="39">
        <f>IF(ISERROR(B32*3.6/1000000/'E Balans VL '!Z20*100),0,B32*3.6/1000000/'E Balans VL '!Z20*100)</f>
        <v>4.5605804583421249E-2</v>
      </c>
      <c r="D32" s="237" t="s">
        <v>660</v>
      </c>
    </row>
    <row r="33" spans="1:5">
      <c r="A33" s="171" t="s">
        <v>40</v>
      </c>
      <c r="B33" s="37">
        <f>IF( ISERROR(IND_textiel_ele_kWh/1000),0,IND_textiel_ele_kWh/1000)</f>
        <v>12.980295816</v>
      </c>
      <c r="C33" s="39">
        <f>IF(ISERROR(B33*3.6/1000000/'E Balans VL '!Z21*100),0,B33*3.6/1000000/'E Balans VL '!Z21*100)</f>
        <v>7.5782851349247304E-4</v>
      </c>
      <c r="D33" s="237" t="s">
        <v>660</v>
      </c>
    </row>
    <row r="34" spans="1:5">
      <c r="A34" s="171" t="s">
        <v>37</v>
      </c>
      <c r="B34" s="37">
        <f>IF( ISERROR(IND_min_ele_kWh/1000),0,IND_min_ele_kWh/1000)</f>
        <v>609.00783113</v>
      </c>
      <c r="C34" s="39">
        <f>IF(ISERROR(B34*3.6/1000000/'E Balans VL '!Z22*100),0,B34*3.6/1000000/'E Balans VL '!Z22*100)</f>
        <v>7.7195026965260524E-2</v>
      </c>
      <c r="D34" s="237" t="s">
        <v>660</v>
      </c>
    </row>
    <row r="35" spans="1:5">
      <c r="A35" s="171" t="s">
        <v>39</v>
      </c>
      <c r="B35" s="37">
        <f>IF( ISERROR(IND_papier_ele_kWh/1000),0,IND_papier_ele_kWh/1000)</f>
        <v>2085.0856079</v>
      </c>
      <c r="C35" s="39">
        <f>IF(ISERROR(B35*3.6/1000000/'E Balans VL '!Z22*100),0,B35*3.6/1000000/'E Balans VL '!Z22*100)</f>
        <v>0.26429584563479719</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23838.403864886506</v>
      </c>
      <c r="C37" s="39">
        <f>IF(ISERROR(B37*3.6/1000000/'E Balans VL '!Z15*100),0,B37*3.6/1000000/'E Balans VL '!Z15*100)</f>
        <v>0.19245666505428063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2240.68649473</v>
      </c>
      <c r="C5" s="17">
        <f>'Eigen informatie GS &amp; warmtenet'!B60</f>
        <v>0</v>
      </c>
      <c r="D5" s="30">
        <f>IF(ISERROR(SUM(LB_lb_gas_kWh,LB_rest_gas_kWh)/1000),0,SUM(LB_lb_gas_kWh,LB_rest_gas_kWh)/1000)*0.902</f>
        <v>2699.8076135932001</v>
      </c>
      <c r="E5" s="17">
        <f>B17*'E Balans VL '!I25/3.6*1000000/100</f>
        <v>57.778701457608605</v>
      </c>
      <c r="F5" s="17">
        <f>B17*('E Balans VL '!L25/3.6*1000000+'E Balans VL '!N25/3.6*1000000)/100</f>
        <v>8190.1358562523292</v>
      </c>
      <c r="G5" s="18"/>
      <c r="H5" s="17"/>
      <c r="I5" s="17"/>
      <c r="J5" s="17">
        <f>('E Balans VL '!D25+'E Balans VL '!E25)/3.6*1000000*landbouw!B17/100</f>
        <v>322.57642787542778</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2240.68649473</v>
      </c>
      <c r="C8" s="21">
        <f>C5+C6</f>
        <v>0</v>
      </c>
      <c r="D8" s="21">
        <f>MAX((D5+D6),0)</f>
        <v>2699.8076135932001</v>
      </c>
      <c r="E8" s="21">
        <f>MAX((E5+E6),0)</f>
        <v>57.778701457608605</v>
      </c>
      <c r="F8" s="21">
        <f>MAX((F5+F6),0)</f>
        <v>8190.1358562523292</v>
      </c>
      <c r="G8" s="21"/>
      <c r="H8" s="21"/>
      <c r="I8" s="21"/>
      <c r="J8" s="21">
        <f>MAX((J5+J6),0)</f>
        <v>322.57642787542778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0.20602637058689369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461.6405061322908</v>
      </c>
      <c r="C12" s="23">
        <f ca="1">C8*C10</f>
        <v>0</v>
      </c>
      <c r="D12" s="23">
        <f>D8*D10</f>
        <v>545.3611379458265</v>
      </c>
      <c r="E12" s="23">
        <f>E8*E10</f>
        <v>13.115765230877154</v>
      </c>
      <c r="F12" s="23">
        <f>F8*F10</f>
        <v>2186.766273619372</v>
      </c>
      <c r="G12" s="23"/>
      <c r="H12" s="23"/>
      <c r="I12" s="23"/>
      <c r="J12" s="23">
        <f>J8*J10</f>
        <v>114.19205546790143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0.31595163773147134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78.756513337394736</v>
      </c>
      <c r="C26" s="247">
        <f>B26*'GWP N2O_CH4'!B5</f>
        <v>1653.8867800852895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15.111440403777932</v>
      </c>
      <c r="C27" s="247">
        <f>B27*'GWP N2O_CH4'!B5</f>
        <v>317.34024847933659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1.611705098693675</v>
      </c>
      <c r="C28" s="247">
        <f>B28*'GWP N2O_CH4'!B4</f>
        <v>499.62858059503924</v>
      </c>
      <c r="D28" s="50"/>
    </row>
    <row r="29" spans="1:4">
      <c r="A29" s="41" t="s">
        <v>277</v>
      </c>
      <c r="B29" s="247">
        <f>B34*'ha_N2O bodem landbouw'!B4</f>
        <v>10.467587813198934</v>
      </c>
      <c r="C29" s="247">
        <f>B29*'GWP N2O_CH4'!B4</f>
        <v>3244.9522220916697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2.3557760832383125E-3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2.8850110593246531E-4</v>
      </c>
      <c r="C5" s="463" t="s">
        <v>211</v>
      </c>
      <c r="D5" s="448">
        <f>SUM(D6:D11)</f>
        <v>6.5348539406937369E-4</v>
      </c>
      <c r="E5" s="448">
        <f>SUM(E6:E11)</f>
        <v>2.7956806731656734E-3</v>
      </c>
      <c r="F5" s="461" t="s">
        <v>211</v>
      </c>
      <c r="G5" s="448">
        <f>SUM(G6:G11)</f>
        <v>0.90630279953558346</v>
      </c>
      <c r="H5" s="448">
        <f>SUM(H6:H11)</f>
        <v>0.17889545153108949</v>
      </c>
      <c r="I5" s="463" t="s">
        <v>211</v>
      </c>
      <c r="J5" s="463" t="s">
        <v>211</v>
      </c>
      <c r="K5" s="463" t="s">
        <v>211</v>
      </c>
      <c r="L5" s="463" t="s">
        <v>211</v>
      </c>
      <c r="M5" s="448">
        <f>SUM(M6:M11)</f>
        <v>3.3913084908366656E-2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1.1019748246912061E-4</v>
      </c>
      <c r="C6" s="449"/>
      <c r="D6" s="892">
        <f>vkm_2011_GW_PW*SUMIFS(TableVerdeelsleutelVkm[CNG],TableVerdeelsleutelVkm[Voertuigtype],"Lichte voertuigen")*SUMIFS(TableECFTransport[EnergieConsumptieFactor (PJ per km)],TableECFTransport[Index],CONCATENATE($A6,"_CNG_CNG"))</f>
        <v>2.1896432794414188E-4</v>
      </c>
      <c r="E6" s="892">
        <f>vkm_2011_GW_PW*SUMIFS(TableVerdeelsleutelVkm[LPG],TableVerdeelsleutelVkm[Voertuigtype],"Lichte voertuigen")*SUMIFS(TableECFTransport[EnergieConsumptieFactor (PJ per km)],TableECFTransport[Index],CONCATENATE($A6,"_LPG_LPG"))</f>
        <v>8.6170312328759326E-4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0.20488343595954187</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5.9280230970651944E-2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8.2315837938414446E-3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0.11705623231708877</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3.7814162920709747E-5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3.6882627753720395E-3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4.4245008240267796E-5</v>
      </c>
      <c r="C8" s="449"/>
      <c r="D8" s="451">
        <f>vkm_2011_NGW_PW*SUMIFS(TableVerdeelsleutelVkm[CNG],TableVerdeelsleutelVkm[Voertuigtype],"Lichte voertuigen")*SUMIFS(TableECFTransport[EnergieConsumptieFactor (PJ per km)],TableECFTransport[Index],CONCATENATE($A8,"_CNG_CNG"))</f>
        <v>1.5566646816044248E-4</v>
      </c>
      <c r="E8" s="451">
        <f>vkm_2011_NGW_PW*SUMIFS(TableVerdeelsleutelVkm[LPG],TableVerdeelsleutelVkm[Voertuigtype],"Lichte voertuigen")*SUMIFS(TableECFTransport[EnergieConsumptieFactor (PJ per km)],TableECFTransport[Index],CONCATENATE($A8,"_LPG_LPG"))</f>
        <v>5.6654987743721399E-4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0.12578999908795685</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4.0864727367748731E-2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5.1878966042165856E-3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1.6255207543979706E-2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4.9661037343030853E-6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5.1216816925903292E-4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1.3405861522307688E-4</v>
      </c>
      <c r="C10" s="449"/>
      <c r="D10" s="451">
        <f>vkm_2011_SW_PW*SUMIFS(TableVerdeelsleutelVkm[CNG],TableVerdeelsleutelVkm[Voertuigtype],"Lichte voertuigen")*SUMIFS(TableECFTransport[EnergieConsumptieFactor (PJ per km)],TableECFTransport[Index],CONCATENATE($A10,"_CNG_CNG"))</f>
        <v>2.7885459796478932E-4</v>
      </c>
      <c r="E10" s="451">
        <f>vkm_2011_SW_PW*SUMIFS(TableVerdeelsleutelVkm[LPG],TableVerdeelsleutelVkm[Voertuigtype],"Lichte voertuigen")*SUMIFS(TableECFTransport[EnergieConsumptieFactor (PJ per km)],TableECFTransport[Index],CONCATENATE($A10,"_LPG_LPG"))</f>
        <v>1.3674276724408658E-3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0.29124639393987672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7.8655131197185243E-2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1.1533027435111011E-2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0.15107153068713958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5.2581728848564737E-5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4.7601461305665418E-3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80.139196092351469</v>
      </c>
      <c r="C14" s="21"/>
      <c r="D14" s="21">
        <f t="shared" ref="D14:M14" si="0">((D5)*10^9/3600)+D12</f>
        <v>181.52372057482603</v>
      </c>
      <c r="E14" s="21">
        <f t="shared" si="0"/>
        <v>776.57796476824262</v>
      </c>
      <c r="F14" s="21"/>
      <c r="G14" s="21">
        <f t="shared" si="0"/>
        <v>251750.77764877319</v>
      </c>
      <c r="H14" s="21">
        <f t="shared" si="0"/>
        <v>49693.180980858189</v>
      </c>
      <c r="I14" s="21"/>
      <c r="J14" s="21"/>
      <c r="K14" s="21"/>
      <c r="L14" s="21"/>
      <c r="M14" s="21">
        <f t="shared" si="0"/>
        <v>9420.3013634351828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0.20602637058689369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16.510787712658548</v>
      </c>
      <c r="C18" s="23"/>
      <c r="D18" s="23">
        <f t="shared" ref="D18:M18" si="1">D14*D16</f>
        <v>36.667791556114864</v>
      </c>
      <c r="E18" s="23">
        <f t="shared" si="1"/>
        <v>176.28319800239109</v>
      </c>
      <c r="F18" s="23"/>
      <c r="G18" s="23">
        <f t="shared" si="1"/>
        <v>67217.457632222446</v>
      </c>
      <c r="H18" s="23">
        <f t="shared" si="1"/>
        <v>12373.60206423369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1.3778050678654409E-2</v>
      </c>
      <c r="H50" s="321">
        <f t="shared" si="2"/>
        <v>0</v>
      </c>
      <c r="I50" s="321">
        <f t="shared" si="2"/>
        <v>0</v>
      </c>
      <c r="J50" s="321">
        <f t="shared" si="2"/>
        <v>0</v>
      </c>
      <c r="K50" s="321">
        <f t="shared" si="2"/>
        <v>0</v>
      </c>
      <c r="L50" s="321">
        <f t="shared" si="2"/>
        <v>0</v>
      </c>
      <c r="M50" s="321">
        <f t="shared" si="2"/>
        <v>4.2736430804367212E-4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1.3778050678654409E-2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4.2736430804367212E-4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3827.2362996262245</v>
      </c>
      <c r="H54" s="21">
        <f t="shared" si="3"/>
        <v>0</v>
      </c>
      <c r="I54" s="21">
        <f t="shared" si="3"/>
        <v>0</v>
      </c>
      <c r="J54" s="21">
        <f t="shared" si="3"/>
        <v>0</v>
      </c>
      <c r="K54" s="21">
        <f t="shared" si="3"/>
        <v>0</v>
      </c>
      <c r="L54" s="21">
        <f t="shared" si="3"/>
        <v>0</v>
      </c>
      <c r="M54" s="21">
        <f t="shared" si="3"/>
        <v>118.71230778990892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0.20602637058689369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1021.872092000202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40583.3943105</v>
      </c>
      <c r="D10" s="1012">
        <f ca="1">tertiair!C16</f>
        <v>0</v>
      </c>
      <c r="E10" s="1012">
        <f ca="1">tertiair!D16</f>
        <v>43459.076355772006</v>
      </c>
      <c r="F10" s="1012">
        <f>tertiair!E16</f>
        <v>698.42692871768622</v>
      </c>
      <c r="G10" s="1012">
        <f ca="1">tertiair!F16</f>
        <v>9802.7530820686497</v>
      </c>
      <c r="H10" s="1012">
        <f>tertiair!G16</f>
        <v>0</v>
      </c>
      <c r="I10" s="1012">
        <f>tertiair!H16</f>
        <v>0</v>
      </c>
      <c r="J10" s="1012">
        <f>tertiair!I16</f>
        <v>0</v>
      </c>
      <c r="K10" s="1012">
        <f>tertiair!J16</f>
        <v>0</v>
      </c>
      <c r="L10" s="1012">
        <f>tertiair!K16</f>
        <v>0</v>
      </c>
      <c r="M10" s="1012">
        <f ca="1">tertiair!L16</f>
        <v>0</v>
      </c>
      <c r="N10" s="1012">
        <f>tertiair!M16</f>
        <v>0</v>
      </c>
      <c r="O10" s="1012">
        <f ca="1">tertiair!N16</f>
        <v>6204.1756980628479</v>
      </c>
      <c r="P10" s="1012">
        <f>tertiair!O16</f>
        <v>4.6900000000000004</v>
      </c>
      <c r="Q10" s="1013">
        <f>tertiair!P16</f>
        <v>76.266666666666666</v>
      </c>
      <c r="R10" s="700">
        <f ca="1">SUM(C10:Q10)</f>
        <v>100828.78304178786</v>
      </c>
      <c r="S10" s="67"/>
    </row>
    <row r="11" spans="1:19" s="473" customFormat="1">
      <c r="A11" s="809" t="s">
        <v>225</v>
      </c>
      <c r="B11" s="814"/>
      <c r="C11" s="1012">
        <f>huishoudens!B8</f>
        <v>51838.279266857367</v>
      </c>
      <c r="D11" s="1012">
        <f>huishoudens!C8</f>
        <v>0</v>
      </c>
      <c r="E11" s="1012">
        <f>huishoudens!D8</f>
        <v>79873.727237766012</v>
      </c>
      <c r="F11" s="1012">
        <f>huishoudens!E8</f>
        <v>12460.867423287658</v>
      </c>
      <c r="G11" s="1012">
        <f>huishoudens!F8</f>
        <v>97203.089904823617</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16333.700956325647</v>
      </c>
      <c r="P11" s="1012">
        <f>huishoudens!O8</f>
        <v>297.03333333333336</v>
      </c>
      <c r="Q11" s="1013">
        <f>huishoudens!P8</f>
        <v>1582.5333333333333</v>
      </c>
      <c r="R11" s="700">
        <f>SUM(C11:Q11)</f>
        <v>259589.23145572699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29910.106591972508</v>
      </c>
      <c r="D13" s="1012">
        <f>industrie!C18</f>
        <v>0</v>
      </c>
      <c r="E13" s="1012">
        <f>industrie!D18</f>
        <v>12364.743938281901</v>
      </c>
      <c r="F13" s="1012">
        <f>industrie!E18</f>
        <v>1941.992838341532</v>
      </c>
      <c r="G13" s="1012">
        <f>industrie!F18</f>
        <v>7743.3812517920223</v>
      </c>
      <c r="H13" s="1012">
        <f>industrie!G18</f>
        <v>0</v>
      </c>
      <c r="I13" s="1012">
        <f>industrie!H18</f>
        <v>0</v>
      </c>
      <c r="J13" s="1012">
        <f>industrie!I18</f>
        <v>0</v>
      </c>
      <c r="K13" s="1012">
        <f>industrie!J18</f>
        <v>333.55529086630457</v>
      </c>
      <c r="L13" s="1012">
        <f>industrie!K18</f>
        <v>0</v>
      </c>
      <c r="M13" s="1012">
        <f>industrie!L18</f>
        <v>0</v>
      </c>
      <c r="N13" s="1012">
        <f>industrie!M18</f>
        <v>0</v>
      </c>
      <c r="O13" s="1012">
        <f>industrie!N18</f>
        <v>9461.7529907296157</v>
      </c>
      <c r="P13" s="1012">
        <f>industrie!O18</f>
        <v>0</v>
      </c>
      <c r="Q13" s="1013">
        <f>industrie!P18</f>
        <v>0</v>
      </c>
      <c r="R13" s="700">
        <f>SUM(C13:Q13)</f>
        <v>61755.532901983883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122331.78016932988</v>
      </c>
      <c r="D16" s="732">
        <f t="shared" ref="D16:R16" ca="1" si="0">SUM(D9:D15)</f>
        <v>0</v>
      </c>
      <c r="E16" s="732">
        <f t="shared" ca="1" si="0"/>
        <v>135697.54753181993</v>
      </c>
      <c r="F16" s="732">
        <f t="shared" si="0"/>
        <v>15101.287190346877</v>
      </c>
      <c r="G16" s="732">
        <f t="shared" ca="1" si="0"/>
        <v>114749.22423868428</v>
      </c>
      <c r="H16" s="732">
        <f t="shared" si="0"/>
        <v>0</v>
      </c>
      <c r="I16" s="732">
        <f t="shared" si="0"/>
        <v>0</v>
      </c>
      <c r="J16" s="732">
        <f t="shared" si="0"/>
        <v>0</v>
      </c>
      <c r="K16" s="732">
        <f t="shared" si="0"/>
        <v>333.55529086630457</v>
      </c>
      <c r="L16" s="732">
        <f t="shared" si="0"/>
        <v>0</v>
      </c>
      <c r="M16" s="732">
        <f t="shared" ca="1" si="0"/>
        <v>0</v>
      </c>
      <c r="N16" s="732">
        <f t="shared" si="0"/>
        <v>0</v>
      </c>
      <c r="O16" s="732">
        <f t="shared" ca="1" si="0"/>
        <v>31999.629645118112</v>
      </c>
      <c r="P16" s="732">
        <f t="shared" si="0"/>
        <v>301.72333333333336</v>
      </c>
      <c r="Q16" s="732">
        <f t="shared" si="0"/>
        <v>1658.8</v>
      </c>
      <c r="R16" s="732">
        <f t="shared" ca="1" si="0"/>
        <v>422173.5473994987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3827.2362996262245</v>
      </c>
      <c r="I19" s="1012">
        <f>transport!H54</f>
        <v>0</v>
      </c>
      <c r="J19" s="1012">
        <f>transport!I54</f>
        <v>0</v>
      </c>
      <c r="K19" s="1012">
        <f>transport!J54</f>
        <v>0</v>
      </c>
      <c r="L19" s="1012">
        <f>transport!K54</f>
        <v>0</v>
      </c>
      <c r="M19" s="1012">
        <f>transport!L54</f>
        <v>0</v>
      </c>
      <c r="N19" s="1012">
        <f>transport!M54</f>
        <v>118.71230778990892</v>
      </c>
      <c r="O19" s="1012">
        <f>transport!N54</f>
        <v>0</v>
      </c>
      <c r="P19" s="1012">
        <f>transport!O54</f>
        <v>0</v>
      </c>
      <c r="Q19" s="1013">
        <f>transport!P54</f>
        <v>0</v>
      </c>
      <c r="R19" s="700">
        <f>SUM(C19:Q19)</f>
        <v>3945.9486074161337</v>
      </c>
      <c r="S19" s="67"/>
    </row>
    <row r="20" spans="1:19" s="473" customFormat="1">
      <c r="A20" s="809" t="s">
        <v>307</v>
      </c>
      <c r="B20" s="814"/>
      <c r="C20" s="1012">
        <f>transport!B14</f>
        <v>80.139196092351469</v>
      </c>
      <c r="D20" s="1012">
        <f>transport!C14</f>
        <v>0</v>
      </c>
      <c r="E20" s="1012">
        <f>transport!D14</f>
        <v>181.52372057482603</v>
      </c>
      <c r="F20" s="1012">
        <f>transport!E14</f>
        <v>776.57796476824262</v>
      </c>
      <c r="G20" s="1012">
        <f>transport!F14</f>
        <v>0</v>
      </c>
      <c r="H20" s="1012">
        <f>transport!G14</f>
        <v>251750.77764877319</v>
      </c>
      <c r="I20" s="1012">
        <f>transport!H14</f>
        <v>49693.180980858189</v>
      </c>
      <c r="J20" s="1012">
        <f>transport!I14</f>
        <v>0</v>
      </c>
      <c r="K20" s="1012">
        <f>transport!J14</f>
        <v>0</v>
      </c>
      <c r="L20" s="1012">
        <f>transport!K14</f>
        <v>0</v>
      </c>
      <c r="M20" s="1012">
        <f>transport!L14</f>
        <v>0</v>
      </c>
      <c r="N20" s="1012">
        <f>transport!M14</f>
        <v>9420.3013634351828</v>
      </c>
      <c r="O20" s="1012">
        <f>transport!N14</f>
        <v>0</v>
      </c>
      <c r="P20" s="1012">
        <f>transport!O14</f>
        <v>0</v>
      </c>
      <c r="Q20" s="1013">
        <f>transport!P14</f>
        <v>0</v>
      </c>
      <c r="R20" s="700">
        <f>SUM(C20:Q20)</f>
        <v>311902.50087450194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80.139196092351469</v>
      </c>
      <c r="D22" s="812">
        <f t="shared" ref="D22:R22" si="1">SUM(D18:D21)</f>
        <v>0</v>
      </c>
      <c r="E22" s="812">
        <f t="shared" si="1"/>
        <v>181.52372057482603</v>
      </c>
      <c r="F22" s="812">
        <f t="shared" si="1"/>
        <v>776.57796476824262</v>
      </c>
      <c r="G22" s="812">
        <f t="shared" si="1"/>
        <v>0</v>
      </c>
      <c r="H22" s="812">
        <f t="shared" si="1"/>
        <v>255578.01394839943</v>
      </c>
      <c r="I22" s="812">
        <f t="shared" si="1"/>
        <v>49693.180980858189</v>
      </c>
      <c r="J22" s="812">
        <f t="shared" si="1"/>
        <v>0</v>
      </c>
      <c r="K22" s="812">
        <f t="shared" si="1"/>
        <v>0</v>
      </c>
      <c r="L22" s="812">
        <f t="shared" si="1"/>
        <v>0</v>
      </c>
      <c r="M22" s="812">
        <f t="shared" si="1"/>
        <v>0</v>
      </c>
      <c r="N22" s="812">
        <f t="shared" si="1"/>
        <v>9539.0136712250915</v>
      </c>
      <c r="O22" s="812">
        <f t="shared" si="1"/>
        <v>0</v>
      </c>
      <c r="P22" s="812">
        <f t="shared" si="1"/>
        <v>0</v>
      </c>
      <c r="Q22" s="812">
        <f t="shared" si="1"/>
        <v>0</v>
      </c>
      <c r="R22" s="812">
        <f t="shared" si="1"/>
        <v>315848.44948191807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2240.68649473</v>
      </c>
      <c r="D24" s="1012">
        <f>+landbouw!C8</f>
        <v>0</v>
      </c>
      <c r="E24" s="1012">
        <f>+landbouw!D8</f>
        <v>2699.8076135932001</v>
      </c>
      <c r="F24" s="1012">
        <f>+landbouw!E8</f>
        <v>57.778701457608605</v>
      </c>
      <c r="G24" s="1012">
        <f>+landbouw!F8</f>
        <v>8190.1358562523292</v>
      </c>
      <c r="H24" s="1012">
        <f>+landbouw!G8</f>
        <v>0</v>
      </c>
      <c r="I24" s="1012">
        <f>+landbouw!H8</f>
        <v>0</v>
      </c>
      <c r="J24" s="1012">
        <f>+landbouw!I8</f>
        <v>0</v>
      </c>
      <c r="K24" s="1012">
        <f>+landbouw!J8</f>
        <v>322.57642787542778</v>
      </c>
      <c r="L24" s="1012">
        <f>+landbouw!K8</f>
        <v>0</v>
      </c>
      <c r="M24" s="1012">
        <f>+landbouw!L8</f>
        <v>0</v>
      </c>
      <c r="N24" s="1012">
        <f>+landbouw!M8</f>
        <v>0</v>
      </c>
      <c r="O24" s="1012">
        <f>+landbouw!N8</f>
        <v>0</v>
      </c>
      <c r="P24" s="1012">
        <f>+landbouw!O8</f>
        <v>0</v>
      </c>
      <c r="Q24" s="1013">
        <f>+landbouw!P8</f>
        <v>0</v>
      </c>
      <c r="R24" s="700">
        <f>SUM(C24:Q24)</f>
        <v>13510.985093908566</v>
      </c>
      <c r="S24" s="67"/>
    </row>
    <row r="25" spans="1:19" s="473" customFormat="1" ht="15" thickBot="1">
      <c r="A25" s="831" t="s">
        <v>848</v>
      </c>
      <c r="B25" s="1015"/>
      <c r="C25" s="1016">
        <f>IF(Onbekend_ele_kWh="---",0,Onbekend_ele_kWh)/1000+IF(REST_rest_ele_kWh="---",0,REST_rest_ele_kWh)/1000</f>
        <v>1746.2614875000002</v>
      </c>
      <c r="D25" s="1016"/>
      <c r="E25" s="1016">
        <f>IF(onbekend_gas_kWh="---",0,onbekend_gas_kWh)/1000+IF(REST_rest_gas_kWh="---",0,REST_rest_gas_kWh)/1000</f>
        <v>4371.8496415999998</v>
      </c>
      <c r="F25" s="1016"/>
      <c r="G25" s="1016"/>
      <c r="H25" s="1016"/>
      <c r="I25" s="1016"/>
      <c r="J25" s="1016"/>
      <c r="K25" s="1016"/>
      <c r="L25" s="1016"/>
      <c r="M25" s="1016"/>
      <c r="N25" s="1016"/>
      <c r="O25" s="1016"/>
      <c r="P25" s="1016"/>
      <c r="Q25" s="1017"/>
      <c r="R25" s="700">
        <f>SUM(C25:Q25)</f>
        <v>6118.1111290999997</v>
      </c>
      <c r="S25" s="67"/>
    </row>
    <row r="26" spans="1:19" s="473" customFormat="1" ht="15.75" thickBot="1">
      <c r="A26" s="705" t="s">
        <v>849</v>
      </c>
      <c r="B26" s="817"/>
      <c r="C26" s="812">
        <f>SUM(C24:C25)</f>
        <v>3986.94798223</v>
      </c>
      <c r="D26" s="812">
        <f t="shared" ref="D26:R26" si="2">SUM(D24:D25)</f>
        <v>0</v>
      </c>
      <c r="E26" s="812">
        <f t="shared" si="2"/>
        <v>7071.6572551932004</v>
      </c>
      <c r="F26" s="812">
        <f t="shared" si="2"/>
        <v>57.778701457608605</v>
      </c>
      <c r="G26" s="812">
        <f t="shared" si="2"/>
        <v>8190.1358562523292</v>
      </c>
      <c r="H26" s="812">
        <f t="shared" si="2"/>
        <v>0</v>
      </c>
      <c r="I26" s="812">
        <f t="shared" si="2"/>
        <v>0</v>
      </c>
      <c r="J26" s="812">
        <f t="shared" si="2"/>
        <v>0</v>
      </c>
      <c r="K26" s="812">
        <f t="shared" si="2"/>
        <v>322.57642787542778</v>
      </c>
      <c r="L26" s="812">
        <f t="shared" si="2"/>
        <v>0</v>
      </c>
      <c r="M26" s="812">
        <f t="shared" si="2"/>
        <v>0</v>
      </c>
      <c r="N26" s="812">
        <f t="shared" si="2"/>
        <v>0</v>
      </c>
      <c r="O26" s="812">
        <f t="shared" si="2"/>
        <v>0</v>
      </c>
      <c r="P26" s="812">
        <f t="shared" si="2"/>
        <v>0</v>
      </c>
      <c r="Q26" s="812">
        <f t="shared" si="2"/>
        <v>0</v>
      </c>
      <c r="R26" s="812">
        <f t="shared" si="2"/>
        <v>19629.096223008564</v>
      </c>
      <c r="S26" s="67"/>
    </row>
    <row r="27" spans="1:19" s="473" customFormat="1" ht="17.25" thickTop="1" thickBot="1">
      <c r="A27" s="706" t="s">
        <v>116</v>
      </c>
      <c r="B27" s="805"/>
      <c r="C27" s="707">
        <f ca="1">C22+C16+C26</f>
        <v>126398.86734765224</v>
      </c>
      <c r="D27" s="707">
        <f t="shared" ref="D27:R27" ca="1" si="3">D22+D16+D26</f>
        <v>0</v>
      </c>
      <c r="E27" s="707">
        <f t="shared" ca="1" si="3"/>
        <v>142950.72850758795</v>
      </c>
      <c r="F27" s="707">
        <f t="shared" si="3"/>
        <v>15935.643856572728</v>
      </c>
      <c r="G27" s="707">
        <f t="shared" ca="1" si="3"/>
        <v>122939.36009493661</v>
      </c>
      <c r="H27" s="707">
        <f t="shared" si="3"/>
        <v>255578.01394839943</v>
      </c>
      <c r="I27" s="707">
        <f t="shared" si="3"/>
        <v>49693.180980858189</v>
      </c>
      <c r="J27" s="707">
        <f t="shared" si="3"/>
        <v>0</v>
      </c>
      <c r="K27" s="707">
        <f t="shared" si="3"/>
        <v>656.13171874173236</v>
      </c>
      <c r="L27" s="707">
        <f t="shared" si="3"/>
        <v>0</v>
      </c>
      <c r="M27" s="707">
        <f t="shared" ca="1" si="3"/>
        <v>0</v>
      </c>
      <c r="N27" s="707">
        <f t="shared" si="3"/>
        <v>9539.0136712250915</v>
      </c>
      <c r="O27" s="707">
        <f t="shared" ca="1" si="3"/>
        <v>31999.629645118112</v>
      </c>
      <c r="P27" s="707">
        <f t="shared" si="3"/>
        <v>301.72333333333336</v>
      </c>
      <c r="Q27" s="707">
        <f t="shared" si="3"/>
        <v>1658.8</v>
      </c>
      <c r="R27" s="707">
        <f t="shared" ca="1" si="3"/>
        <v>757651.09310442535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8361.2494358891072</v>
      </c>
      <c r="D40" s="1012">
        <f ca="1">tertiair!C20</f>
        <v>0</v>
      </c>
      <c r="E40" s="1012">
        <f ca="1">tertiair!D20</f>
        <v>8778.733423865946</v>
      </c>
      <c r="F40" s="1012">
        <f>tertiair!E20</f>
        <v>158.54291281891477</v>
      </c>
      <c r="G40" s="1012">
        <f ca="1">tertiair!F20</f>
        <v>2617.3350729123295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19915.860845486295</v>
      </c>
    </row>
    <row r="41" spans="1:18">
      <c r="A41" s="822" t="s">
        <v>225</v>
      </c>
      <c r="B41" s="829"/>
      <c r="C41" s="1012">
        <f ca="1">huishoudens!B12</f>
        <v>10680.052534820443</v>
      </c>
      <c r="D41" s="1012">
        <f ca="1">huishoudens!C12</f>
        <v>0</v>
      </c>
      <c r="E41" s="1012">
        <f>huishoudens!D12</f>
        <v>16134.492902028736</v>
      </c>
      <c r="F41" s="1012">
        <f>huishoudens!E12</f>
        <v>2828.6169050862986</v>
      </c>
      <c r="G41" s="1012">
        <f>huishoudens!F12</f>
        <v>25953.225004587908</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55596.387346523385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6162.2707050112194</v>
      </c>
      <c r="D43" s="1012">
        <f ca="1">industrie!C22</f>
        <v>0</v>
      </c>
      <c r="E43" s="1012">
        <f>industrie!D22</f>
        <v>2497.6782755329441</v>
      </c>
      <c r="F43" s="1012">
        <f>industrie!E22</f>
        <v>440.83237430352779</v>
      </c>
      <c r="G43" s="1012">
        <f>industrie!F22</f>
        <v>2067.4827942284701</v>
      </c>
      <c r="H43" s="1012">
        <f>industrie!G22</f>
        <v>0</v>
      </c>
      <c r="I43" s="1012">
        <f>industrie!H22</f>
        <v>0</v>
      </c>
      <c r="J43" s="1012">
        <f>industrie!I22</f>
        <v>0</v>
      </c>
      <c r="K43" s="1012">
        <f>industrie!J22</f>
        <v>118.07857296667181</v>
      </c>
      <c r="L43" s="1012">
        <f>industrie!K22</f>
        <v>0</v>
      </c>
      <c r="M43" s="1012">
        <f>industrie!L22</f>
        <v>0</v>
      </c>
      <c r="N43" s="1012">
        <f>industrie!M22</f>
        <v>0</v>
      </c>
      <c r="O43" s="1012">
        <f>industrie!N22</f>
        <v>0</v>
      </c>
      <c r="P43" s="1012">
        <f>industrie!O22</f>
        <v>0</v>
      </c>
      <c r="Q43" s="774">
        <f>industrie!P22</f>
        <v>0</v>
      </c>
      <c r="R43" s="849">
        <f t="shared" ca="1" si="4"/>
        <v>11286.342722042831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25203.57267572077</v>
      </c>
      <c r="D46" s="732">
        <f t="shared" ref="D46:Q46" ca="1" si="5">SUM(D39:D45)</f>
        <v>0</v>
      </c>
      <c r="E46" s="732">
        <f t="shared" ca="1" si="5"/>
        <v>27410.904601427628</v>
      </c>
      <c r="F46" s="732">
        <f t="shared" si="5"/>
        <v>3427.9921922087415</v>
      </c>
      <c r="G46" s="732">
        <f t="shared" ca="1" si="5"/>
        <v>30638.042871728707</v>
      </c>
      <c r="H46" s="732">
        <f t="shared" si="5"/>
        <v>0</v>
      </c>
      <c r="I46" s="732">
        <f t="shared" si="5"/>
        <v>0</v>
      </c>
      <c r="J46" s="732">
        <f t="shared" si="5"/>
        <v>0</v>
      </c>
      <c r="K46" s="732">
        <f t="shared" si="5"/>
        <v>118.07857296667181</v>
      </c>
      <c r="L46" s="732">
        <f t="shared" si="5"/>
        <v>0</v>
      </c>
      <c r="M46" s="732">
        <f t="shared" ca="1" si="5"/>
        <v>0</v>
      </c>
      <c r="N46" s="732">
        <f t="shared" si="5"/>
        <v>0</v>
      </c>
      <c r="O46" s="732">
        <f t="shared" ca="1" si="5"/>
        <v>0</v>
      </c>
      <c r="P46" s="732">
        <f t="shared" si="5"/>
        <v>0</v>
      </c>
      <c r="Q46" s="732">
        <f t="shared" si="5"/>
        <v>0</v>
      </c>
      <c r="R46" s="732">
        <f ca="1">SUM(R39:R45)</f>
        <v>86798.590914052504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1021.872092000202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1021.872092000202</v>
      </c>
    </row>
    <row r="50" spans="1:18">
      <c r="A50" s="825" t="s">
        <v>307</v>
      </c>
      <c r="B50" s="835"/>
      <c r="C50" s="703">
        <f ca="1">transport!B18</f>
        <v>16.510787712658548</v>
      </c>
      <c r="D50" s="703">
        <f>transport!C18</f>
        <v>0</v>
      </c>
      <c r="E50" s="703">
        <f>transport!D18</f>
        <v>36.667791556114864</v>
      </c>
      <c r="F50" s="703">
        <f>transport!E18</f>
        <v>176.28319800239109</v>
      </c>
      <c r="G50" s="703">
        <f>transport!F18</f>
        <v>0</v>
      </c>
      <c r="H50" s="703">
        <f>transport!G18</f>
        <v>67217.457632222446</v>
      </c>
      <c r="I50" s="703">
        <f>transport!H18</f>
        <v>12373.60206423369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79820.521473727305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16.510787712658548</v>
      </c>
      <c r="D52" s="732">
        <f t="shared" ref="D52:Q52" ca="1" si="6">SUM(D48:D51)</f>
        <v>0</v>
      </c>
      <c r="E52" s="732">
        <f t="shared" si="6"/>
        <v>36.667791556114864</v>
      </c>
      <c r="F52" s="732">
        <f t="shared" si="6"/>
        <v>176.28319800239109</v>
      </c>
      <c r="G52" s="732">
        <f t="shared" si="6"/>
        <v>0</v>
      </c>
      <c r="H52" s="732">
        <f t="shared" si="6"/>
        <v>68239.329724222654</v>
      </c>
      <c r="I52" s="732">
        <f t="shared" si="6"/>
        <v>12373.60206423369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80842.393565727514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461.6405061322908</v>
      </c>
      <c r="D54" s="703">
        <f ca="1">+landbouw!C12</f>
        <v>0</v>
      </c>
      <c r="E54" s="703">
        <f>+landbouw!D12</f>
        <v>545.3611379458265</v>
      </c>
      <c r="F54" s="703">
        <f>+landbouw!E12</f>
        <v>13.115765230877154</v>
      </c>
      <c r="G54" s="703">
        <f>+landbouw!F12</f>
        <v>2186.766273619372</v>
      </c>
      <c r="H54" s="703">
        <f>+landbouw!G12</f>
        <v>0</v>
      </c>
      <c r="I54" s="703">
        <f>+landbouw!H12</f>
        <v>0</v>
      </c>
      <c r="J54" s="703">
        <f>+landbouw!I12</f>
        <v>0</v>
      </c>
      <c r="K54" s="703">
        <f>+landbouw!J12</f>
        <v>114.19205546790143</v>
      </c>
      <c r="L54" s="703">
        <f>+landbouw!K12</f>
        <v>0</v>
      </c>
      <c r="M54" s="703">
        <f>+landbouw!L12</f>
        <v>0</v>
      </c>
      <c r="N54" s="703">
        <f>+landbouw!M12</f>
        <v>0</v>
      </c>
      <c r="O54" s="703">
        <f>+landbouw!N12</f>
        <v>0</v>
      </c>
      <c r="P54" s="703">
        <f>+landbouw!O12</f>
        <v>0</v>
      </c>
      <c r="Q54" s="704">
        <f>+landbouw!P12</f>
        <v>0</v>
      </c>
      <c r="R54" s="731">
        <f ca="1">SUM(C54:Q54)</f>
        <v>3321.0757383962678</v>
      </c>
    </row>
    <row r="55" spans="1:18" ht="15" thickBot="1">
      <c r="A55" s="825" t="s">
        <v>848</v>
      </c>
      <c r="B55" s="835"/>
      <c r="C55" s="703">
        <f ca="1">C25*'EF ele_warmte'!B12</f>
        <v>359.77591636529525</v>
      </c>
      <c r="D55" s="703"/>
      <c r="E55" s="703">
        <f>E25*EF_CO2_aardgas</f>
        <v>883.11362760320003</v>
      </c>
      <c r="F55" s="703"/>
      <c r="G55" s="703"/>
      <c r="H55" s="703"/>
      <c r="I55" s="703"/>
      <c r="J55" s="703"/>
      <c r="K55" s="703"/>
      <c r="L55" s="703"/>
      <c r="M55" s="703"/>
      <c r="N55" s="703"/>
      <c r="O55" s="703"/>
      <c r="P55" s="703"/>
      <c r="Q55" s="704"/>
      <c r="R55" s="731">
        <f ca="1">SUM(C55:Q55)</f>
        <v>1242.8895439684952</v>
      </c>
    </row>
    <row r="56" spans="1:18" ht="15.75" thickBot="1">
      <c r="A56" s="823" t="s">
        <v>849</v>
      </c>
      <c r="B56" s="836"/>
      <c r="C56" s="732">
        <f ca="1">SUM(C54:C55)</f>
        <v>821.41642249758604</v>
      </c>
      <c r="D56" s="732">
        <f t="shared" ref="D56:Q56" ca="1" si="7">SUM(D54:D55)</f>
        <v>0</v>
      </c>
      <c r="E56" s="732">
        <f t="shared" si="7"/>
        <v>1428.4747655490264</v>
      </c>
      <c r="F56" s="732">
        <f t="shared" si="7"/>
        <v>13.115765230877154</v>
      </c>
      <c r="G56" s="732">
        <f t="shared" si="7"/>
        <v>2186.766273619372</v>
      </c>
      <c r="H56" s="732">
        <f t="shared" si="7"/>
        <v>0</v>
      </c>
      <c r="I56" s="732">
        <f t="shared" si="7"/>
        <v>0</v>
      </c>
      <c r="J56" s="732">
        <f t="shared" si="7"/>
        <v>0</v>
      </c>
      <c r="K56" s="732">
        <f t="shared" si="7"/>
        <v>114.19205546790143</v>
      </c>
      <c r="L56" s="732">
        <f t="shared" si="7"/>
        <v>0</v>
      </c>
      <c r="M56" s="732">
        <f t="shared" si="7"/>
        <v>0</v>
      </c>
      <c r="N56" s="732">
        <f t="shared" si="7"/>
        <v>0</v>
      </c>
      <c r="O56" s="732">
        <f t="shared" si="7"/>
        <v>0</v>
      </c>
      <c r="P56" s="732">
        <f t="shared" si="7"/>
        <v>0</v>
      </c>
      <c r="Q56" s="733">
        <f t="shared" si="7"/>
        <v>0</v>
      </c>
      <c r="R56" s="734">
        <f ca="1">SUM(R54:R55)</f>
        <v>4563.965282364763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26041.499885931014</v>
      </c>
      <c r="D61" s="740">
        <f t="shared" ref="D61:Q61" ca="1" si="8">D46+D52+D56</f>
        <v>0</v>
      </c>
      <c r="E61" s="740">
        <f t="shared" ca="1" si="8"/>
        <v>28876.047158532769</v>
      </c>
      <c r="F61" s="740">
        <f t="shared" si="8"/>
        <v>3617.3911554420097</v>
      </c>
      <c r="G61" s="740">
        <f t="shared" ca="1" si="8"/>
        <v>32824.809145348081</v>
      </c>
      <c r="H61" s="740">
        <f t="shared" si="8"/>
        <v>68239.329724222654</v>
      </c>
      <c r="I61" s="740">
        <f t="shared" si="8"/>
        <v>12373.60206423369</v>
      </c>
      <c r="J61" s="740">
        <f t="shared" si="8"/>
        <v>0</v>
      </c>
      <c r="K61" s="740">
        <f t="shared" si="8"/>
        <v>232.27062843457324</v>
      </c>
      <c r="L61" s="740">
        <f t="shared" si="8"/>
        <v>0</v>
      </c>
      <c r="M61" s="740">
        <f t="shared" ca="1" si="8"/>
        <v>0</v>
      </c>
      <c r="N61" s="740">
        <f t="shared" si="8"/>
        <v>0</v>
      </c>
      <c r="O61" s="740">
        <f t="shared" ca="1" si="8"/>
        <v>0</v>
      </c>
      <c r="P61" s="740">
        <f t="shared" si="8"/>
        <v>0</v>
      </c>
      <c r="Q61" s="740">
        <f t="shared" si="8"/>
        <v>0</v>
      </c>
      <c r="R61" s="740">
        <f ca="1">R46+R52+R56</f>
        <v>172204.94976214477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0.20602637058689369</v>
      </c>
      <c r="D63" s="781">
        <f t="shared" ca="1" si="9"/>
        <v>0</v>
      </c>
      <c r="E63" s="1023">
        <f t="shared" ca="1" si="9"/>
        <v>0.20200000000000001</v>
      </c>
      <c r="F63" s="781">
        <f t="shared" si="9"/>
        <v>0.22700000000000004</v>
      </c>
      <c r="G63" s="781">
        <f t="shared" ca="1" si="9"/>
        <v>0.26700000000000007</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26.68639053254438</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8537.3398443096667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8564.0262348422111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26.68639053254438</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8537.3398443096667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8564.0262348422111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51838.279266857367</v>
      </c>
      <c r="C4" s="477">
        <f>huishoudens!C8</f>
        <v>0</v>
      </c>
      <c r="D4" s="477">
        <f>huishoudens!D8</f>
        <v>79873.727237766012</v>
      </c>
      <c r="E4" s="477">
        <f>huishoudens!E8</f>
        <v>12460.867423287658</v>
      </c>
      <c r="F4" s="477">
        <f>huishoudens!F8</f>
        <v>97203.089904823617</v>
      </c>
      <c r="G4" s="477">
        <f>huishoudens!G8</f>
        <v>0</v>
      </c>
      <c r="H4" s="477">
        <f>huishoudens!H8</f>
        <v>0</v>
      </c>
      <c r="I4" s="477">
        <f>huishoudens!I8</f>
        <v>0</v>
      </c>
      <c r="J4" s="477">
        <f>huishoudens!J8</f>
        <v>0</v>
      </c>
      <c r="K4" s="477">
        <f>huishoudens!K8</f>
        <v>0</v>
      </c>
      <c r="L4" s="477">
        <f>huishoudens!L8</f>
        <v>0</v>
      </c>
      <c r="M4" s="477">
        <f>huishoudens!M8</f>
        <v>0</v>
      </c>
      <c r="N4" s="477">
        <f>huishoudens!N8</f>
        <v>16333.700956325647</v>
      </c>
      <c r="O4" s="477">
        <f>huishoudens!O8</f>
        <v>297.03333333333336</v>
      </c>
      <c r="P4" s="478">
        <f>huishoudens!P8</f>
        <v>1582.5333333333333</v>
      </c>
      <c r="Q4" s="479">
        <f>SUM(B4:P4)</f>
        <v>259589.23145572699</v>
      </c>
    </row>
    <row r="5" spans="1:17">
      <c r="A5" s="476" t="s">
        <v>156</v>
      </c>
      <c r="B5" s="477">
        <f ca="1">tertiair!B16</f>
        <v>38744.963310500003</v>
      </c>
      <c r="C5" s="477">
        <f ca="1">tertiair!C16</f>
        <v>0</v>
      </c>
      <c r="D5" s="477">
        <f ca="1">tertiair!D16</f>
        <v>43459.076355772006</v>
      </c>
      <c r="E5" s="477">
        <f>tertiair!E16</f>
        <v>698.42692871768622</v>
      </c>
      <c r="F5" s="477">
        <f ca="1">tertiair!F16</f>
        <v>9802.7530820686497</v>
      </c>
      <c r="G5" s="477">
        <f>tertiair!G16</f>
        <v>0</v>
      </c>
      <c r="H5" s="477">
        <f>tertiair!H16</f>
        <v>0</v>
      </c>
      <c r="I5" s="477">
        <f>tertiair!I16</f>
        <v>0</v>
      </c>
      <c r="J5" s="477">
        <f>tertiair!J16</f>
        <v>0</v>
      </c>
      <c r="K5" s="477">
        <f>tertiair!K16</f>
        <v>0</v>
      </c>
      <c r="L5" s="477">
        <f ca="1">tertiair!L16</f>
        <v>0</v>
      </c>
      <c r="M5" s="477">
        <f>tertiair!M16</f>
        <v>0</v>
      </c>
      <c r="N5" s="477">
        <f ca="1">tertiair!N16</f>
        <v>6204.1756980628479</v>
      </c>
      <c r="O5" s="477">
        <f>tertiair!O16</f>
        <v>4.6900000000000004</v>
      </c>
      <c r="P5" s="478">
        <f>tertiair!P16</f>
        <v>76.266666666666666</v>
      </c>
      <c r="Q5" s="476">
        <f t="shared" ref="Q5:Q14" ca="1" si="0">SUM(B5:P5)</f>
        <v>98990.352041787846</v>
      </c>
    </row>
    <row r="6" spans="1:17">
      <c r="A6" s="476" t="s">
        <v>194</v>
      </c>
      <c r="B6" s="477">
        <f>'openbare verlichting'!B8</f>
        <v>1838.431</v>
      </c>
      <c r="C6" s="477"/>
      <c r="D6" s="477"/>
      <c r="E6" s="477"/>
      <c r="F6" s="477"/>
      <c r="G6" s="477"/>
      <c r="H6" s="477"/>
      <c r="I6" s="477"/>
      <c r="J6" s="477"/>
      <c r="K6" s="477"/>
      <c r="L6" s="477"/>
      <c r="M6" s="477"/>
      <c r="N6" s="477"/>
      <c r="O6" s="477"/>
      <c r="P6" s="478"/>
      <c r="Q6" s="476">
        <f t="shared" si="0"/>
        <v>1838.431</v>
      </c>
    </row>
    <row r="7" spans="1:17">
      <c r="A7" s="476" t="s">
        <v>112</v>
      </c>
      <c r="B7" s="477">
        <f>landbouw!B8</f>
        <v>2240.68649473</v>
      </c>
      <c r="C7" s="477">
        <f>landbouw!C8</f>
        <v>0</v>
      </c>
      <c r="D7" s="477">
        <f>landbouw!D8</f>
        <v>2699.8076135932001</v>
      </c>
      <c r="E7" s="477">
        <f>landbouw!E8</f>
        <v>57.778701457608605</v>
      </c>
      <c r="F7" s="477">
        <f>landbouw!F8</f>
        <v>8190.1358562523292</v>
      </c>
      <c r="G7" s="477">
        <f>landbouw!G8</f>
        <v>0</v>
      </c>
      <c r="H7" s="477">
        <f>landbouw!H8</f>
        <v>0</v>
      </c>
      <c r="I7" s="477">
        <f>landbouw!I8</f>
        <v>0</v>
      </c>
      <c r="J7" s="477">
        <f>landbouw!J8</f>
        <v>322.57642787542778</v>
      </c>
      <c r="K7" s="477">
        <f>landbouw!K8</f>
        <v>0</v>
      </c>
      <c r="L7" s="477">
        <f>landbouw!L8</f>
        <v>0</v>
      </c>
      <c r="M7" s="477">
        <f>landbouw!M8</f>
        <v>0</v>
      </c>
      <c r="N7" s="477">
        <f>landbouw!N8</f>
        <v>0</v>
      </c>
      <c r="O7" s="477">
        <f>landbouw!O8</f>
        <v>0</v>
      </c>
      <c r="P7" s="478">
        <f>landbouw!P8</f>
        <v>0</v>
      </c>
      <c r="Q7" s="476">
        <f t="shared" si="0"/>
        <v>13510.985093908566</v>
      </c>
    </row>
    <row r="8" spans="1:17">
      <c r="A8" s="476" t="s">
        <v>638</v>
      </c>
      <c r="B8" s="477">
        <f>industrie!B18</f>
        <v>29910.106591972508</v>
      </c>
      <c r="C8" s="477">
        <f>industrie!C18</f>
        <v>0</v>
      </c>
      <c r="D8" s="477">
        <f>industrie!D18</f>
        <v>12364.743938281901</v>
      </c>
      <c r="E8" s="477">
        <f>industrie!E18</f>
        <v>1941.992838341532</v>
      </c>
      <c r="F8" s="477">
        <f>industrie!F18</f>
        <v>7743.3812517920223</v>
      </c>
      <c r="G8" s="477">
        <f>industrie!G18</f>
        <v>0</v>
      </c>
      <c r="H8" s="477">
        <f>industrie!H18</f>
        <v>0</v>
      </c>
      <c r="I8" s="477">
        <f>industrie!I18</f>
        <v>0</v>
      </c>
      <c r="J8" s="477">
        <f>industrie!J18</f>
        <v>333.55529086630457</v>
      </c>
      <c r="K8" s="477">
        <f>industrie!K18</f>
        <v>0</v>
      </c>
      <c r="L8" s="477">
        <f>industrie!L18</f>
        <v>0</v>
      </c>
      <c r="M8" s="477">
        <f>industrie!M18</f>
        <v>0</v>
      </c>
      <c r="N8" s="477">
        <f>industrie!N18</f>
        <v>9461.7529907296157</v>
      </c>
      <c r="O8" s="477">
        <f>industrie!O18</f>
        <v>0</v>
      </c>
      <c r="P8" s="478">
        <f>industrie!P18</f>
        <v>0</v>
      </c>
      <c r="Q8" s="476">
        <f t="shared" si="0"/>
        <v>61755.532901983883</v>
      </c>
    </row>
    <row r="9" spans="1:17" s="482" customFormat="1">
      <c r="A9" s="480" t="s">
        <v>564</v>
      </c>
      <c r="B9" s="481">
        <f>transport!B14</f>
        <v>80.139196092351469</v>
      </c>
      <c r="C9" s="481">
        <f>transport!C14</f>
        <v>0</v>
      </c>
      <c r="D9" s="481">
        <f>transport!D14</f>
        <v>181.52372057482603</v>
      </c>
      <c r="E9" s="481">
        <f>transport!E14</f>
        <v>776.57796476824262</v>
      </c>
      <c r="F9" s="481">
        <f>transport!F14</f>
        <v>0</v>
      </c>
      <c r="G9" s="481">
        <f>transport!G14</f>
        <v>251750.77764877319</v>
      </c>
      <c r="H9" s="481">
        <f>transport!H14</f>
        <v>49693.180980858189</v>
      </c>
      <c r="I9" s="481">
        <f>transport!I14</f>
        <v>0</v>
      </c>
      <c r="J9" s="481">
        <f>transport!J14</f>
        <v>0</v>
      </c>
      <c r="K9" s="481">
        <f>transport!K14</f>
        <v>0</v>
      </c>
      <c r="L9" s="481">
        <f>transport!L14</f>
        <v>0</v>
      </c>
      <c r="M9" s="481">
        <f>transport!M14</f>
        <v>9420.3013634351828</v>
      </c>
      <c r="N9" s="481">
        <f>transport!N14</f>
        <v>0</v>
      </c>
      <c r="O9" s="481">
        <f>transport!O14</f>
        <v>0</v>
      </c>
      <c r="P9" s="481">
        <f>transport!P14</f>
        <v>0</v>
      </c>
      <c r="Q9" s="480">
        <f>SUM(B9:P9)</f>
        <v>311902.50087450194</v>
      </c>
    </row>
    <row r="10" spans="1:17">
      <c r="A10" s="476" t="s">
        <v>554</v>
      </c>
      <c r="B10" s="477">
        <f>transport!B54</f>
        <v>0</v>
      </c>
      <c r="C10" s="477">
        <f>transport!C54</f>
        <v>0</v>
      </c>
      <c r="D10" s="477">
        <f>transport!D54</f>
        <v>0</v>
      </c>
      <c r="E10" s="477">
        <f>transport!E54</f>
        <v>0</v>
      </c>
      <c r="F10" s="477">
        <f>transport!F54</f>
        <v>0</v>
      </c>
      <c r="G10" s="477">
        <f>transport!G54</f>
        <v>3827.2362996262245</v>
      </c>
      <c r="H10" s="477">
        <f>transport!H54</f>
        <v>0</v>
      </c>
      <c r="I10" s="477">
        <f>transport!I54</f>
        <v>0</v>
      </c>
      <c r="J10" s="477">
        <f>transport!J54</f>
        <v>0</v>
      </c>
      <c r="K10" s="477">
        <f>transport!K54</f>
        <v>0</v>
      </c>
      <c r="L10" s="477">
        <f>transport!L54</f>
        <v>0</v>
      </c>
      <c r="M10" s="477">
        <f>transport!M54</f>
        <v>118.71230778990892</v>
      </c>
      <c r="N10" s="477">
        <f>transport!N54</f>
        <v>0</v>
      </c>
      <c r="O10" s="477">
        <f>transport!O54</f>
        <v>0</v>
      </c>
      <c r="P10" s="478">
        <f>transport!P54</f>
        <v>0</v>
      </c>
      <c r="Q10" s="476">
        <f t="shared" si="0"/>
        <v>3945.9486074161337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1746.2614875000002</v>
      </c>
      <c r="C14" s="484"/>
      <c r="D14" s="484">
        <f>'SEAP template'!E25</f>
        <v>4371.8496415999998</v>
      </c>
      <c r="E14" s="484"/>
      <c r="F14" s="484"/>
      <c r="G14" s="484"/>
      <c r="H14" s="484"/>
      <c r="I14" s="484"/>
      <c r="J14" s="484"/>
      <c r="K14" s="484"/>
      <c r="L14" s="484"/>
      <c r="M14" s="484"/>
      <c r="N14" s="484"/>
      <c r="O14" s="484"/>
      <c r="P14" s="485"/>
      <c r="Q14" s="476">
        <f t="shared" si="0"/>
        <v>6118.1111290999997</v>
      </c>
    </row>
    <row r="15" spans="1:17" s="486" customFormat="1">
      <c r="A15" s="1038" t="s">
        <v>558</v>
      </c>
      <c r="B15" s="978">
        <f ca="1">SUM(B4:B14)</f>
        <v>126398.86734765222</v>
      </c>
      <c r="C15" s="978">
        <f t="shared" ref="C15:Q15" ca="1" si="1">SUM(C4:C14)</f>
        <v>0</v>
      </c>
      <c r="D15" s="978">
        <f t="shared" ca="1" si="1"/>
        <v>142950.72850758798</v>
      </c>
      <c r="E15" s="978">
        <f t="shared" si="1"/>
        <v>15935.643856572728</v>
      </c>
      <c r="F15" s="978">
        <f t="shared" ca="1" si="1"/>
        <v>122939.36009493661</v>
      </c>
      <c r="G15" s="978">
        <f t="shared" si="1"/>
        <v>255578.01394839943</v>
      </c>
      <c r="H15" s="978">
        <f t="shared" si="1"/>
        <v>49693.180980858189</v>
      </c>
      <c r="I15" s="978">
        <f t="shared" si="1"/>
        <v>0</v>
      </c>
      <c r="J15" s="978">
        <f t="shared" si="1"/>
        <v>656.13171874173236</v>
      </c>
      <c r="K15" s="978">
        <f t="shared" si="1"/>
        <v>0</v>
      </c>
      <c r="L15" s="978">
        <f t="shared" ca="1" si="1"/>
        <v>0</v>
      </c>
      <c r="M15" s="978">
        <f t="shared" si="1"/>
        <v>9539.0136712250915</v>
      </c>
      <c r="N15" s="978">
        <f t="shared" ca="1" si="1"/>
        <v>31999.629645118112</v>
      </c>
      <c r="O15" s="978">
        <f t="shared" si="1"/>
        <v>301.72333333333336</v>
      </c>
      <c r="P15" s="978">
        <f t="shared" si="1"/>
        <v>1658.8</v>
      </c>
      <c r="Q15" s="978">
        <f t="shared" ca="1" si="1"/>
        <v>757651.09310442535</v>
      </c>
    </row>
    <row r="17" spans="1:17">
      <c r="A17" s="487" t="s">
        <v>559</v>
      </c>
      <c r="B17" s="786">
        <f ca="1">huishoudens!B10</f>
        <v>0.20602637058689369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10680.052534820443</v>
      </c>
      <c r="C22" s="477">
        <f t="shared" ref="C22:C32" ca="1" si="3">C4*$C$17</f>
        <v>0</v>
      </c>
      <c r="D22" s="477">
        <f t="shared" ref="D22:D32" si="4">D4*$D$17</f>
        <v>16134.492902028736</v>
      </c>
      <c r="E22" s="477">
        <f t="shared" ref="E22:E32" si="5">E4*$E$17</f>
        <v>2828.6169050862986</v>
      </c>
      <c r="F22" s="477">
        <f t="shared" ref="F22:F32" si="6">F4*$F$17</f>
        <v>25953.225004587908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55596.387346523385</v>
      </c>
    </row>
    <row r="23" spans="1:17">
      <c r="A23" s="476" t="s">
        <v>156</v>
      </c>
      <c r="B23" s="477">
        <f t="shared" ca="1" si="2"/>
        <v>7982.4841693846729</v>
      </c>
      <c r="C23" s="477">
        <f t="shared" ca="1" si="3"/>
        <v>0</v>
      </c>
      <c r="D23" s="477">
        <f t="shared" ca="1" si="4"/>
        <v>8778.733423865946</v>
      </c>
      <c r="E23" s="477">
        <f t="shared" si="5"/>
        <v>158.54291281891477</v>
      </c>
      <c r="F23" s="477">
        <f t="shared" ca="1" si="6"/>
        <v>2617.3350729123295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19537.095578981862</v>
      </c>
    </row>
    <row r="24" spans="1:17">
      <c r="A24" s="476" t="s">
        <v>194</v>
      </c>
      <c r="B24" s="477">
        <f t="shared" ca="1" si="2"/>
        <v>378.76526650443355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378.76526650443355</v>
      </c>
    </row>
    <row r="25" spans="1:17">
      <c r="A25" s="476" t="s">
        <v>112</v>
      </c>
      <c r="B25" s="477">
        <f t="shared" ca="1" si="2"/>
        <v>461.6405061322908</v>
      </c>
      <c r="C25" s="477">
        <f t="shared" ca="1" si="3"/>
        <v>0</v>
      </c>
      <c r="D25" s="477">
        <f t="shared" si="4"/>
        <v>545.3611379458265</v>
      </c>
      <c r="E25" s="477">
        <f t="shared" si="5"/>
        <v>13.115765230877154</v>
      </c>
      <c r="F25" s="477">
        <f t="shared" si="6"/>
        <v>2186.766273619372</v>
      </c>
      <c r="G25" s="477">
        <f t="shared" si="7"/>
        <v>0</v>
      </c>
      <c r="H25" s="477">
        <f t="shared" si="8"/>
        <v>0</v>
      </c>
      <c r="I25" s="477">
        <f t="shared" si="9"/>
        <v>0</v>
      </c>
      <c r="J25" s="477">
        <f t="shared" si="10"/>
        <v>114.19205546790143</v>
      </c>
      <c r="K25" s="477">
        <f t="shared" si="11"/>
        <v>0</v>
      </c>
      <c r="L25" s="477">
        <f t="shared" si="12"/>
        <v>0</v>
      </c>
      <c r="M25" s="477">
        <f t="shared" si="13"/>
        <v>0</v>
      </c>
      <c r="N25" s="477">
        <f t="shared" si="14"/>
        <v>0</v>
      </c>
      <c r="O25" s="477">
        <f t="shared" si="15"/>
        <v>0</v>
      </c>
      <c r="P25" s="478">
        <f t="shared" si="16"/>
        <v>0</v>
      </c>
      <c r="Q25" s="476">
        <f t="shared" ca="1" si="17"/>
        <v>3321.0757383962678</v>
      </c>
    </row>
    <row r="26" spans="1:17">
      <c r="A26" s="476" t="s">
        <v>638</v>
      </c>
      <c r="B26" s="477">
        <f t="shared" ca="1" si="2"/>
        <v>6162.2707050112194</v>
      </c>
      <c r="C26" s="477">
        <f t="shared" ca="1" si="3"/>
        <v>0</v>
      </c>
      <c r="D26" s="477">
        <f t="shared" si="4"/>
        <v>2497.6782755329441</v>
      </c>
      <c r="E26" s="477">
        <f t="shared" si="5"/>
        <v>440.83237430352779</v>
      </c>
      <c r="F26" s="477">
        <f t="shared" si="6"/>
        <v>2067.4827942284701</v>
      </c>
      <c r="G26" s="477">
        <f t="shared" si="7"/>
        <v>0</v>
      </c>
      <c r="H26" s="477">
        <f t="shared" si="8"/>
        <v>0</v>
      </c>
      <c r="I26" s="477">
        <f t="shared" si="9"/>
        <v>0</v>
      </c>
      <c r="J26" s="477">
        <f t="shared" si="10"/>
        <v>118.07857296667181</v>
      </c>
      <c r="K26" s="477">
        <f t="shared" si="11"/>
        <v>0</v>
      </c>
      <c r="L26" s="477">
        <f t="shared" si="12"/>
        <v>0</v>
      </c>
      <c r="M26" s="477">
        <f t="shared" si="13"/>
        <v>0</v>
      </c>
      <c r="N26" s="477">
        <f t="shared" si="14"/>
        <v>0</v>
      </c>
      <c r="O26" s="477">
        <f t="shared" si="15"/>
        <v>0</v>
      </c>
      <c r="P26" s="478">
        <f t="shared" si="16"/>
        <v>0</v>
      </c>
      <c r="Q26" s="476">
        <f t="shared" ca="1" si="17"/>
        <v>11286.342722042831</v>
      </c>
    </row>
    <row r="27" spans="1:17" s="482" customFormat="1">
      <c r="A27" s="480" t="s">
        <v>564</v>
      </c>
      <c r="B27" s="780">
        <f t="shared" ca="1" si="2"/>
        <v>16.510787712658548</v>
      </c>
      <c r="C27" s="481">
        <f t="shared" ca="1" si="3"/>
        <v>0</v>
      </c>
      <c r="D27" s="481">
        <f t="shared" si="4"/>
        <v>36.667791556114864</v>
      </c>
      <c r="E27" s="481">
        <f t="shared" si="5"/>
        <v>176.28319800239109</v>
      </c>
      <c r="F27" s="481">
        <f t="shared" si="6"/>
        <v>0</v>
      </c>
      <c r="G27" s="481">
        <f t="shared" si="7"/>
        <v>67217.457632222446</v>
      </c>
      <c r="H27" s="481">
        <f t="shared" si="8"/>
        <v>12373.60206423369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79820.521473727305</v>
      </c>
    </row>
    <row r="28" spans="1:17">
      <c r="A28" s="476" t="s">
        <v>554</v>
      </c>
      <c r="B28" s="477">
        <f t="shared" ca="1" si="2"/>
        <v>0</v>
      </c>
      <c r="C28" s="477">
        <f t="shared" ca="1" si="3"/>
        <v>0</v>
      </c>
      <c r="D28" s="477">
        <f t="shared" si="4"/>
        <v>0</v>
      </c>
      <c r="E28" s="477">
        <f t="shared" si="5"/>
        <v>0</v>
      </c>
      <c r="F28" s="477">
        <f t="shared" si="6"/>
        <v>0</v>
      </c>
      <c r="G28" s="477">
        <f t="shared" si="7"/>
        <v>1021.872092000202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1021.872092000202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359.77591636529525</v>
      </c>
      <c r="C32" s="477">
        <f t="shared" ca="1" si="3"/>
        <v>0</v>
      </c>
      <c r="D32" s="477">
        <f t="shared" si="4"/>
        <v>883.11362760320003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1242.8895439684952</v>
      </c>
    </row>
    <row r="33" spans="1:17" s="486" customFormat="1">
      <c r="A33" s="1038" t="s">
        <v>558</v>
      </c>
      <c r="B33" s="978">
        <f ca="1">SUM(B22:B32)</f>
        <v>26041.499885931011</v>
      </c>
      <c r="C33" s="978">
        <f t="shared" ref="C33:Q33" ca="1" si="18">SUM(C22:C32)</f>
        <v>0</v>
      </c>
      <c r="D33" s="978">
        <f t="shared" ca="1" si="18"/>
        <v>28876.047158532772</v>
      </c>
      <c r="E33" s="978">
        <f t="shared" si="18"/>
        <v>3617.3911554420092</v>
      </c>
      <c r="F33" s="978">
        <f t="shared" ca="1" si="18"/>
        <v>32824.809145348081</v>
      </c>
      <c r="G33" s="978">
        <f t="shared" si="18"/>
        <v>68239.329724222654</v>
      </c>
      <c r="H33" s="978">
        <f t="shared" si="18"/>
        <v>12373.60206423369</v>
      </c>
      <c r="I33" s="978">
        <f t="shared" si="18"/>
        <v>0</v>
      </c>
      <c r="J33" s="978">
        <f t="shared" si="18"/>
        <v>232.27062843457324</v>
      </c>
      <c r="K33" s="978">
        <f t="shared" si="18"/>
        <v>0</v>
      </c>
      <c r="L33" s="978">
        <f t="shared" ca="1" si="18"/>
        <v>0</v>
      </c>
      <c r="M33" s="978">
        <f t="shared" si="18"/>
        <v>0</v>
      </c>
      <c r="N33" s="978">
        <f t="shared" ca="1" si="18"/>
        <v>0</v>
      </c>
      <c r="O33" s="978">
        <f t="shared" si="18"/>
        <v>0</v>
      </c>
      <c r="P33" s="978">
        <f t="shared" si="18"/>
        <v>0</v>
      </c>
      <c r="Q33" s="978">
        <f t="shared" ca="1" si="18"/>
        <v>172204.94976214477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26.68639053254438</v>
      </c>
      <c r="C5" s="1055"/>
      <c r="D5" s="1055"/>
      <c r="E5" s="1055"/>
      <c r="F5" s="1055"/>
      <c r="G5" s="1055"/>
      <c r="H5" s="1055"/>
      <c r="I5" s="1055"/>
      <c r="J5" s="1055"/>
      <c r="K5" s="1055"/>
      <c r="L5" s="1055"/>
      <c r="M5" s="1055"/>
      <c r="N5" s="1055"/>
      <c r="O5" s="1055"/>
      <c r="P5" s="1056">
        <f>'SEAP template'!Q73</f>
        <v>0</v>
      </c>
    </row>
    <row r="6" spans="1:16">
      <c r="A6" s="1057" t="s">
        <v>251</v>
      </c>
      <c r="B6" s="1055">
        <f>'SEAP template'!B74</f>
        <v>8537.3398443096667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8564.0262348422111</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0.20602637058689369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0.20602637058689369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2019-08-12T08:23:38Z</dcterms:modified>
</cp:coreProperties>
</file>