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O18" i="59" s="1"/>
  <c r="K18" i="18"/>
  <c r="N88" i="14" s="1"/>
  <c r="N18" i="59" s="1"/>
  <c r="N20" s="1"/>
  <c r="J18" i="18"/>
  <c r="J88" i="14" s="1"/>
  <c r="J18" i="59" s="1"/>
  <c r="I18" i="18"/>
  <c r="H18"/>
  <c r="G18"/>
  <c r="F18"/>
  <c r="E18"/>
  <c r="D18"/>
  <c r="D20" s="1"/>
  <c r="C18"/>
  <c r="D88" i="14" s="1"/>
  <c r="D18" i="59" s="1"/>
  <c r="B18" i="18"/>
  <c r="L9"/>
  <c r="O77" i="14" s="1"/>
  <c r="K9" i="18"/>
  <c r="K10" s="1"/>
  <c r="G9"/>
  <c r="G10" s="1"/>
  <c r="F9"/>
  <c r="D9"/>
  <c r="D10" s="1"/>
  <c r="C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M88" i="14"/>
  <c r="M18"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N77" i="14"/>
  <c r="N9" i="59" s="1"/>
  <c r="L77" i="14"/>
  <c r="L9" i="59" s="1"/>
  <c r="K77" i="14"/>
  <c r="K9" i="59" s="1"/>
  <c r="H77" i="14"/>
  <c r="H9" i="59" s="1"/>
  <c r="G77" i="14"/>
  <c r="G9" i="59" s="1"/>
  <c r="D77" i="14"/>
  <c r="D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P26" s="1"/>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Q52"/>
  <c r="R44"/>
  <c r="E25"/>
  <c r="E55" s="1"/>
  <c r="C25"/>
  <c r="B14" i="48" s="1"/>
  <c r="Q26" i="14"/>
  <c r="N26"/>
  <c r="L26"/>
  <c r="L22"/>
  <c r="P22"/>
  <c r="O22"/>
  <c r="R12"/>
  <c r="O78" l="1"/>
  <c r="O9" i="59"/>
  <c r="L78" i="14"/>
  <c r="L8" i="59"/>
  <c r="L10" s="1"/>
  <c r="H90" i="14"/>
  <c r="H18" i="59"/>
  <c r="H78" i="14"/>
  <c r="H8" i="59"/>
  <c r="K10"/>
  <c r="C98" i="18"/>
  <c r="B101" s="1"/>
  <c r="C8" s="1"/>
  <c r="O90" i="14"/>
  <c r="H10" i="59"/>
  <c r="P29" i="48"/>
  <c r="L10" i="18"/>
  <c r="K90" i="14"/>
  <c r="E20" i="59"/>
  <c r="E88" i="14"/>
  <c r="E18" i="59" s="1"/>
  <c r="O29" i="48"/>
  <c r="P31"/>
  <c r="F20" i="18"/>
  <c r="N90" i="14"/>
  <c r="E77"/>
  <c r="E9" i="59" s="1"/>
  <c r="E10" s="1"/>
  <c r="B17" i="18"/>
  <c r="B20" s="1"/>
  <c r="H20" i="59"/>
  <c r="K20"/>
  <c r="P25" i="48"/>
  <c r="R25" i="14"/>
  <c r="O10" i="59"/>
  <c r="F13" i="15"/>
  <c r="G78" i="14"/>
  <c r="N10" i="59"/>
  <c r="L20"/>
  <c r="B8" i="18"/>
  <c r="B10" s="1"/>
  <c r="O19"/>
  <c r="L13" i="15"/>
  <c r="N13"/>
  <c r="O9" i="18"/>
  <c r="O18"/>
  <c r="B89" i="14"/>
  <c r="B19" i="59" s="1"/>
  <c r="G88" i="14"/>
  <c r="F89"/>
  <c r="I101" i="18"/>
  <c r="H8" s="1"/>
  <c r="E101"/>
  <c r="E8" s="1"/>
  <c r="H101"/>
  <c r="I102"/>
  <c r="H17" s="1"/>
  <c r="E102"/>
  <c r="E17" s="1"/>
  <c r="H102"/>
  <c r="D102"/>
  <c r="G102"/>
  <c r="C102"/>
  <c r="F102"/>
  <c r="B102"/>
  <c r="C17" s="1"/>
  <c r="Q88" i="14"/>
  <c r="P18" i="59" s="1"/>
  <c r="B88" i="14"/>
  <c r="B18" i="59" s="1"/>
  <c r="Q14" i="48"/>
  <c r="O24"/>
  <c r="O30"/>
  <c r="P24"/>
  <c r="P30"/>
  <c r="E90" i="14"/>
  <c r="N78"/>
  <c r="G90" l="1"/>
  <c r="G18" i="59"/>
  <c r="G20" s="1"/>
  <c r="C89" i="14"/>
  <c r="C19" i="59" s="1"/>
  <c r="F19"/>
  <c r="E78" i="14"/>
  <c r="B77"/>
  <c r="B9" i="59" s="1"/>
  <c r="Q77" i="14"/>
  <c r="P9" i="59" s="1"/>
  <c r="C77" i="14"/>
  <c r="C9" i="59" s="1"/>
  <c r="D101" i="18"/>
  <c r="J8" s="1"/>
  <c r="C88" i="14"/>
  <c r="C18" i="59" s="1"/>
  <c r="G101" i="18"/>
  <c r="I8" s="1"/>
  <c r="C101"/>
  <c r="F10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H5" i="48"/>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22"/>
  <c r="I32"/>
  <c r="I31"/>
  <c r="I25"/>
  <c r="I29"/>
  <c r="I26"/>
  <c r="I24"/>
  <c r="I28"/>
  <c r="I30"/>
  <c r="D4"/>
  <c r="D22" s="1"/>
  <c r="E11" i="14"/>
  <c r="H32" i="48"/>
  <c r="H28"/>
  <c r="H29"/>
  <c r="H26"/>
  <c r="H24"/>
  <c r="H25"/>
  <c r="H22"/>
  <c r="H30"/>
  <c r="H23"/>
  <c r="D11" i="14"/>
  <c r="C4" i="48"/>
  <c r="G32"/>
  <c r="G29"/>
  <c r="G26"/>
  <c r="G25"/>
  <c r="G30"/>
  <c r="G24"/>
  <c r="G22"/>
  <c r="G23"/>
  <c r="B4"/>
  <c r="C11" i="14"/>
  <c r="F32" i="48"/>
  <c r="F28"/>
  <c r="F27"/>
  <c r="F31"/>
  <c r="F30"/>
  <c r="F29"/>
  <c r="F24"/>
  <c r="N32"/>
  <c r="N27"/>
  <c r="N28"/>
  <c r="N30"/>
  <c r="N31"/>
  <c r="N29"/>
  <c r="N24"/>
  <c r="B10"/>
  <c r="C19" i="14"/>
  <c r="E28" i="48"/>
  <c r="E32"/>
  <c r="E24"/>
  <c r="E29"/>
  <c r="E31"/>
  <c r="E30"/>
  <c r="M32"/>
  <c r="M24"/>
  <c r="M26"/>
  <c r="M22"/>
  <c r="M25"/>
  <c r="M29"/>
  <c r="M30"/>
  <c r="M23"/>
  <c r="L10" i="14"/>
  <c r="L16" s="1"/>
  <c r="L27" s="1"/>
  <c r="K5" i="48"/>
  <c r="D30"/>
  <c r="D32"/>
  <c r="D29"/>
  <c r="D24"/>
  <c r="D28"/>
  <c r="D31"/>
  <c r="L27"/>
  <c r="L32"/>
  <c r="L22"/>
  <c r="L30"/>
  <c r="L28"/>
  <c r="L29"/>
  <c r="L31"/>
  <c r="L24"/>
  <c r="P5"/>
  <c r="P23" s="1"/>
  <c r="Q10" i="14"/>
  <c r="K28" i="48"/>
  <c r="K32"/>
  <c r="K31"/>
  <c r="K25"/>
  <c r="K24"/>
  <c r="K29"/>
  <c r="K26"/>
  <c r="K22"/>
  <c r="K27"/>
  <c r="K30"/>
  <c r="C24" i="14"/>
  <c r="C26" s="1"/>
  <c r="B7" i="48"/>
  <c r="J28"/>
  <c r="J29"/>
  <c r="J32"/>
  <c r="J31"/>
  <c r="J27"/>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I5" i="48"/>
  <c r="O22"/>
  <c r="M12" i="22"/>
  <c r="M13" i="48"/>
  <c r="M31" s="1"/>
  <c r="N18" i="14"/>
  <c r="H18"/>
  <c r="G13" i="48"/>
  <c r="H13"/>
  <c r="H31" s="1"/>
  <c r="I18" i="14"/>
  <c r="K23" i="48"/>
  <c r="K33" s="1"/>
  <c r="K15"/>
  <c r="C22" i="14"/>
  <c r="P8" i="48"/>
  <c r="P26" s="1"/>
  <c r="Q13" i="14"/>
  <c r="F20"/>
  <c r="F22" s="1"/>
  <c r="E9" i="48"/>
  <c r="E27" s="1"/>
  <c r="E20" i="14"/>
  <c r="E22" s="1"/>
  <c r="D9" i="48"/>
  <c r="D27" s="1"/>
  <c r="O5"/>
  <c r="O23" s="1"/>
  <c r="P10" i="14"/>
  <c r="K24"/>
  <c r="K26" s="1"/>
  <c r="J7" i="48"/>
  <c r="J25" s="1"/>
  <c r="P22"/>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H19"/>
  <c r="G10" i="48"/>
  <c r="R18" i="14"/>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J63"/>
  <c r="P15" i="48"/>
  <c r="P33"/>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G9"/>
  <c r="H20" i="14"/>
  <c r="R20" s="1"/>
  <c r="R22" s="1"/>
  <c r="J22" i="48"/>
  <c r="R11" i="14"/>
  <c r="P63"/>
  <c r="R19"/>
  <c r="R24"/>
  <c r="R26"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K13"/>
  <c r="K16" s="1"/>
  <c r="K27" s="1"/>
  <c r="J8" i="48"/>
  <c r="E8"/>
  <c r="F13" i="14"/>
  <c r="K46"/>
  <c r="K61" s="1"/>
  <c r="F16"/>
  <c r="F27" s="1"/>
  <c r="F46"/>
  <c r="F61" s="1"/>
  <c r="N8" i="48"/>
  <c r="N26" s="1"/>
  <c r="O13" i="14"/>
  <c r="N22" i="16"/>
  <c r="O43" i="14" s="1"/>
  <c r="G13"/>
  <c r="R13" s="1"/>
  <c r="F8" i="48"/>
  <c r="J26" l="1"/>
  <c r="J33" s="1"/>
  <c r="J15"/>
  <c r="E26"/>
  <c r="E33" s="1"/>
  <c r="E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<sst xmlns="http://schemas.openxmlformats.org/spreadsheetml/2006/main" count="2401" uniqueCount="896">
  <si>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</si>
  <si>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</si>
  <si>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</si>
  <si>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</si>
  <si>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</si>
  <si>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</si>
  <si>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</si>
  <si>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</si>
  <si>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</si>
  <si>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</si>
  <si>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</si>
  <si>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</si>
  <si>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</si>
  <si>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</si>
  <si>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</si>
  <si>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</si>
  <si>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</si>
  <si>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</si>
  <si>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</si>
  <si>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</si>
  <si>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</si>
  <si>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</si>
  <si>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</si>
  <si>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</si>
  <si>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</si>
  <si>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</si>
  <si>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</si>
  <si>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</si>
  <si>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</si>
  <si>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</si>
  <si>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</si>
  <si>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</si>
  <si>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</si>
  <si>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</si>
  <si>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</si>
  <si>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</si>
  <si>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</si>
  <si>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</si>
  <si>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</si>
  <si>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</si>
  <si>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</si>
  <si>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</si>
  <si>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</si>
  <si>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</si>
  <si>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</si>
  <si>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</si>
  <si>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</si>
  <si>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</si>
  <si>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</si>
  <si>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</si>
  <si>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</si>
  <si>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</si>
  <si>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</si>
  <si>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</si>
  <si>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</si>
  <si>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</si>
  <si>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</si>
  <si>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</si>
  <si>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</si>
  <si>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</si>
  <si>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</si>
  <si>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</si>
  <si>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</si>
  <si>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</si>
  <si>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</si>
  <si>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</si>
  <si>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</si>
  <si>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</si>
  <si>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</si>
  <si>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</si>
  <si>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</si>
  <si>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</si>
  <si>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</si>
  <si>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</si>
  <si>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</si>
  <si>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</si>
  <si>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</si>
  <si>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</si>
  <si>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</si>
  <si>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</si>
  <si>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</si>
  <si>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</si>
  <si>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</si>
  <si>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</si>
  <si>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</si>
  <si>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</si>
  <si>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</si>
  <si>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</si>
  <si>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</si>
  <si>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</si>
  <si>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</si>
  <si>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</si>
  <si>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</si>
  <si>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</si>
  <si>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</si>
  <si>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</si>
  <si>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</si>
  <si>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</si>
  <si>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</si>
  <si>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</si>
  <si>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</si>
  <si>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</si>
  <si>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</si>
  <si>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</si>
  <si>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</si>
  <si>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</si>
  <si>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</si>
  <si>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</si>
  <si>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</si>
  <si>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</si>
  <si>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</si>
  <si>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</si>
  <si>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</si>
  <si>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</si>
  <si>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</si>
  <si>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</si>
  <si>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</si>
  <si>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</si>
  <si>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</si>
  <si>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</si>
  <si>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</si>
  <si>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</si>
  <si>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</si>
  <si>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</si>
  <si>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</si>
  <si>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</si>
  <si>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</si>
  <si>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</si>
  <si>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</si>
  <si>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</si>
  <si>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</si>
  <si>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</si>
  <si>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</si>
  <si>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</si>
  <si>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</si>
  <si>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</si>
  <si>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</si>
  <si>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</si>
  <si>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</si>
  <si>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</si>
  <si>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</si>
  <si>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</si>
  <si>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</si>
  <si>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</si>
  <si>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</si>
  <si>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</si>
  <si>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</si>
  <si>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</si>
  <si>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</si>
  <si>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</si>
  <si>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</si>
  <si>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</si>
  <si>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</si>
  <si>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</si>
  <si>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</si>
  <si>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</si>
  <si>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</si>
  <si>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</si>
  <si>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</si>
  <si>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</si>
  <si>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</si>
  <si>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</si>
  <si>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</si>
  <si>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</si>
  <si>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</si>
  <si>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</si>
  <si>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</si>
  <si>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</si>
  <si>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</si>
  <si>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</si>
  <si>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</si>
  <si>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</si>
  <si>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</si>
  <si>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</si>
  <si>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</si>
  <si>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</si>
  <si>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</si>
  <si>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</si>
  <si>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</si>
  <si>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</si>
  <si>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</si>
  <si>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</si>
  <si>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</si>
  <si>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</si>
  <si>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</si>
  <si>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</si>
  <si>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</si>
  <si>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</si>
  <si>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</si>
  <si>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</si>
  <si>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</si>
  <si>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</si>
  <si>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</si>
  <si>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</si>
  <si>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</si>
  <si>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</si>
  <si>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</si>
  <si>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</si>
  <si>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</si>
  <si>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</si>
  <si>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</si>
  <si>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</si>
  <si>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</si>
  <si>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</si>
  <si>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</si>
  <si>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</si>
  <si>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</si>
  <si>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</si>
  <si>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</si>
  <si>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</si>
  <si>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</si>
  <si>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</si>
  <si>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</si>
  <si>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</si>
  <si>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</si>
  <si>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</si>
  <si>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</si>
  <si>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</si>
  <si>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</si>
  <si>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</si>
  <si>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</si>
  <si>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</si>
  <si>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</si>
  <si>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</si>
  <si>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</si>
  <si>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</si>
  <si>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</si>
  <si>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</si>
  <si>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</si>
  <si>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</si>
  <si>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</si>
  <si>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</si>
  <si>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</si>
  <si>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</si>
  <si>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</si>
  <si>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</si>
  <si>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</si>
  <si>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</si>
  <si>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</si>
  <si>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</si>
  <si>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</si>
  <si>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</si>
  <si>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</si>
  <si>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</si>
  <si>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</si>
  <si>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</si>
  <si>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</si>
  <si>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</si>
  <si>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</si>
  <si>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</si>
  <si>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</si>
  <si>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</si>
  <si>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</si>
  <si>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</si>
  <si>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</si>
  <si>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</si>
  <si>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</si>
  <si>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</si>
  <si>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</si>
  <si>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</si>
  <si>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</si>
  <si>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</si>
  <si>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</si>
  <si>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</si>
  <si>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</si>
  <si>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</si>
  <si>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</si>
  <si>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</si>
  <si>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</si>
  <si>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</si>
  <si>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</si>
  <si>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</si>
  <si>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</si>
  <si>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</si>
  <si>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</si>
  <si>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</si>
  <si>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</si>
  <si>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</si>
  <si>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</si>
  <si>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</si>
  <si>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</si>
  <si>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</si>
  <si>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</si>
  <si>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</si>
  <si>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</si>
  <si>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</si>
  <si>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</si>
  <si>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</si>
  <si>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</si>
  <si>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</si>
  <si>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</si>
  <si>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</si>
  <si>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</si>
  <si>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</si>
  <si>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</si>
  <si>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</si>
  <si>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</si>
  <si>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</si>
  <si>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</si>
  <si>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</si>
  <si>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</si>
  <si>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</si>
  <si>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</si>
  <si>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</si>
  <si>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</si>
  <si>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</si>
  <si>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</si>
  <si>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</si>
  <si>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</si>
  <si>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</si>
  <si>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</si>
  <si>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</si>
  <si>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</si>
  <si>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</si>
  <si>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</si>
  <si>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</si>
  <si>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</si>
  <si>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</si>
  <si>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</si>
  <si>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</si>
  <si>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</si>
  <si>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</si>
  <si>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</si>
  <si>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</si>
  <si>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</si>
  <si>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</si>
  <si>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</si>
  <si>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</si>
  <si>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</si>
  <si>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</si>
  <si>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</si>
  <si>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</si>
  <si>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</si>
  <si>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</si>
  <si>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</si>
  <si>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</si>
  <si>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</si>
  <si>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</si>
  <si>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</si>
  <si>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</si>
  <si>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</si>
  <si>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</si>
  <si>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</si>
  <si>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</si>
  <si>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</si>
  <si>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</si>
  <si>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</si>
  <si>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</si>
  <si>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</si>
  <si>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</si>
  <si>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</si>
  <si>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</si>
  <si>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</si>
  <si>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</si>
  <si>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</si>
  <si>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</si>
  <si>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</si>
  <si>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</si>
  <si>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</si>
  <si>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</si>
  <si>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</si>
  <si>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</si>
  <si>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</si>
  <si>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</si>
  <si>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</si>
  <si>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</si>
  <si>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</si>
  <si>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</si>
  <si>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</si>
  <si>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</si>
  <si>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</si>
  <si>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</si>
  <si>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</si>
  <si>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</si>
  <si>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</si>
  <si>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</si>
  <si>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</si>
  <si>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</si>
  <si>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</si>
  <si>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</si>
  <si>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</si>
  <si>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</si>
  <si>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</si>
  <si>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</si>
  <si>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</si>
  <si>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</si>
  <si>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</si>
  <si>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</si>
  <si>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</si>
  <si>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</si>
  <si>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</si>
  <si>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</si>
  <si>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</si>
  <si>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</si>
  <si>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</si>
  <si>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</si>
  <si>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</si>
  <si>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</si>
  <si>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</si>
  <si>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</si>
  <si>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</si>
  <si>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</si>
  <si>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</si>
  <si>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</si>
  <si>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</si>
  <si>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</si>
  <si>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</si>
  <si>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</si>
  <si>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</si>
  <si>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</si>
  <si>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</si>
  <si>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</si>
  <si>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</si>
  <si>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</si>
  <si>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</si>
  <si>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</si>
  <si>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</si>
  <si>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</si>
  <si>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</si>
  <si>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</si>
  <si>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</si>
  <si>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</si>
  <si>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</si>
  <si>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</si>
  <si>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</si>
  <si>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</si>
  <si>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</si>
  <si>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</si>
  <si>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</si>
  <si>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</si>
  <si>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</si>
  <si>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</si>
  <si>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</si>
  <si>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</si>
  <si>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</si>
  <si>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</si>
  <si>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</si>
  <si>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</si>
  <si>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</si>
  <si>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</si>
  <si>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</si>
  <si>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</si>
  <si>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</si>
  <si>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</si>
  <si>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</si>
  <si>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</si>
  <si>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</si>
  <si>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</si>
  <si>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</si>
  <si>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</si>
  <si>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</si>
  <si>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</si>
  <si>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</si>
  <si>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</si>
  <si>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</si>
  <si>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</si>
  <si>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</si>
  <si>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</si>
  <si>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</si>
  <si>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</si>
  <si>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</si>
  <si>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</si>
  <si>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</si>
  <si>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</si>
  <si>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</si>
  <si>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</si>
  <si>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</si>
  <si>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</si>
  <si>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</si>
  <si>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</si>
  <si>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</si>
  <si>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</si>
  <si>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</si>
  <si>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</si>
  <si>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</si>
  <si>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</si>
  <si>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</si>
  <si>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</si>
  <si>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</si>
  <si>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</si>
  <si>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</si>
  <si>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</si>
  <si>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</si>
  <si>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</si>
  <si>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</si>
  <si>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</si>
  <si>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</si>
  <si>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</si>
  <si>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</si>
  <si>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</si>
  <si>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</si>
  <si>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</si>
  <si>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</si>
  <si>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</si>
  <si>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</si>
  <si>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</si>
  <si>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</si>
  <si>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</si>
  <si>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</si>
  <si>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</si>
  <si>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</si>
  <si>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</si>
  <si>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</si>
  <si>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</si>
  <si>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</si>
  <si>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</si>
  <si>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</si>
  <si>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</si>
  <si>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</si>
  <si>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</si>
  <si>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</si>
  <si>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</si>
  <si>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</si>
  <si>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</si>
  <si>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</si>
  <si>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</si>
  <si>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</si>
  <si>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</si>
  <si>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</si>
  <si>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</si>
  <si>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</si>
  <si>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</si>
  <si>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</si>
  <si>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</si>
  <si>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</si>
  <si>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</si>
  <si>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</si>
  <si>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</si>
  <si>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</si>
  <si>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</si>
  <si>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</si>
  <si>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</si>
  <si>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</si>
  <si>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</si>
  <si>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</si>
  <si>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</si>
  <si>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</si>
  <si>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</si>
  <si>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</si>
  <si>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</si>
  <si>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</si>
  <si>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</si>
  <si>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</si>
  <si>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</si>
  <si>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</si>
  <si>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</si>
  <si>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</si>
  <si>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</si>
  <si>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</si>
  <si>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</si>
  <si>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</si>
  <si>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</si>
  <si>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</si>
  <si>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</si>
  <si>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</si>
  <si>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</si>
  <si>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</si>
  <si>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</si>
  <si>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</si>
  <si>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</si>
  <si>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</si>
  <si>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</si>
  <si>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</si>
  <si>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</si>
  <si>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</si>
  <si>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</si>
  <si>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</si>
  <si>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</si>
  <si>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</si>
  <si>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</si>
  <si>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</si>
  <si>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</si>
  <si>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</si>
  <si>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</si>
  <si>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</si>
  <si>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</si>
  <si>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</si>
  <si>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</si>
  <si>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</si>
  <si>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</si>
  <si>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</si>
  <si>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</si>
  <si>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</si>
  <si>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</si>
  <si>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</si>
  <si>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</si>
  <si>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</si>
  <si>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</si>
  <si>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</si>
  <si>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</si>
  <si>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</si>
  <si>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</si>
  <si>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</si>
  <si>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</si>
  <si>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</si>
  <si>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</si>
  <si>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</si>
  <si>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</si>
  <si>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</si>
  <si>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</si>
  <si>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</si>
  <si>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</si>
  <si>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</si>
  <si>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</si>
  <si>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</si>
  <si>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</si>
  <si>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</si>
  <si>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</si>
  <si>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</si>
  <si>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</si>
  <si>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</si>
  <si>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</si>
  <si>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</si>
  <si>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</si>
  <si>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</si>
  <si>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</si>
  <si>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</si>
  <si>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</si>
  <si>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</si>
  <si>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</si>
  <si>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</si>
  <si>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</si>
  <si>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</si>
  <si>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</si>
  <si>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</si>
  <si>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</si>
  <si>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</si>
  <si>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</si>
  <si>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</si>
  <si>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</si>
  <si>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</si>
  <si>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</si>
  <si>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</si>
  <si>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</si>
  <si>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</si>
  <si>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</si>
  <si>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</si>
  <si>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</si>
  <si>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</si>
  <si>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</si>
  <si>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</si>
  <si>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</si>
  <si>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</si>
  <si>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</si>
  <si>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</si>
  <si>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</si>
  <si>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</si>
  <si>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</si>
  <si>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</si>
  <si>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</si>
  <si>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</si>
  <si>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</si>
  <si>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</si>
  <si>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</si>
  <si>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</si>
  <si>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</si>
  <si>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</si>
  <si>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</si>
  <si>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</si>
  <si>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</si>
  <si>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</si>
  <si>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</si>
  <si>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</si>
  <si>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</si>
  <si>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</si>
  <si>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</si>
  <si>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</si>
  <si>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</si>
  <si>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</si>
  <si>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</si>
  <si>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</si>
  <si>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</si>
  <si>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</si>
  <si>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</si>
  <si>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</si>
  <si>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</si>
  <si>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</si>
  <si>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</si>
  <si>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</si>
  <si>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</si>
  <si>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</si>
  <si>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</si>
  <si>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</si>
  <si>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</si>
  <si>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</si>
  <si>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</si>
  <si>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</si>
  <si>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</si>
  <si>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</si>
  <si>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</si>
  <si>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</si>
  <si>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</si>
  <si>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</si>
  <si>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</si>
  <si>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</si>
  <si>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</si>
  <si>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</si>
  <si>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</si>
  <si>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</si>
  <si>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</si>
  <si>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</si>
  <si>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</si>
  <si>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</si>
  <si>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</si>
  <si>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</si>
  <si>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</si>
  <si>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</si>
  <si>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</si>
  <si>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</si>
  <si>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</si>
  <si>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</si>
  <si>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</si>
  <si>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</si>
  <si>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</si>
  <si>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</si>
  <si>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</si>
  <si>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</si>
  <si>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</si>
  <si>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</si>
  <si>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</si>
  <si>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</si>
  <si>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</si>
  <si>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</si>
  <si>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</si>
  <si>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</si>
  <si>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</si>
  <si>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</si>
  <si>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</si>
  <si>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</si>
  <si>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</si>
  <si>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</si>
  <si>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</si>
  <si>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</si>
  <si>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</si>
  <si>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</si>
  <si>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</si>
  <si>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</si>
  <si>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</si>
  <si>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</si>
  <si>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</si>
  <si>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</si>
  <si>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</si>
  <si>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</si>
  <si>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</si>
  <si>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</si>
  <si>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</si>
  <si>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</si>
  <si>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</si>
  <si>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</si>
  <si>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</si>
  <si>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</si>
  <si>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</si>
  <si>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</si>
  <si>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</si>
  <si>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</si>
  <si>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</si>
  <si>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</si>
  <si>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</si>
  <si>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</si>
  <si>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</si>
  <si>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</si>
  <si>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</si>
  <si>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</si>
  <si>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</si>
  <si>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</si>
  <si>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</si>
  <si>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</si>
  <si>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</si>
  <si>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</si>
  <si>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</si>
  <si>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</si>
  <si>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</si>
  <si>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</si>
  <si>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</si>
  <si>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</si>
  <si>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</si>
  <si>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</si>
  <si>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</si>
  <si>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</si>
  <si>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</si>
  <si>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</si>
  <si>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</si>
  <si>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</si>
  <si>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</si>
  <si>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</si>
  <si>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</si>
  <si>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</si>
  <si>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</si>
  <si>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</si>
  <si>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</si>
  <si>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</si>
  <si>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</si>
  <si>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</si>
  <si>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</si>
  <si>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</si>
  <si>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</si>
  <si>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</si>
  <si>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</si>
  <si>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</si>
  <si>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</si>
  <si>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</si>
  <si>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</si>
  <si>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</si>
  <si>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</si>
  <si>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</si>
  <si>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</si>
  <si>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</si>
  <si>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</si>
  <si>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</si>
  <si>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</si>
  <si>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</si>
  <si>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</si>
  <si>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</si>
  <si>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</si>
  <si>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</si>
  <si>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</si>
  <si>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</si>
  <si>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</si>
  <si>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</si>
  <si>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</si>
  <si>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</si>
  <si>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</si>
  <si>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</si>
  <si>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</si>
  <si>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</si>
  <si>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</si>
  <si>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</si>
  <si>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</si>
  <si>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</si>
  <si>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</si>
  <si>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</si>
  <si>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</si>
  <si>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</si>
  <si>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</si>
  <si>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</si>
  <si>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</si>
  <si>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</si>
  <si>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</si>
  <si>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</si>
  <si>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</si>
  <si>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</si>
  <si>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</si>
  <si>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</si>
  <si>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</si>
  <si>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</si>
  <si>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</si>
  <si>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</si>
  <si>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</si>
  <si>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</si>
  <si>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</si>
  <si>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</si>
  <si>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</si>
  <si>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</si>
  <si>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</si>
  <si>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</si>
  <si>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</si>
  <si>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</si>
  <si>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</si>
  <si>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</si>
  <si>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</si>
  <si>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</si>
  <si>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</si>
  <si>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</si>
  <si>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</si>
  <si>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</si>
  <si>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</si>
  <si>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</si>
  <si>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</si>
  <si>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</si>
  <si>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</si>
  <si>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</si>
  <si>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</si>
  <si>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</si>
  <si>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</si>
  <si>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</si>
  <si>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</si>
  <si>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</si>
  <si>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</si>
  <si>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</si>
  <si>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</si>
  <si>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</si>
  <si>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</si>
  <si>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23104</t>
  </si>
  <si>
    <t>LENNIK</t>
  </si>
  <si>
    <t>Paarden&amp;pony's 200 - 600 kg</t>
  </si>
  <si>
    <t>Paarden&amp;pony's &lt; 200 kg</t>
  </si>
  <si>
    <t>referentietaak LNE (2017); Jaarverslag De Lijn (2015)</t>
  </si>
  <si>
    <t>op basis van VEA (maart 2018) en Inventaris Hernieuwbare Energiebronnen (juni 2018)</t>
  </si>
  <si>
    <t>VEA (januari 2017)</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</si>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</sst>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80747.874003495541</c:v>
                </c:pt>
                <c:pt idx="1">
                  <c:v>19047.007342869154</c:v>
                </c:pt>
                <c:pt idx="2">
                  <c:v>604.96</c:v>
                </c:pt>
                <c:pt idx="3">
                  <c:v>6877.7937264878174</c:v>
                </c:pt>
                <c:pt idx="4">
                  <c:v>4991.1182895771108</c:v>
                </c:pt>
                <c:pt idx="5">
                  <c:v>91869.075448210569</c:v>
                </c:pt>
                <c:pt idx="6">
                  <c:v>1886.0036291183906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80747.874003495541</c:v>
                </c:pt>
                <c:pt idx="1">
                  <c:v>19047.007342869154</c:v>
                </c:pt>
                <c:pt idx="2">
                  <c:v>604.96</c:v>
                </c:pt>
                <c:pt idx="3">
                  <c:v>6877.7937264878174</c:v>
                </c:pt>
                <c:pt idx="4">
                  <c:v>4991.1182895771108</c:v>
                </c:pt>
                <c:pt idx="5">
                  <c:v>91869.075448210569</c:v>
                </c:pt>
                <c:pt idx="6">
                  <c:v>1886.0036291183906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17643.020217616864</c:v>
                </c:pt>
                <c:pt idx="2">
                  <c:v>3958.823398340734</c:v>
                </c:pt>
                <c:pt idx="3">
                  <c:v>126.17235337515939</c:v>
                </c:pt>
                <c:pt idx="4">
                  <c:v>1614.4784980782415</c:v>
                </c:pt>
                <c:pt idx="5">
                  <c:v>987.14383418887076</c:v>
                </c:pt>
                <c:pt idx="6">
                  <c:v>23452.95947655935</c:v>
                </c:pt>
                <c:pt idx="7">
                  <c:v>488.41347563043354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17643.020217616864</c:v>
                </c:pt>
                <c:pt idx="2">
                  <c:v>3958.823398340734</c:v>
                </c:pt>
                <c:pt idx="3">
                  <c:v>126.17235337515939</c:v>
                </c:pt>
                <c:pt idx="4">
                  <c:v>1614.4784980782415</c:v>
                </c:pt>
                <c:pt idx="5">
                  <c:v>987.14383418887076</c:v>
                </c:pt>
                <c:pt idx="6">
                  <c:v>23452.95947655935</c:v>
                </c:pt>
                <c:pt idx="7">
                  <c:v>488.41347563043354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23104</v>
      </c>
      <c r="B6" s="415"/>
      <c r="C6" s="416"/>
    </row>
    <row r="7" spans="1:7" s="413" customFormat="1" ht="15.75" customHeight="1">
      <c r="A7" s="417" t="str">
        <f>txtMunicipality</f>
        <v>LENNIK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8622.1446240299992</v>
      </c>
      <c r="D10" s="1012">
        <f ca="1">tertiair!C16</f>
        <v>0</v>
      </c>
      <c r="E10" s="1012">
        <f ca="1">tertiair!D16</f>
        <v>8237.2554884663987</v>
      </c>
      <c r="F10" s="1012">
        <f>tertiair!E16</f>
        <v>147.3548213282902</v>
      </c>
      <c r="G10" s="1012">
        <f ca="1">tertiair!F16</f>
        <v>2207.3374398154292</v>
      </c>
      <c r="H10" s="1012">
        <f>tertiair!G16</f>
        <v>0</v>
      </c>
      <c r="I10" s="1012">
        <f>tertiair!H16</f>
        <v>0</v>
      </c>
      <c r="J10" s="1012">
        <f>tertiair!I16</f>
        <v>0</v>
      </c>
      <c r="K10" s="1012">
        <f>tertiair!J16</f>
        <v>0</v>
      </c>
      <c r="L10" s="1012">
        <f>tertiair!K16</f>
        <v>0</v>
      </c>
      <c r="M10" s="1012">
        <f ca="1">tertiair!L16</f>
        <v>0</v>
      </c>
      <c r="N10" s="1012">
        <f>tertiair!M16</f>
        <v>0</v>
      </c>
      <c r="O10" s="1012">
        <f ca="1">tertiair!N16</f>
        <v>434.74830256236567</v>
      </c>
      <c r="P10" s="1012">
        <f>tertiair!O16</f>
        <v>3.1266666666666669</v>
      </c>
      <c r="Q10" s="1013">
        <f>tertiair!P16</f>
        <v>0</v>
      </c>
      <c r="R10" s="700">
        <f ca="1">SUM(C10:Q10)</f>
        <v>19651.967342869153</v>
      </c>
      <c r="S10" s="67"/>
    </row>
    <row r="11" spans="1:19" s="473" customFormat="1">
      <c r="A11" s="809" t="s">
        <v>225</v>
      </c>
      <c r="B11" s="814"/>
      <c r="C11" s="1012">
        <f>huishoudens!B8</f>
        <v>17973.099776026731</v>
      </c>
      <c r="D11" s="1012">
        <f>huishoudens!C8</f>
        <v>0</v>
      </c>
      <c r="E11" s="1012">
        <f>huishoudens!D8</f>
        <v>23464.97131022</v>
      </c>
      <c r="F11" s="1012">
        <f>huishoudens!E8</f>
        <v>2741.8947129849275</v>
      </c>
      <c r="G11" s="1012">
        <f>huishoudens!F8</f>
        <v>31311.312868019286</v>
      </c>
      <c r="H11" s="1012">
        <f>huishoudens!G8</f>
        <v>0</v>
      </c>
      <c r="I11" s="1012">
        <f>huishoudens!H8</f>
        <v>0</v>
      </c>
      <c r="J11" s="1012">
        <f>huishoudens!I8</f>
        <v>0</v>
      </c>
      <c r="K11" s="1012">
        <f>huishoudens!J8</f>
        <v>485.98690789847763</v>
      </c>
      <c r="L11" s="1012">
        <f>huishoudens!K8</f>
        <v>0</v>
      </c>
      <c r="M11" s="1012">
        <f>huishoudens!L8</f>
        <v>0</v>
      </c>
      <c r="N11" s="1012">
        <f>huishoudens!M8</f>
        <v>0</v>
      </c>
      <c r="O11" s="1012">
        <f>huishoudens!N8</f>
        <v>4238.5817616794593</v>
      </c>
      <c r="P11" s="1012">
        <f>huishoudens!O8</f>
        <v>112.56000000000002</v>
      </c>
      <c r="Q11" s="1013">
        <f>huishoudens!P8</f>
        <v>419.4666666666667</v>
      </c>
      <c r="R11" s="700">
        <f>SUM(C11:Q11)</f>
        <v>80747.874003495541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2325.2676934440001</v>
      </c>
      <c r="D13" s="1012">
        <f>industrie!C18</f>
        <v>0</v>
      </c>
      <c r="E13" s="1012">
        <f>industrie!D18</f>
        <v>671.53981052818006</v>
      </c>
      <c r="F13" s="1012">
        <f>industrie!E18</f>
        <v>306.89652194125483</v>
      </c>
      <c r="G13" s="1012">
        <f>industrie!F18</f>
        <v>1097.6147369977391</v>
      </c>
      <c r="H13" s="1012">
        <f>industrie!G18</f>
        <v>0</v>
      </c>
      <c r="I13" s="1012">
        <f>industrie!H18</f>
        <v>0</v>
      </c>
      <c r="J13" s="1012">
        <f>industrie!I18</f>
        <v>0</v>
      </c>
      <c r="K13" s="1012">
        <f>industrie!J18</f>
        <v>10.731724070376266</v>
      </c>
      <c r="L13" s="1012">
        <f>industrie!K18</f>
        <v>0</v>
      </c>
      <c r="M13" s="1012">
        <f>industrie!L18</f>
        <v>0</v>
      </c>
      <c r="N13" s="1012">
        <f>industrie!M18</f>
        <v>0</v>
      </c>
      <c r="O13" s="1012">
        <f>industrie!N18</f>
        <v>579.06780259556081</v>
      </c>
      <c r="P13" s="1012">
        <f>industrie!O18</f>
        <v>0</v>
      </c>
      <c r="Q13" s="1013">
        <f>industrie!P18</f>
        <v>0</v>
      </c>
      <c r="R13" s="700">
        <f>SUM(C13:Q13)</f>
        <v>4991.1182895771108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28920.512093500729</v>
      </c>
      <c r="D16" s="732">
        <f t="shared" ref="D16:R16" ca="1" si="0">SUM(D9:D15)</f>
        <v>0</v>
      </c>
      <c r="E16" s="732">
        <f t="shared" ca="1" si="0"/>
        <v>32373.766609214577</v>
      </c>
      <c r="F16" s="732">
        <f t="shared" si="0"/>
        <v>3196.1460562544726</v>
      </c>
      <c r="G16" s="732">
        <f t="shared" ca="1" si="0"/>
        <v>34616.265044832457</v>
      </c>
      <c r="H16" s="732">
        <f t="shared" si="0"/>
        <v>0</v>
      </c>
      <c r="I16" s="732">
        <f t="shared" si="0"/>
        <v>0</v>
      </c>
      <c r="J16" s="732">
        <f t="shared" si="0"/>
        <v>0</v>
      </c>
      <c r="K16" s="732">
        <f t="shared" si="0"/>
        <v>496.71863196885391</v>
      </c>
      <c r="L16" s="732">
        <f t="shared" si="0"/>
        <v>0</v>
      </c>
      <c r="M16" s="732">
        <f t="shared" ca="1" si="0"/>
        <v>0</v>
      </c>
      <c r="N16" s="732">
        <f t="shared" si="0"/>
        <v>0</v>
      </c>
      <c r="O16" s="732">
        <f t="shared" ca="1" si="0"/>
        <v>5252.3978668373857</v>
      </c>
      <c r="P16" s="732">
        <f t="shared" si="0"/>
        <v>115.68666666666668</v>
      </c>
      <c r="Q16" s="732">
        <f t="shared" si="0"/>
        <v>419.4666666666667</v>
      </c>
      <c r="R16" s="732">
        <f t="shared" ca="1" si="0"/>
        <v>105390.95963594181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1829.2639536720355</v>
      </c>
      <c r="I19" s="1012">
        <f>transport!H54</f>
        <v>0</v>
      </c>
      <c r="J19" s="1012">
        <f>transport!I54</f>
        <v>0</v>
      </c>
      <c r="K19" s="1012">
        <f>transport!J54</f>
        <v>0</v>
      </c>
      <c r="L19" s="1012">
        <f>transport!K54</f>
        <v>0</v>
      </c>
      <c r="M19" s="1012">
        <f>transport!L54</f>
        <v>0</v>
      </c>
      <c r="N19" s="1012">
        <f>transport!M54</f>
        <v>56.739675446354937</v>
      </c>
      <c r="O19" s="1012">
        <f>transport!N54</f>
        <v>0</v>
      </c>
      <c r="P19" s="1012">
        <f>transport!O54</f>
        <v>0</v>
      </c>
      <c r="Q19" s="1013">
        <f>transport!P54</f>
        <v>0</v>
      </c>
      <c r="R19" s="700">
        <f>SUM(C19:Q19)</f>
        <v>1886.0036291183906</v>
      </c>
      <c r="S19" s="67"/>
    </row>
    <row r="20" spans="1:19" s="473" customFormat="1">
      <c r="A20" s="809" t="s">
        <v>307</v>
      </c>
      <c r="B20" s="814"/>
      <c r="C20" s="1012">
        <f>transport!B14</f>
        <v>24.603969989893319</v>
      </c>
      <c r="D20" s="1012">
        <f>transport!C14</f>
        <v>0</v>
      </c>
      <c r="E20" s="1012">
        <f>transport!D14</f>
        <v>67.110027559323768</v>
      </c>
      <c r="F20" s="1012">
        <f>transport!E14</f>
        <v>251.71599144153618</v>
      </c>
      <c r="G20" s="1012">
        <f>transport!F14</f>
        <v>0</v>
      </c>
      <c r="H20" s="1012">
        <f>transport!G14</f>
        <v>70927.745139425038</v>
      </c>
      <c r="I20" s="1012">
        <f>transport!H14</f>
        <v>17829.013203315695</v>
      </c>
      <c r="J20" s="1012">
        <f>transport!I14</f>
        <v>0</v>
      </c>
      <c r="K20" s="1012">
        <f>transport!J14</f>
        <v>0</v>
      </c>
      <c r="L20" s="1012">
        <f>transport!K14</f>
        <v>0</v>
      </c>
      <c r="M20" s="1012">
        <f>transport!L14</f>
        <v>0</v>
      </c>
      <c r="N20" s="1012">
        <f>transport!M14</f>
        <v>2768.8871164790767</v>
      </c>
      <c r="O20" s="1012">
        <f>transport!N14</f>
        <v>0</v>
      </c>
      <c r="P20" s="1012">
        <f>transport!O14</f>
        <v>0</v>
      </c>
      <c r="Q20" s="1013">
        <f>transport!P14</f>
        <v>0</v>
      </c>
      <c r="R20" s="700">
        <f>SUM(C20:Q20)</f>
        <v>91869.075448210569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24.603969989893319</v>
      </c>
      <c r="D22" s="812">
        <f t="shared" ref="D22:R22" si="1">SUM(D18:D21)</f>
        <v>0</v>
      </c>
      <c r="E22" s="812">
        <f t="shared" si="1"/>
        <v>67.110027559323768</v>
      </c>
      <c r="F22" s="812">
        <f t="shared" si="1"/>
        <v>251.71599144153618</v>
      </c>
      <c r="G22" s="812">
        <f t="shared" si="1"/>
        <v>0</v>
      </c>
      <c r="H22" s="812">
        <f t="shared" si="1"/>
        <v>72757.009093097076</v>
      </c>
      <c r="I22" s="812">
        <f t="shared" si="1"/>
        <v>17829.013203315695</v>
      </c>
      <c r="J22" s="812">
        <f t="shared" si="1"/>
        <v>0</v>
      </c>
      <c r="K22" s="812">
        <f t="shared" si="1"/>
        <v>0</v>
      </c>
      <c r="L22" s="812">
        <f t="shared" si="1"/>
        <v>0</v>
      </c>
      <c r="M22" s="812">
        <f t="shared" si="1"/>
        <v>0</v>
      </c>
      <c r="N22" s="812">
        <f t="shared" si="1"/>
        <v>2825.6267919254315</v>
      </c>
      <c r="O22" s="812">
        <f t="shared" si="1"/>
        <v>0</v>
      </c>
      <c r="P22" s="812">
        <f t="shared" si="1"/>
        <v>0</v>
      </c>
      <c r="Q22" s="812">
        <f t="shared" si="1"/>
        <v>0</v>
      </c>
      <c r="R22" s="812">
        <f t="shared" si="1"/>
        <v>93755.079077328963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891.564685768</v>
      </c>
      <c r="D24" s="1012">
        <f>+landbouw!C8</f>
        <v>62.357142857142847</v>
      </c>
      <c r="E24" s="1012">
        <f>+landbouw!D8</f>
        <v>2513.6906340345804</v>
      </c>
      <c r="F24" s="1012">
        <f>+landbouw!E8</f>
        <v>22.990030033337266</v>
      </c>
      <c r="G24" s="1012">
        <f>+landbouw!F8</f>
        <v>3258.8387167285196</v>
      </c>
      <c r="H24" s="1012">
        <f>+landbouw!G8</f>
        <v>0</v>
      </c>
      <c r="I24" s="1012">
        <f>+landbouw!H8</f>
        <v>0</v>
      </c>
      <c r="J24" s="1012">
        <f>+landbouw!I8</f>
        <v>0</v>
      </c>
      <c r="K24" s="1012">
        <f>+landbouw!J8</f>
        <v>128.35251706623728</v>
      </c>
      <c r="L24" s="1012">
        <f>+landbouw!K8</f>
        <v>0</v>
      </c>
      <c r="M24" s="1012">
        <f>+landbouw!L8</f>
        <v>0</v>
      </c>
      <c r="N24" s="1012">
        <f>+landbouw!M8</f>
        <v>0</v>
      </c>
      <c r="O24" s="1012">
        <f>+landbouw!N8</f>
        <v>0</v>
      </c>
      <c r="P24" s="1012">
        <f>+landbouw!O8</f>
        <v>0</v>
      </c>
      <c r="Q24" s="1013">
        <f>+landbouw!P8</f>
        <v>0</v>
      </c>
      <c r="R24" s="700">
        <f>SUM(C24:Q24)</f>
        <v>6877.7937264878174</v>
      </c>
      <c r="S24" s="67"/>
    </row>
    <row r="25" spans="1:19" s="473" customFormat="1" ht="15" thickBot="1">
      <c r="A25" s="831" t="s">
        <v>848</v>
      </c>
      <c r="B25" s="1015"/>
      <c r="C25" s="1016">
        <f>IF(Onbekend_ele_kWh="---",0,Onbekend_ele_kWh)/1000+IF(REST_rest_ele_kWh="---",0,REST_rest_ele_kWh)/1000</f>
        <v>532.70004361999997</v>
      </c>
      <c r="D25" s="1016"/>
      <c r="E25" s="1016">
        <f>IF(onbekend_gas_kWh="---",0,onbekend_gas_kWh)/1000+IF(REST_rest_gas_kWh="---",0,REST_rest_gas_kWh)/1000</f>
        <v>987.02340441000001</v>
      </c>
      <c r="F25" s="1016"/>
      <c r="G25" s="1016"/>
      <c r="H25" s="1016"/>
      <c r="I25" s="1016"/>
      <c r="J25" s="1016"/>
      <c r="K25" s="1016"/>
      <c r="L25" s="1016"/>
      <c r="M25" s="1016"/>
      <c r="N25" s="1016"/>
      <c r="O25" s="1016"/>
      <c r="P25" s="1016"/>
      <c r="Q25" s="1017"/>
      <c r="R25" s="700">
        <f>SUM(C25:Q25)</f>
        <v>1519.7234480299999</v>
      </c>
      <c r="S25" s="67"/>
    </row>
    <row r="26" spans="1:19" s="473" customFormat="1" ht="15.75" thickBot="1">
      <c r="A26" s="705" t="s">
        <v>849</v>
      </c>
      <c r="B26" s="817"/>
      <c r="C26" s="812">
        <f>SUM(C24:C25)</f>
        <v>1424.264729388</v>
      </c>
      <c r="D26" s="812">
        <f t="shared" ref="D26:R26" si="2">SUM(D24:D25)</f>
        <v>62.357142857142847</v>
      </c>
      <c r="E26" s="812">
        <f t="shared" si="2"/>
        <v>3500.7140384445802</v>
      </c>
      <c r="F26" s="812">
        <f t="shared" si="2"/>
        <v>22.990030033337266</v>
      </c>
      <c r="G26" s="812">
        <f t="shared" si="2"/>
        <v>3258.8387167285196</v>
      </c>
      <c r="H26" s="812">
        <f t="shared" si="2"/>
        <v>0</v>
      </c>
      <c r="I26" s="812">
        <f t="shared" si="2"/>
        <v>0</v>
      </c>
      <c r="J26" s="812">
        <f t="shared" si="2"/>
        <v>0</v>
      </c>
      <c r="K26" s="812">
        <f t="shared" si="2"/>
        <v>128.35251706623728</v>
      </c>
      <c r="L26" s="812">
        <f t="shared" si="2"/>
        <v>0</v>
      </c>
      <c r="M26" s="812">
        <f t="shared" si="2"/>
        <v>0</v>
      </c>
      <c r="N26" s="812">
        <f t="shared" si="2"/>
        <v>0</v>
      </c>
      <c r="O26" s="812">
        <f t="shared" si="2"/>
        <v>0</v>
      </c>
      <c r="P26" s="812">
        <f t="shared" si="2"/>
        <v>0</v>
      </c>
      <c r="Q26" s="812">
        <f t="shared" si="2"/>
        <v>0</v>
      </c>
      <c r="R26" s="812">
        <f t="shared" si="2"/>
        <v>8397.5171745178177</v>
      </c>
      <c r="S26" s="67"/>
    </row>
    <row r="27" spans="1:19" s="473" customFormat="1" ht="17.25" thickTop="1" thickBot="1">
      <c r="A27" s="706" t="s">
        <v>116</v>
      </c>
      <c r="B27" s="805"/>
      <c r="C27" s="707">
        <f ca="1">C22+C16+C26</f>
        <v>30369.380792878623</v>
      </c>
      <c r="D27" s="707">
        <f t="shared" ref="D27:R27" ca="1" si="3">D22+D16+D26</f>
        <v>62.357142857142847</v>
      </c>
      <c r="E27" s="707">
        <f t="shared" ca="1" si="3"/>
        <v>35941.590675218482</v>
      </c>
      <c r="F27" s="707">
        <f t="shared" si="3"/>
        <v>3470.8520777293461</v>
      </c>
      <c r="G27" s="707">
        <f t="shared" ca="1" si="3"/>
        <v>37875.103761560975</v>
      </c>
      <c r="H27" s="707">
        <f t="shared" si="3"/>
        <v>72757.009093097076</v>
      </c>
      <c r="I27" s="707">
        <f t="shared" si="3"/>
        <v>17829.013203315695</v>
      </c>
      <c r="J27" s="707">
        <f t="shared" si="3"/>
        <v>0</v>
      </c>
      <c r="K27" s="707">
        <f t="shared" si="3"/>
        <v>625.07114903509114</v>
      </c>
      <c r="L27" s="707">
        <f t="shared" si="3"/>
        <v>0</v>
      </c>
      <c r="M27" s="707">
        <f t="shared" ca="1" si="3"/>
        <v>0</v>
      </c>
      <c r="N27" s="707">
        <f t="shared" si="3"/>
        <v>2825.6267919254315</v>
      </c>
      <c r="O27" s="707">
        <f t="shared" ca="1" si="3"/>
        <v>5252.3978668373857</v>
      </c>
      <c r="P27" s="707">
        <f t="shared" si="3"/>
        <v>115.68666666666668</v>
      </c>
      <c r="Q27" s="707">
        <f t="shared" si="3"/>
        <v>419.4666666666667</v>
      </c>
      <c r="R27" s="707">
        <f t="shared" ca="1" si="3"/>
        <v>207543.55588778859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1798.2615021734393</v>
      </c>
      <c r="D40" s="1012">
        <f ca="1">tertiair!C20</f>
        <v>0</v>
      </c>
      <c r="E40" s="1012">
        <f ca="1">tertiair!D20</f>
        <v>1663.9256086702126</v>
      </c>
      <c r="F40" s="1012">
        <f>tertiair!E20</f>
        <v>33.44954444152188</v>
      </c>
      <c r="G40" s="1012">
        <f ca="1">tertiair!F20</f>
        <v>589.35909643071966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4084.9957517158932</v>
      </c>
    </row>
    <row r="41" spans="1:18">
      <c r="A41" s="822" t="s">
        <v>225</v>
      </c>
      <c r="B41" s="829"/>
      <c r="C41" s="1012">
        <f ca="1">huishoudens!B12</f>
        <v>3748.526011947637</v>
      </c>
      <c r="D41" s="1012">
        <f ca="1">huishoudens!C12</f>
        <v>0</v>
      </c>
      <c r="E41" s="1012">
        <f>huishoudens!D12</f>
        <v>4739.9242046644404</v>
      </c>
      <c r="F41" s="1012">
        <f>huishoudens!E12</f>
        <v>622.41009984757852</v>
      </c>
      <c r="G41" s="1012">
        <f>huishoudens!F12</f>
        <v>8360.1205357611507</v>
      </c>
      <c r="H41" s="1012">
        <f>huishoudens!G12</f>
        <v>0</v>
      </c>
      <c r="I41" s="1012">
        <f>huishoudens!H12</f>
        <v>0</v>
      </c>
      <c r="J41" s="1012">
        <f>huishoudens!I12</f>
        <v>0</v>
      </c>
      <c r="K41" s="1012">
        <f>huishoudens!J12</f>
        <v>172.03936539606107</v>
      </c>
      <c r="L41" s="1012">
        <f>huishoudens!K12</f>
        <v>0</v>
      </c>
      <c r="M41" s="1012">
        <f>huishoudens!L12</f>
        <v>0</v>
      </c>
      <c r="N41" s="1012">
        <f>huishoudens!M12</f>
        <v>0</v>
      </c>
      <c r="O41" s="1012">
        <f>huishoudens!N12</f>
        <v>0</v>
      </c>
      <c r="P41" s="1012">
        <f>huishoudens!O12</f>
        <v>0</v>
      </c>
      <c r="Q41" s="774">
        <f>huishoudens!P12</f>
        <v>0</v>
      </c>
      <c r="R41" s="850">
        <f t="shared" ca="1" si="4"/>
        <v>17643.020217616864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484.96511688220403</v>
      </c>
      <c r="D43" s="1012">
        <f ca="1">industrie!C22</f>
        <v>0</v>
      </c>
      <c r="E43" s="1012">
        <f>industrie!D22</f>
        <v>135.65104172669237</v>
      </c>
      <c r="F43" s="1012">
        <f>industrie!E22</f>
        <v>69.66551048066485</v>
      </c>
      <c r="G43" s="1012">
        <f>industrie!F22</f>
        <v>293.06313477839637</v>
      </c>
      <c r="H43" s="1012">
        <f>industrie!G22</f>
        <v>0</v>
      </c>
      <c r="I43" s="1012">
        <f>industrie!H22</f>
        <v>0</v>
      </c>
      <c r="J43" s="1012">
        <f>industrie!I22</f>
        <v>0</v>
      </c>
      <c r="K43" s="1012">
        <f>industrie!J22</f>
        <v>3.7990303209131979</v>
      </c>
      <c r="L43" s="1012">
        <f>industrie!K22</f>
        <v>0</v>
      </c>
      <c r="M43" s="1012">
        <f>industrie!L22</f>
        <v>0</v>
      </c>
      <c r="N43" s="1012">
        <f>industrie!M22</f>
        <v>0</v>
      </c>
      <c r="O43" s="1012">
        <f>industrie!N22</f>
        <v>0</v>
      </c>
      <c r="P43" s="1012">
        <f>industrie!O22</f>
        <v>0</v>
      </c>
      <c r="Q43" s="774">
        <f>industrie!P22</f>
        <v>0</v>
      </c>
      <c r="R43" s="849">
        <f t="shared" ca="1" si="4"/>
        <v>987.14383418887076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6031.7526310032799</v>
      </c>
      <c r="D46" s="732">
        <f t="shared" ref="D46:Q46" ca="1" si="5">SUM(D39:D45)</f>
        <v>0</v>
      </c>
      <c r="E46" s="732">
        <f t="shared" ca="1" si="5"/>
        <v>6539.5008550613456</v>
      </c>
      <c r="F46" s="732">
        <f t="shared" si="5"/>
        <v>725.52515476976521</v>
      </c>
      <c r="G46" s="732">
        <f t="shared" ca="1" si="5"/>
        <v>9242.5427669702676</v>
      </c>
      <c r="H46" s="732">
        <f t="shared" si="5"/>
        <v>0</v>
      </c>
      <c r="I46" s="732">
        <f t="shared" si="5"/>
        <v>0</v>
      </c>
      <c r="J46" s="732">
        <f t="shared" si="5"/>
        <v>0</v>
      </c>
      <c r="K46" s="732">
        <f t="shared" si="5"/>
        <v>175.83839571697428</v>
      </c>
      <c r="L46" s="732">
        <f t="shared" si="5"/>
        <v>0</v>
      </c>
      <c r="M46" s="732">
        <f t="shared" ca="1" si="5"/>
        <v>0</v>
      </c>
      <c r="N46" s="732">
        <f t="shared" si="5"/>
        <v>0</v>
      </c>
      <c r="O46" s="732">
        <f t="shared" ca="1" si="5"/>
        <v>0</v>
      </c>
      <c r="P46" s="732">
        <f t="shared" si="5"/>
        <v>0</v>
      </c>
      <c r="Q46" s="732">
        <f t="shared" si="5"/>
        <v>0</v>
      </c>
      <c r="R46" s="732">
        <f ca="1">SUM(R39:R45)</f>
        <v>22715.15980352163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488.41347563043354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488.41347563043354</v>
      </c>
    </row>
    <row r="50" spans="1:18">
      <c r="A50" s="825" t="s">
        <v>307</v>
      </c>
      <c r="B50" s="835"/>
      <c r="C50" s="703">
        <f ca="1">transport!B18</f>
        <v>5.1314810830412529</v>
      </c>
      <c r="D50" s="703">
        <f>transport!C18</f>
        <v>0</v>
      </c>
      <c r="E50" s="703">
        <f>transport!D18</f>
        <v>13.556225566983402</v>
      </c>
      <c r="F50" s="703">
        <f>transport!E18</f>
        <v>57.139530057228711</v>
      </c>
      <c r="G50" s="703">
        <f>transport!F18</f>
        <v>0</v>
      </c>
      <c r="H50" s="703">
        <f>transport!G18</f>
        <v>18937.707952226487</v>
      </c>
      <c r="I50" s="703">
        <f>transport!H18</f>
        <v>4439.4242876256085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23452.95947655935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5.1314810830412529</v>
      </c>
      <c r="D52" s="732">
        <f t="shared" ref="D52:Q52" ca="1" si="6">SUM(D48:D51)</f>
        <v>0</v>
      </c>
      <c r="E52" s="732">
        <f t="shared" si="6"/>
        <v>13.556225566983402</v>
      </c>
      <c r="F52" s="732">
        <f t="shared" si="6"/>
        <v>57.139530057228711</v>
      </c>
      <c r="G52" s="732">
        <f t="shared" si="6"/>
        <v>0</v>
      </c>
      <c r="H52" s="732">
        <f t="shared" si="6"/>
        <v>19426.12142785692</v>
      </c>
      <c r="I52" s="732">
        <f t="shared" si="6"/>
        <v>4439.4242876256085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23941.372952189784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185.94752477772585</v>
      </c>
      <c r="D54" s="703">
        <f ca="1">+landbouw!C12</f>
        <v>0</v>
      </c>
      <c r="E54" s="703">
        <f>+landbouw!D12</f>
        <v>507.76550807498529</v>
      </c>
      <c r="F54" s="703">
        <f>+landbouw!E12</f>
        <v>5.2187368175675592</v>
      </c>
      <c r="G54" s="703">
        <f>+landbouw!F12</f>
        <v>870.10993736651483</v>
      </c>
      <c r="H54" s="703">
        <f>+landbouw!G12</f>
        <v>0</v>
      </c>
      <c r="I54" s="703">
        <f>+landbouw!H12</f>
        <v>0</v>
      </c>
      <c r="J54" s="703">
        <f>+landbouw!I12</f>
        <v>0</v>
      </c>
      <c r="K54" s="703">
        <f>+landbouw!J12</f>
        <v>45.436791041447997</v>
      </c>
      <c r="L54" s="703">
        <f>+landbouw!K12</f>
        <v>0</v>
      </c>
      <c r="M54" s="703">
        <f>+landbouw!L12</f>
        <v>0</v>
      </c>
      <c r="N54" s="703">
        <f>+landbouw!M12</f>
        <v>0</v>
      </c>
      <c r="O54" s="703">
        <f>+landbouw!N12</f>
        <v>0</v>
      </c>
      <c r="P54" s="703">
        <f>+landbouw!O12</f>
        <v>0</v>
      </c>
      <c r="Q54" s="704">
        <f>+landbouw!P12</f>
        <v>0</v>
      </c>
      <c r="R54" s="731">
        <f ca="1">SUM(C54:Q54)</f>
        <v>1614.4784980782415</v>
      </c>
    </row>
    <row r="55" spans="1:18" ht="15" thickBot="1">
      <c r="A55" s="825" t="s">
        <v>848</v>
      </c>
      <c r="B55" s="835"/>
      <c r="C55" s="703">
        <f ca="1">C25*'EF ele_warmte'!B12</f>
        <v>111.10159043008703</v>
      </c>
      <c r="D55" s="703"/>
      <c r="E55" s="703">
        <f>E25*EF_CO2_aardgas</f>
        <v>199.37872769082003</v>
      </c>
      <c r="F55" s="703"/>
      <c r="G55" s="703"/>
      <c r="H55" s="703"/>
      <c r="I55" s="703"/>
      <c r="J55" s="703"/>
      <c r="K55" s="703"/>
      <c r="L55" s="703"/>
      <c r="M55" s="703"/>
      <c r="N55" s="703"/>
      <c r="O55" s="703"/>
      <c r="P55" s="703"/>
      <c r="Q55" s="704"/>
      <c r="R55" s="731">
        <f ca="1">SUM(C55:Q55)</f>
        <v>310.48031812090704</v>
      </c>
    </row>
    <row r="56" spans="1:18" ht="15.75" thickBot="1">
      <c r="A56" s="823" t="s">
        <v>849</v>
      </c>
      <c r="B56" s="836"/>
      <c r="C56" s="732">
        <f ca="1">SUM(C54:C55)</f>
        <v>297.04911520781286</v>
      </c>
      <c r="D56" s="732">
        <f t="shared" ref="D56:Q56" ca="1" si="7">SUM(D54:D55)</f>
        <v>0</v>
      </c>
      <c r="E56" s="732">
        <f t="shared" si="7"/>
        <v>707.14423576580532</v>
      </c>
      <c r="F56" s="732">
        <f t="shared" si="7"/>
        <v>5.2187368175675592</v>
      </c>
      <c r="G56" s="732">
        <f t="shared" si="7"/>
        <v>870.10993736651483</v>
      </c>
      <c r="H56" s="732">
        <f t="shared" si="7"/>
        <v>0</v>
      </c>
      <c r="I56" s="732">
        <f t="shared" si="7"/>
        <v>0</v>
      </c>
      <c r="J56" s="732">
        <f t="shared" si="7"/>
        <v>0</v>
      </c>
      <c r="K56" s="732">
        <f t="shared" si="7"/>
        <v>45.436791041447997</v>
      </c>
      <c r="L56" s="732">
        <f t="shared" si="7"/>
        <v>0</v>
      </c>
      <c r="M56" s="732">
        <f t="shared" si="7"/>
        <v>0</v>
      </c>
      <c r="N56" s="732">
        <f t="shared" si="7"/>
        <v>0</v>
      </c>
      <c r="O56" s="732">
        <f t="shared" si="7"/>
        <v>0</v>
      </c>
      <c r="P56" s="732">
        <f t="shared" si="7"/>
        <v>0</v>
      </c>
      <c r="Q56" s="733">
        <f t="shared" si="7"/>
        <v>0</v>
      </c>
      <c r="R56" s="734">
        <f ca="1">SUM(R54:R55)</f>
        <v>1924.9588161991485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6333.9332272941338</v>
      </c>
      <c r="D61" s="740">
        <f t="shared" ref="D61:Q61" ca="1" si="8">D46+D52+D56</f>
        <v>0</v>
      </c>
      <c r="E61" s="740">
        <f t="shared" ca="1" si="8"/>
        <v>7260.2013163941347</v>
      </c>
      <c r="F61" s="740">
        <f t="shared" si="8"/>
        <v>787.88342164456151</v>
      </c>
      <c r="G61" s="740">
        <f t="shared" ca="1" si="8"/>
        <v>10112.652704336782</v>
      </c>
      <c r="H61" s="740">
        <f t="shared" si="8"/>
        <v>19426.12142785692</v>
      </c>
      <c r="I61" s="740">
        <f t="shared" si="8"/>
        <v>4439.4242876256085</v>
      </c>
      <c r="J61" s="740">
        <f t="shared" si="8"/>
        <v>0</v>
      </c>
      <c r="K61" s="740">
        <f t="shared" si="8"/>
        <v>221.27518675842228</v>
      </c>
      <c r="L61" s="740">
        <f t="shared" si="8"/>
        <v>0</v>
      </c>
      <c r="M61" s="740">
        <f t="shared" ca="1" si="8"/>
        <v>0</v>
      </c>
      <c r="N61" s="740">
        <f t="shared" si="8"/>
        <v>0</v>
      </c>
      <c r="O61" s="740">
        <f t="shared" ca="1" si="8"/>
        <v>0</v>
      </c>
      <c r="P61" s="740">
        <f t="shared" si="8"/>
        <v>0</v>
      </c>
      <c r="Q61" s="740">
        <f t="shared" si="8"/>
        <v>0</v>
      </c>
      <c r="R61" s="740">
        <f ca="1">R46+R52+R56</f>
        <v>48581.491571910563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0.20856313371984819</v>
      </c>
      <c r="D63" s="781">
        <f t="shared" ca="1" si="9"/>
        <v>0</v>
      </c>
      <c r="E63" s="1023">
        <f t="shared" ca="1" si="9"/>
        <v>0.20200000000000004</v>
      </c>
      <c r="F63" s="781">
        <f t="shared" si="9"/>
        <v>0.22699999999999998</v>
      </c>
      <c r="G63" s="781">
        <f t="shared" ca="1" si="9"/>
        <v>0.26700000000000007</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1665.3994476562928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1709.0494476562928</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17973.099776026731</v>
      </c>
      <c r="C4" s="477">
        <f>huishoudens!C8</f>
        <v>0</v>
      </c>
      <c r="D4" s="477">
        <f>huishoudens!D8</f>
        <v>23464.97131022</v>
      </c>
      <c r="E4" s="477">
        <f>huishoudens!E8</f>
        <v>2741.8947129849275</v>
      </c>
      <c r="F4" s="477">
        <f>huishoudens!F8</f>
        <v>31311.312868019286</v>
      </c>
      <c r="G4" s="477">
        <f>huishoudens!G8</f>
        <v>0</v>
      </c>
      <c r="H4" s="477">
        <f>huishoudens!H8</f>
        <v>0</v>
      </c>
      <c r="I4" s="477">
        <f>huishoudens!I8</f>
        <v>0</v>
      </c>
      <c r="J4" s="477">
        <f>huishoudens!J8</f>
        <v>485.98690789847763</v>
      </c>
      <c r="K4" s="477">
        <f>huishoudens!K8</f>
        <v>0</v>
      </c>
      <c r="L4" s="477">
        <f>huishoudens!L8</f>
        <v>0</v>
      </c>
      <c r="M4" s="477">
        <f>huishoudens!M8</f>
        <v>0</v>
      </c>
      <c r="N4" s="477">
        <f>huishoudens!N8</f>
        <v>4238.5817616794593</v>
      </c>
      <c r="O4" s="477">
        <f>huishoudens!O8</f>
        <v>112.56000000000002</v>
      </c>
      <c r="P4" s="478">
        <f>huishoudens!P8</f>
        <v>419.4666666666667</v>
      </c>
      <c r="Q4" s="479">
        <f>SUM(B4:P4)</f>
        <v>80747.874003495541</v>
      </c>
    </row>
    <row r="5" spans="1:17">
      <c r="A5" s="476" t="s">
        <v>156</v>
      </c>
      <c r="B5" s="477">
        <f ca="1">tertiair!B16</f>
        <v>8017.1846240300001</v>
      </c>
      <c r="C5" s="477">
        <f ca="1">tertiair!C16</f>
        <v>0</v>
      </c>
      <c r="D5" s="477">
        <f ca="1">tertiair!D16</f>
        <v>8237.2554884663987</v>
      </c>
      <c r="E5" s="477">
        <f>tertiair!E16</f>
        <v>147.3548213282902</v>
      </c>
      <c r="F5" s="477">
        <f ca="1">tertiair!F16</f>
        <v>2207.3374398154292</v>
      </c>
      <c r="G5" s="477">
        <f>tertiair!G16</f>
        <v>0</v>
      </c>
      <c r="H5" s="477">
        <f>tertiair!H16</f>
        <v>0</v>
      </c>
      <c r="I5" s="477">
        <f>tertiair!I16</f>
        <v>0</v>
      </c>
      <c r="J5" s="477">
        <f>tertiair!J16</f>
        <v>0</v>
      </c>
      <c r="K5" s="477">
        <f>tertiair!K16</f>
        <v>0</v>
      </c>
      <c r="L5" s="477">
        <f ca="1">tertiair!L16</f>
        <v>0</v>
      </c>
      <c r="M5" s="477">
        <f>tertiair!M16</f>
        <v>0</v>
      </c>
      <c r="N5" s="477">
        <f ca="1">tertiair!N16</f>
        <v>434.74830256236567</v>
      </c>
      <c r="O5" s="477">
        <f>tertiair!O16</f>
        <v>3.1266666666666669</v>
      </c>
      <c r="P5" s="478">
        <f>tertiair!P16</f>
        <v>0</v>
      </c>
      <c r="Q5" s="476">
        <f t="shared" ref="Q5:Q14" ca="1" si="0">SUM(B5:P5)</f>
        <v>19047.007342869154</v>
      </c>
    </row>
    <row r="6" spans="1:17">
      <c r="A6" s="476" t="s">
        <v>194</v>
      </c>
      <c r="B6" s="477">
        <f>'openbare verlichting'!B8</f>
        <v>604.96</v>
      </c>
      <c r="C6" s="477"/>
      <c r="D6" s="477"/>
      <c r="E6" s="477"/>
      <c r="F6" s="477"/>
      <c r="G6" s="477"/>
      <c r="H6" s="477"/>
      <c r="I6" s="477"/>
      <c r="J6" s="477"/>
      <c r="K6" s="477"/>
      <c r="L6" s="477"/>
      <c r="M6" s="477"/>
      <c r="N6" s="477"/>
      <c r="O6" s="477"/>
      <c r="P6" s="478"/>
      <c r="Q6" s="476">
        <f t="shared" si="0"/>
        <v>604.96</v>
      </c>
    </row>
    <row r="7" spans="1:17">
      <c r="A7" s="476" t="s">
        <v>112</v>
      </c>
      <c r="B7" s="477">
        <f>landbouw!B8</f>
        <v>891.564685768</v>
      </c>
      <c r="C7" s="477">
        <f>landbouw!C8</f>
        <v>62.357142857142847</v>
      </c>
      <c r="D7" s="477">
        <f>landbouw!D8</f>
        <v>2513.6906340345804</v>
      </c>
      <c r="E7" s="477">
        <f>landbouw!E8</f>
        <v>22.990030033337266</v>
      </c>
      <c r="F7" s="477">
        <f>landbouw!F8</f>
        <v>3258.8387167285196</v>
      </c>
      <c r="G7" s="477">
        <f>landbouw!G8</f>
        <v>0</v>
      </c>
      <c r="H7" s="477">
        <f>landbouw!H8</f>
        <v>0</v>
      </c>
      <c r="I7" s="477">
        <f>landbouw!I8</f>
        <v>0</v>
      </c>
      <c r="J7" s="477">
        <f>landbouw!J8</f>
        <v>128.35251706623728</v>
      </c>
      <c r="K7" s="477">
        <f>landbouw!K8</f>
        <v>0</v>
      </c>
      <c r="L7" s="477">
        <f>landbouw!L8</f>
        <v>0</v>
      </c>
      <c r="M7" s="477">
        <f>landbouw!M8</f>
        <v>0</v>
      </c>
      <c r="N7" s="477">
        <f>landbouw!N8</f>
        <v>0</v>
      </c>
      <c r="O7" s="477">
        <f>landbouw!O8</f>
        <v>0</v>
      </c>
      <c r="P7" s="478">
        <f>landbouw!P8</f>
        <v>0</v>
      </c>
      <c r="Q7" s="476">
        <f t="shared" si="0"/>
        <v>6877.7937264878174</v>
      </c>
    </row>
    <row r="8" spans="1:17">
      <c r="A8" s="476" t="s">
        <v>638</v>
      </c>
      <c r="B8" s="477">
        <f>industrie!B18</f>
        <v>2325.2676934440001</v>
      </c>
      <c r="C8" s="477">
        <f>industrie!C18</f>
        <v>0</v>
      </c>
      <c r="D8" s="477">
        <f>industrie!D18</f>
        <v>671.53981052818006</v>
      </c>
      <c r="E8" s="477">
        <f>industrie!E18</f>
        <v>306.89652194125483</v>
      </c>
      <c r="F8" s="477">
        <f>industrie!F18</f>
        <v>1097.6147369977391</v>
      </c>
      <c r="G8" s="477">
        <f>industrie!G18</f>
        <v>0</v>
      </c>
      <c r="H8" s="477">
        <f>industrie!H18</f>
        <v>0</v>
      </c>
      <c r="I8" s="477">
        <f>industrie!I18</f>
        <v>0</v>
      </c>
      <c r="J8" s="477">
        <f>industrie!J18</f>
        <v>10.731724070376266</v>
      </c>
      <c r="K8" s="477">
        <f>industrie!K18</f>
        <v>0</v>
      </c>
      <c r="L8" s="477">
        <f>industrie!L18</f>
        <v>0</v>
      </c>
      <c r="M8" s="477">
        <f>industrie!M18</f>
        <v>0</v>
      </c>
      <c r="N8" s="477">
        <f>industrie!N18</f>
        <v>579.06780259556081</v>
      </c>
      <c r="O8" s="477">
        <f>industrie!O18</f>
        <v>0</v>
      </c>
      <c r="P8" s="478">
        <f>industrie!P18</f>
        <v>0</v>
      </c>
      <c r="Q8" s="476">
        <f t="shared" si="0"/>
        <v>4991.1182895771108</v>
      </c>
    </row>
    <row r="9" spans="1:17" s="482" customFormat="1">
      <c r="A9" s="480" t="s">
        <v>564</v>
      </c>
      <c r="B9" s="481">
        <f>transport!B14</f>
        <v>24.603969989893319</v>
      </c>
      <c r="C9" s="481">
        <f>transport!C14</f>
        <v>0</v>
      </c>
      <c r="D9" s="481">
        <f>transport!D14</f>
        <v>67.110027559323768</v>
      </c>
      <c r="E9" s="481">
        <f>transport!E14</f>
        <v>251.71599144153618</v>
      </c>
      <c r="F9" s="481">
        <f>transport!F14</f>
        <v>0</v>
      </c>
      <c r="G9" s="481">
        <f>transport!G14</f>
        <v>70927.745139425038</v>
      </c>
      <c r="H9" s="481">
        <f>transport!H14</f>
        <v>17829.013203315695</v>
      </c>
      <c r="I9" s="481">
        <f>transport!I14</f>
        <v>0</v>
      </c>
      <c r="J9" s="481">
        <f>transport!J14</f>
        <v>0</v>
      </c>
      <c r="K9" s="481">
        <f>transport!K14</f>
        <v>0</v>
      </c>
      <c r="L9" s="481">
        <f>transport!L14</f>
        <v>0</v>
      </c>
      <c r="M9" s="481">
        <f>transport!M14</f>
        <v>2768.8871164790767</v>
      </c>
      <c r="N9" s="481">
        <f>transport!N14</f>
        <v>0</v>
      </c>
      <c r="O9" s="481">
        <f>transport!O14</f>
        <v>0</v>
      </c>
      <c r="P9" s="481">
        <f>transport!P14</f>
        <v>0</v>
      </c>
      <c r="Q9" s="480">
        <f>SUM(B9:P9)</f>
        <v>91869.075448210569</v>
      </c>
    </row>
    <row r="10" spans="1:17">
      <c r="A10" s="476" t="s">
        <v>554</v>
      </c>
      <c r="B10" s="477">
        <f>transport!B54</f>
        <v>0</v>
      </c>
      <c r="C10" s="477">
        <f>transport!C54</f>
        <v>0</v>
      </c>
      <c r="D10" s="477">
        <f>transport!D54</f>
        <v>0</v>
      </c>
      <c r="E10" s="477">
        <f>transport!E54</f>
        <v>0</v>
      </c>
      <c r="F10" s="477">
        <f>transport!F54</f>
        <v>0</v>
      </c>
      <c r="G10" s="477">
        <f>transport!G54</f>
        <v>1829.2639536720355</v>
      </c>
      <c r="H10" s="477">
        <f>transport!H54</f>
        <v>0</v>
      </c>
      <c r="I10" s="477">
        <f>transport!I54</f>
        <v>0</v>
      </c>
      <c r="J10" s="477">
        <f>transport!J54</f>
        <v>0</v>
      </c>
      <c r="K10" s="477">
        <f>transport!K54</f>
        <v>0</v>
      </c>
      <c r="L10" s="477">
        <f>transport!L54</f>
        <v>0</v>
      </c>
      <c r="M10" s="477">
        <f>transport!M54</f>
        <v>56.739675446354937</v>
      </c>
      <c r="N10" s="477">
        <f>transport!N54</f>
        <v>0</v>
      </c>
      <c r="O10" s="477">
        <f>transport!O54</f>
        <v>0</v>
      </c>
      <c r="P10" s="478">
        <f>transport!P54</f>
        <v>0</v>
      </c>
      <c r="Q10" s="476">
        <f t="shared" si="0"/>
        <v>1886.0036291183906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532.70004361999997</v>
      </c>
      <c r="C14" s="484"/>
      <c r="D14" s="484">
        <f>'SEAP template'!E25</f>
        <v>987.02340441000001</v>
      </c>
      <c r="E14" s="484"/>
      <c r="F14" s="484"/>
      <c r="G14" s="484"/>
      <c r="H14" s="484"/>
      <c r="I14" s="484"/>
      <c r="J14" s="484"/>
      <c r="K14" s="484"/>
      <c r="L14" s="484"/>
      <c r="M14" s="484"/>
      <c r="N14" s="484"/>
      <c r="O14" s="484"/>
      <c r="P14" s="485"/>
      <c r="Q14" s="476">
        <f t="shared" si="0"/>
        <v>1519.7234480299999</v>
      </c>
    </row>
    <row r="15" spans="1:17" s="486" customFormat="1">
      <c r="A15" s="1038" t="s">
        <v>558</v>
      </c>
      <c r="B15" s="978">
        <f ca="1">SUM(B4:B14)</f>
        <v>30369.380792878623</v>
      </c>
      <c r="C15" s="978">
        <f t="shared" ref="C15:Q15" ca="1" si="1">SUM(C4:C14)</f>
        <v>62.357142857142847</v>
      </c>
      <c r="D15" s="978">
        <f t="shared" ca="1" si="1"/>
        <v>35941.590675218482</v>
      </c>
      <c r="E15" s="978">
        <f t="shared" si="1"/>
        <v>3470.8520777293461</v>
      </c>
      <c r="F15" s="978">
        <f t="shared" ca="1" si="1"/>
        <v>37875.103761560975</v>
      </c>
      <c r="G15" s="978">
        <f t="shared" si="1"/>
        <v>72757.009093097076</v>
      </c>
      <c r="H15" s="978">
        <f t="shared" si="1"/>
        <v>17829.013203315695</v>
      </c>
      <c r="I15" s="978">
        <f t="shared" si="1"/>
        <v>0</v>
      </c>
      <c r="J15" s="978">
        <f t="shared" si="1"/>
        <v>625.07114903509114</v>
      </c>
      <c r="K15" s="978">
        <f t="shared" si="1"/>
        <v>0</v>
      </c>
      <c r="L15" s="978">
        <f t="shared" ca="1" si="1"/>
        <v>0</v>
      </c>
      <c r="M15" s="978">
        <f t="shared" si="1"/>
        <v>2825.6267919254315</v>
      </c>
      <c r="N15" s="978">
        <f t="shared" ca="1" si="1"/>
        <v>5252.3978668373857</v>
      </c>
      <c r="O15" s="978">
        <f t="shared" si="1"/>
        <v>115.68666666666668</v>
      </c>
      <c r="P15" s="978">
        <f t="shared" si="1"/>
        <v>419.4666666666667</v>
      </c>
      <c r="Q15" s="978">
        <f t="shared" ca="1" si="1"/>
        <v>207543.55588778859</v>
      </c>
    </row>
    <row r="17" spans="1:17">
      <c r="A17" s="487" t="s">
        <v>559</v>
      </c>
      <c r="B17" s="786">
        <f ca="1">huishoudens!B10</f>
        <v>0.20856313371984822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3748.526011947637</v>
      </c>
      <c r="C22" s="477">
        <f t="shared" ref="C22:C32" ca="1" si="3">C4*$C$17</f>
        <v>0</v>
      </c>
      <c r="D22" s="477">
        <f t="shared" ref="D22:D32" si="4">D4*$D$17</f>
        <v>4739.9242046644404</v>
      </c>
      <c r="E22" s="477">
        <f t="shared" ref="E22:E32" si="5">E4*$E$17</f>
        <v>622.41009984757852</v>
      </c>
      <c r="F22" s="477">
        <f t="shared" ref="F22:F32" si="6">F4*$F$17</f>
        <v>8360.1205357611507</v>
      </c>
      <c r="G22" s="477">
        <f t="shared" ref="G22:G32" si="7">G4*$G$17</f>
        <v>0</v>
      </c>
      <c r="H22" s="477">
        <f t="shared" ref="H22:H32" si="8">H4*$H$17</f>
        <v>0</v>
      </c>
      <c r="I22" s="477">
        <f t="shared" ref="I22:I32" si="9">I4*$I$17</f>
        <v>0</v>
      </c>
      <c r="J22" s="477">
        <f t="shared" ref="J22:J32" si="10">J4*$J$17</f>
        <v>172.03936539606107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17643.020217616864</v>
      </c>
    </row>
    <row r="23" spans="1:17">
      <c r="A23" s="476" t="s">
        <v>156</v>
      </c>
      <c r="B23" s="477">
        <f t="shared" ca="1" si="2"/>
        <v>1672.0891487982799</v>
      </c>
      <c r="C23" s="477">
        <f t="shared" ca="1" si="3"/>
        <v>0</v>
      </c>
      <c r="D23" s="477">
        <f t="shared" ca="1" si="4"/>
        <v>1663.9256086702126</v>
      </c>
      <c r="E23" s="477">
        <f t="shared" si="5"/>
        <v>33.44954444152188</v>
      </c>
      <c r="F23" s="477">
        <f t="shared" ca="1" si="6"/>
        <v>589.35909643071966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3958.823398340734</v>
      </c>
    </row>
    <row r="24" spans="1:17">
      <c r="A24" s="476" t="s">
        <v>194</v>
      </c>
      <c r="B24" s="477">
        <f t="shared" ca="1" si="2"/>
        <v>126.17235337515939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126.17235337515939</v>
      </c>
    </row>
    <row r="25" spans="1:17">
      <c r="A25" s="476" t="s">
        <v>112</v>
      </c>
      <c r="B25" s="477">
        <f t="shared" ca="1" si="2"/>
        <v>185.94752477772585</v>
      </c>
      <c r="C25" s="477">
        <f t="shared" ca="1" si="3"/>
        <v>0</v>
      </c>
      <c r="D25" s="477">
        <f t="shared" si="4"/>
        <v>507.76550807498529</v>
      </c>
      <c r="E25" s="477">
        <f t="shared" si="5"/>
        <v>5.2187368175675592</v>
      </c>
      <c r="F25" s="477">
        <f t="shared" si="6"/>
        <v>870.10993736651483</v>
      </c>
      <c r="G25" s="477">
        <f t="shared" si="7"/>
        <v>0</v>
      </c>
      <c r="H25" s="477">
        <f t="shared" si="8"/>
        <v>0</v>
      </c>
      <c r="I25" s="477">
        <f t="shared" si="9"/>
        <v>0</v>
      </c>
      <c r="J25" s="477">
        <f t="shared" si="10"/>
        <v>45.436791041447997</v>
      </c>
      <c r="K25" s="477">
        <f t="shared" si="11"/>
        <v>0</v>
      </c>
      <c r="L25" s="477">
        <f t="shared" si="12"/>
        <v>0</v>
      </c>
      <c r="M25" s="477">
        <f t="shared" si="13"/>
        <v>0</v>
      </c>
      <c r="N25" s="477">
        <f t="shared" si="14"/>
        <v>0</v>
      </c>
      <c r="O25" s="477">
        <f t="shared" si="15"/>
        <v>0</v>
      </c>
      <c r="P25" s="478">
        <f t="shared" si="16"/>
        <v>0</v>
      </c>
      <c r="Q25" s="476">
        <f t="shared" ca="1" si="17"/>
        <v>1614.4784980782415</v>
      </c>
    </row>
    <row r="26" spans="1:17">
      <c r="A26" s="476" t="s">
        <v>638</v>
      </c>
      <c r="B26" s="477">
        <f t="shared" ca="1" si="2"/>
        <v>484.96511688220403</v>
      </c>
      <c r="C26" s="477">
        <f t="shared" ca="1" si="3"/>
        <v>0</v>
      </c>
      <c r="D26" s="477">
        <f t="shared" si="4"/>
        <v>135.65104172669237</v>
      </c>
      <c r="E26" s="477">
        <f t="shared" si="5"/>
        <v>69.66551048066485</v>
      </c>
      <c r="F26" s="477">
        <f t="shared" si="6"/>
        <v>293.06313477839637</v>
      </c>
      <c r="G26" s="477">
        <f t="shared" si="7"/>
        <v>0</v>
      </c>
      <c r="H26" s="477">
        <f t="shared" si="8"/>
        <v>0</v>
      </c>
      <c r="I26" s="477">
        <f t="shared" si="9"/>
        <v>0</v>
      </c>
      <c r="J26" s="477">
        <f t="shared" si="10"/>
        <v>3.7990303209131979</v>
      </c>
      <c r="K26" s="477">
        <f t="shared" si="11"/>
        <v>0</v>
      </c>
      <c r="L26" s="477">
        <f t="shared" si="12"/>
        <v>0</v>
      </c>
      <c r="M26" s="477">
        <f t="shared" si="13"/>
        <v>0</v>
      </c>
      <c r="N26" s="477">
        <f t="shared" si="14"/>
        <v>0</v>
      </c>
      <c r="O26" s="477">
        <f t="shared" si="15"/>
        <v>0</v>
      </c>
      <c r="P26" s="478">
        <f t="shared" si="16"/>
        <v>0</v>
      </c>
      <c r="Q26" s="476">
        <f t="shared" ca="1" si="17"/>
        <v>987.14383418887076</v>
      </c>
    </row>
    <row r="27" spans="1:17" s="482" customFormat="1">
      <c r="A27" s="480" t="s">
        <v>564</v>
      </c>
      <c r="B27" s="780">
        <f t="shared" ca="1" si="2"/>
        <v>5.1314810830412529</v>
      </c>
      <c r="C27" s="481">
        <f t="shared" ca="1" si="3"/>
        <v>0</v>
      </c>
      <c r="D27" s="481">
        <f t="shared" si="4"/>
        <v>13.556225566983402</v>
      </c>
      <c r="E27" s="481">
        <f t="shared" si="5"/>
        <v>57.139530057228711</v>
      </c>
      <c r="F27" s="481">
        <f t="shared" si="6"/>
        <v>0</v>
      </c>
      <c r="G27" s="481">
        <f t="shared" si="7"/>
        <v>18937.707952226487</v>
      </c>
      <c r="H27" s="481">
        <f t="shared" si="8"/>
        <v>4439.4242876256085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23452.95947655935</v>
      </c>
    </row>
    <row r="28" spans="1:17">
      <c r="A28" s="476" t="s">
        <v>554</v>
      </c>
      <c r="B28" s="477">
        <f t="shared" ca="1" si="2"/>
        <v>0</v>
      </c>
      <c r="C28" s="477">
        <f t="shared" ca="1" si="3"/>
        <v>0</v>
      </c>
      <c r="D28" s="477">
        <f t="shared" si="4"/>
        <v>0</v>
      </c>
      <c r="E28" s="477">
        <f t="shared" si="5"/>
        <v>0</v>
      </c>
      <c r="F28" s="477">
        <f t="shared" si="6"/>
        <v>0</v>
      </c>
      <c r="G28" s="477">
        <f t="shared" si="7"/>
        <v>488.41347563043354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488.41347563043354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111.10159043008703</v>
      </c>
      <c r="C32" s="477">
        <f t="shared" ca="1" si="3"/>
        <v>0</v>
      </c>
      <c r="D32" s="477">
        <f t="shared" si="4"/>
        <v>199.37872769082003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310.48031812090704</v>
      </c>
    </row>
    <row r="33" spans="1:17" s="486" customFormat="1">
      <c r="A33" s="1038" t="s">
        <v>558</v>
      </c>
      <c r="B33" s="978">
        <f ca="1">SUM(B22:B32)</f>
        <v>6333.9332272941328</v>
      </c>
      <c r="C33" s="978">
        <f t="shared" ref="C33:Q33" ca="1" si="18">SUM(C22:C32)</f>
        <v>0</v>
      </c>
      <c r="D33" s="978">
        <f t="shared" ca="1" si="18"/>
        <v>7260.2013163941347</v>
      </c>
      <c r="E33" s="978">
        <f t="shared" si="18"/>
        <v>787.88342164456151</v>
      </c>
      <c r="F33" s="978">
        <f t="shared" ca="1" si="18"/>
        <v>10112.652704336782</v>
      </c>
      <c r="G33" s="978">
        <f t="shared" si="18"/>
        <v>19426.12142785692</v>
      </c>
      <c r="H33" s="978">
        <f t="shared" si="18"/>
        <v>4439.4242876256085</v>
      </c>
      <c r="I33" s="978">
        <f t="shared" si="18"/>
        <v>0</v>
      </c>
      <c r="J33" s="978">
        <f t="shared" si="18"/>
        <v>221.27518675842228</v>
      </c>
      <c r="K33" s="978">
        <f t="shared" si="18"/>
        <v>0</v>
      </c>
      <c r="L33" s="978">
        <f t="shared" ca="1" si="18"/>
        <v>0</v>
      </c>
      <c r="M33" s="978">
        <f t="shared" si="18"/>
        <v>0</v>
      </c>
      <c r="N33" s="978">
        <f t="shared" ca="1" si="18"/>
        <v>0</v>
      </c>
      <c r="O33" s="978">
        <f t="shared" si="18"/>
        <v>0</v>
      </c>
      <c r="P33" s="978">
        <f t="shared" si="18"/>
        <v>0</v>
      </c>
      <c r="Q33" s="978">
        <f t="shared" ca="1" si="18"/>
        <v>48581.491571910563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1665.3994476562928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1709.0494476562928</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0.20856313371984822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0.20856313371984822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0.20856313371984822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0.20856313371984822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3527</v>
      </c>
      <c r="C9" s="342">
        <v>3552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1833.37</v>
      </c>
    </row>
    <row r="15" spans="1:6">
      <c r="A15" s="348" t="s">
        <v>184</v>
      </c>
      <c r="B15" s="334">
        <v>15</v>
      </c>
    </row>
    <row r="16" spans="1:6">
      <c r="A16" s="348" t="s">
        <v>6</v>
      </c>
      <c r="B16" s="334">
        <v>562</v>
      </c>
    </row>
    <row r="17" spans="1:6">
      <c r="A17" s="348" t="s">
        <v>7</v>
      </c>
      <c r="B17" s="334">
        <v>619</v>
      </c>
    </row>
    <row r="18" spans="1:6">
      <c r="A18" s="348" t="s">
        <v>8</v>
      </c>
      <c r="B18" s="334">
        <v>762</v>
      </c>
    </row>
    <row r="19" spans="1:6">
      <c r="A19" s="348" t="s">
        <v>9</v>
      </c>
      <c r="B19" s="334">
        <v>614</v>
      </c>
    </row>
    <row r="20" spans="1:6">
      <c r="A20" s="348" t="s">
        <v>10</v>
      </c>
      <c r="B20" s="334">
        <v>545</v>
      </c>
    </row>
    <row r="21" spans="1:6">
      <c r="A21" s="348" t="s">
        <v>11</v>
      </c>
      <c r="B21" s="334">
        <v>0</v>
      </c>
    </row>
    <row r="22" spans="1:6">
      <c r="A22" s="348" t="s">
        <v>12</v>
      </c>
      <c r="B22" s="334">
        <v>8</v>
      </c>
    </row>
    <row r="23" spans="1:6">
      <c r="A23" s="348" t="s">
        <v>13</v>
      </c>
      <c r="B23" s="334">
        <v>0</v>
      </c>
    </row>
    <row r="24" spans="1:6">
      <c r="A24" s="348" t="s">
        <v>14</v>
      </c>
      <c r="B24" s="334">
        <v>0</v>
      </c>
    </row>
    <row r="25" spans="1:6">
      <c r="A25" s="348" t="s">
        <v>15</v>
      </c>
      <c r="B25" s="334">
        <v>0</v>
      </c>
    </row>
    <row r="26" spans="1:6">
      <c r="A26" s="348" t="s">
        <v>16</v>
      </c>
      <c r="B26" s="334">
        <v>468</v>
      </c>
    </row>
    <row r="27" spans="1:6">
      <c r="A27" s="348" t="s">
        <v>17</v>
      </c>
      <c r="B27" s="334">
        <v>6</v>
      </c>
    </row>
    <row r="28" spans="1:6" s="356" customFormat="1">
      <c r="A28" s="355" t="s">
        <v>18</v>
      </c>
      <c r="B28" s="355">
        <v>11462</v>
      </c>
    </row>
    <row r="29" spans="1:6">
      <c r="A29" s="355" t="s">
        <v>884</v>
      </c>
      <c r="B29" s="355">
        <v>146</v>
      </c>
      <c r="C29" s="356"/>
      <c r="D29" s="356"/>
      <c r="E29" s="356"/>
      <c r="F29" s="356"/>
    </row>
    <row r="30" spans="1:6">
      <c r="A30" s="355" t="s">
        <v>885</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1425</v>
      </c>
      <c r="D39" s="334">
        <v>26014380.609999999</v>
      </c>
      <c r="E39" s="334">
        <v>3419</v>
      </c>
      <c r="F39" s="334">
        <v>16410530.713</v>
      </c>
    </row>
    <row r="40" spans="1:6">
      <c r="A40" s="348" t="s">
        <v>30</v>
      </c>
      <c r="B40" s="348" t="s">
        <v>29</v>
      </c>
      <c r="C40" s="334">
        <v>0</v>
      </c>
      <c r="D40" s="334">
        <v>0</v>
      </c>
      <c r="E40" s="334">
        <v>0</v>
      </c>
      <c r="F40" s="334">
        <v>6693</v>
      </c>
    </row>
    <row r="41" spans="1:6">
      <c r="A41" s="348" t="s">
        <v>32</v>
      </c>
      <c r="B41" s="348" t="s">
        <v>33</v>
      </c>
      <c r="C41" s="334">
        <v>25</v>
      </c>
      <c r="D41" s="334">
        <v>539214.58854000003</v>
      </c>
      <c r="E41" s="334">
        <v>100</v>
      </c>
      <c r="F41" s="334">
        <v>911347.84510999999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19451.678295000002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205286.31005</v>
      </c>
      <c r="E48" s="334">
        <v>27</v>
      </c>
      <c r="F48" s="334">
        <v>1323741.3483</v>
      </c>
    </row>
    <row r="49" spans="1:6">
      <c r="A49" s="348" t="s">
        <v>32</v>
      </c>
      <c r="B49" s="348" t="s">
        <v>40</v>
      </c>
      <c r="C49" s="334">
        <v>0</v>
      </c>
      <c r="D49" s="334">
        <v>0</v>
      </c>
      <c r="E49" s="334">
        <v>0</v>
      </c>
      <c r="F49" s="334">
        <v>0</v>
      </c>
    </row>
    <row r="50" spans="1:6">
      <c r="A50" s="348" t="s">
        <v>32</v>
      </c>
      <c r="B50" s="348" t="s">
        <v>41</v>
      </c>
      <c r="C50" s="334">
        <v>0</v>
      </c>
      <c r="D50" s="334">
        <v>0</v>
      </c>
      <c r="E50" s="334">
        <v>3</v>
      </c>
      <c r="F50" s="334">
        <v>70726.821739000006</v>
      </c>
    </row>
    <row r="51" spans="1:6">
      <c r="A51" s="348" t="s">
        <v>42</v>
      </c>
      <c r="B51" s="348" t="s">
        <v>43</v>
      </c>
      <c r="C51" s="334">
        <v>3</v>
      </c>
      <c r="D51" s="334">
        <v>66226.335189999998</v>
      </c>
      <c r="E51" s="334">
        <v>61</v>
      </c>
      <c r="F51" s="334">
        <v>810898.97785999998</v>
      </c>
    </row>
    <row r="52" spans="1:6">
      <c r="A52" s="348" t="s">
        <v>42</v>
      </c>
      <c r="B52" s="348" t="s">
        <v>29</v>
      </c>
      <c r="C52" s="334">
        <v>4</v>
      </c>
      <c r="D52" s="334">
        <v>2720570.3766000001</v>
      </c>
      <c r="E52" s="334">
        <v>8</v>
      </c>
      <c r="F52" s="334">
        <v>80665.707907999997</v>
      </c>
    </row>
    <row r="53" spans="1:6">
      <c r="A53" s="348" t="s">
        <v>44</v>
      </c>
      <c r="B53" s="348" t="s">
        <v>45</v>
      </c>
      <c r="C53" s="334">
        <v>40</v>
      </c>
      <c r="D53" s="334">
        <v>987023.40440999996</v>
      </c>
      <c r="E53" s="334">
        <v>109</v>
      </c>
      <c r="F53" s="334">
        <v>532700.04362000001</v>
      </c>
    </row>
    <row r="54" spans="1:6">
      <c r="A54" s="348" t="s">
        <v>46</v>
      </c>
      <c r="B54" s="348" t="s">
        <v>47</v>
      </c>
      <c r="C54" s="334">
        <v>0</v>
      </c>
      <c r="D54" s="334">
        <v>0</v>
      </c>
      <c r="E54" s="334">
        <v>1</v>
      </c>
      <c r="F54" s="334">
        <v>604960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364853.09330000001</v>
      </c>
      <c r="E57" s="334">
        <v>37</v>
      </c>
      <c r="F57" s="334">
        <v>381780.84457000002</v>
      </c>
    </row>
    <row r="58" spans="1:6">
      <c r="A58" s="348" t="s">
        <v>49</v>
      </c>
      <c r="B58" s="348" t="s">
        <v>51</v>
      </c>
      <c r="C58" s="334">
        <v>18</v>
      </c>
      <c r="D58" s="334">
        <v>646029.15937000001</v>
      </c>
      <c r="E58" s="334">
        <v>28</v>
      </c>
      <c r="F58" s="334">
        <v>748300.00720999995</v>
      </c>
    </row>
    <row r="59" spans="1:6">
      <c r="A59" s="348" t="s">
        <v>49</v>
      </c>
      <c r="B59" s="348" t="s">
        <v>52</v>
      </c>
      <c r="C59" s="334">
        <v>27</v>
      </c>
      <c r="D59" s="334">
        <v>1160215.8141000001</v>
      </c>
      <c r="E59" s="334">
        <v>96</v>
      </c>
      <c r="F59" s="334">
        <v>2399303.3536</v>
      </c>
    </row>
    <row r="60" spans="1:6">
      <c r="A60" s="348" t="s">
        <v>49</v>
      </c>
      <c r="B60" s="348" t="s">
        <v>53</v>
      </c>
      <c r="C60" s="334">
        <v>20</v>
      </c>
      <c r="D60" s="334">
        <v>713553.80830000003</v>
      </c>
      <c r="E60" s="334">
        <v>42</v>
      </c>
      <c r="F60" s="334">
        <v>852699.32733</v>
      </c>
    </row>
    <row r="61" spans="1:6">
      <c r="A61" s="348" t="s">
        <v>49</v>
      </c>
      <c r="B61" s="348" t="s">
        <v>54</v>
      </c>
      <c r="C61" s="334">
        <v>59</v>
      </c>
      <c r="D61" s="334">
        <v>2652436.736</v>
      </c>
      <c r="E61" s="334">
        <v>127</v>
      </c>
      <c r="F61" s="334">
        <v>1322616.5155</v>
      </c>
    </row>
    <row r="62" spans="1:6">
      <c r="A62" s="348" t="s">
        <v>49</v>
      </c>
      <c r="B62" s="348" t="s">
        <v>55</v>
      </c>
      <c r="C62" s="334">
        <v>7</v>
      </c>
      <c r="D62" s="334">
        <v>582935.67833000002</v>
      </c>
      <c r="E62" s="334">
        <v>10</v>
      </c>
      <c r="F62" s="334">
        <v>964909.15261999995</v>
      </c>
    </row>
    <row r="63" spans="1:6">
      <c r="A63" s="348" t="s">
        <v>49</v>
      </c>
      <c r="B63" s="348" t="s">
        <v>29</v>
      </c>
      <c r="C63" s="334">
        <v>64</v>
      </c>
      <c r="D63" s="334">
        <v>3012188.0038000001</v>
      </c>
      <c r="E63" s="334">
        <v>80</v>
      </c>
      <c r="F63" s="334">
        <v>1347575.4232000001</v>
      </c>
    </row>
    <row r="64" spans="1:6">
      <c r="A64" s="348" t="s">
        <v>56</v>
      </c>
      <c r="B64" s="348" t="s">
        <v>57</v>
      </c>
      <c r="C64" s="334">
        <v>0</v>
      </c>
      <c r="D64" s="334">
        <v>0</v>
      </c>
      <c r="E64" s="334">
        <v>0</v>
      </c>
      <c r="F64" s="334">
        <v>0</v>
      </c>
    </row>
    <row r="65" spans="1:6">
      <c r="A65" s="348" t="s">
        <v>56</v>
      </c>
      <c r="B65" s="348" t="s">
        <v>29</v>
      </c>
      <c r="C65" s="334">
        <v>2</v>
      </c>
      <c r="D65" s="334">
        <v>24517.621712</v>
      </c>
      <c r="E65" s="334">
        <v>0</v>
      </c>
      <c r="F65" s="334">
        <v>0</v>
      </c>
    </row>
    <row r="66" spans="1:6">
      <c r="A66" s="348" t="s">
        <v>56</v>
      </c>
      <c r="B66" s="348" t="s">
        <v>58</v>
      </c>
      <c r="C66" s="334">
        <v>0</v>
      </c>
      <c r="D66" s="334">
        <v>0</v>
      </c>
      <c r="E66" s="334">
        <v>13</v>
      </c>
      <c r="F66" s="334">
        <v>271583</v>
      </c>
    </row>
    <row r="67" spans="1:6">
      <c r="A67" s="355" t="s">
        <v>56</v>
      </c>
      <c r="B67" s="355" t="s">
        <v>59</v>
      </c>
      <c r="C67" s="334">
        <v>0</v>
      </c>
      <c r="D67" s="334">
        <v>0</v>
      </c>
      <c r="E67" s="334">
        <v>0</v>
      </c>
      <c r="F67" s="334">
        <v>0</v>
      </c>
    </row>
    <row r="68" spans="1:6">
      <c r="A68" s="341" t="s">
        <v>56</v>
      </c>
      <c r="B68" s="341" t="s">
        <v>60</v>
      </c>
      <c r="C68" s="334">
        <v>0</v>
      </c>
      <c r="D68" s="334">
        <v>0</v>
      </c>
      <c r="E68" s="334">
        <v>7</v>
      </c>
      <c r="F68" s="334">
        <v>53119.216278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54214343</v>
      </c>
      <c r="E73" s="475">
        <v>55606367.27287972</v>
      </c>
    </row>
    <row r="74" spans="1:6">
      <c r="A74" s="348" t="s">
        <v>64</v>
      </c>
      <c r="B74" s="348" t="s">
        <v>667</v>
      </c>
      <c r="C74" s="1294" t="s">
        <v>669</v>
      </c>
      <c r="D74" s="475">
        <v>3058999.5686360504</v>
      </c>
      <c r="E74" s="475">
        <v>3129830.9246512433</v>
      </c>
    </row>
    <row r="75" spans="1:6">
      <c r="A75" s="348" t="s">
        <v>65</v>
      </c>
      <c r="B75" s="348" t="s">
        <v>666</v>
      </c>
      <c r="C75" s="1294" t="s">
        <v>670</v>
      </c>
      <c r="D75" s="475">
        <v>50780406</v>
      </c>
      <c r="E75" s="475">
        <v>51956984.219130687</v>
      </c>
    </row>
    <row r="76" spans="1:6">
      <c r="A76" s="348" t="s">
        <v>65</v>
      </c>
      <c r="B76" s="348" t="s">
        <v>667</v>
      </c>
      <c r="C76" s="1294" t="s">
        <v>671</v>
      </c>
      <c r="D76" s="475">
        <v>1570038.5686360504</v>
      </c>
      <c r="E76" s="475">
        <v>1606501.9947533573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506554.86272789922</v>
      </c>
      <c r="C83" s="475">
        <v>506554.86272789922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1555.8760630267304</v>
      </c>
    </row>
    <row r="92" spans="1:6">
      <c r="A92" s="341" t="s">
        <v>69</v>
      </c>
      <c r="B92" s="342">
        <v>109.5233846295623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622</v>
      </c>
    </row>
    <row r="98" spans="1:6">
      <c r="A98" s="348" t="s">
        <v>72</v>
      </c>
      <c r="B98" s="334">
        <v>2</v>
      </c>
    </row>
    <row r="99" spans="1:6">
      <c r="A99" s="348" t="s">
        <v>73</v>
      </c>
      <c r="B99" s="334">
        <v>79</v>
      </c>
    </row>
    <row r="100" spans="1:6">
      <c r="A100" s="348" t="s">
        <v>74</v>
      </c>
      <c r="B100" s="334">
        <v>385</v>
      </c>
    </row>
    <row r="101" spans="1:6">
      <c r="A101" s="348" t="s">
        <v>75</v>
      </c>
      <c r="B101" s="334">
        <v>43</v>
      </c>
    </row>
    <row r="102" spans="1:6">
      <c r="A102" s="348" t="s">
        <v>76</v>
      </c>
      <c r="B102" s="334">
        <v>42</v>
      </c>
    </row>
    <row r="103" spans="1:6">
      <c r="A103" s="348" t="s">
        <v>77</v>
      </c>
      <c r="B103" s="334">
        <v>96</v>
      </c>
    </row>
    <row r="104" spans="1:6">
      <c r="A104" s="348" t="s">
        <v>78</v>
      </c>
      <c r="B104" s="334">
        <v>2009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61</v>
      </c>
    </row>
    <row r="130" spans="1:6">
      <c r="A130" s="348" t="s">
        <v>295</v>
      </c>
      <c r="B130" s="334">
        <v>2</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30369.380792878623</v>
      </c>
      <c r="C3" s="43" t="s">
        <v>170</v>
      </c>
      <c r="D3" s="43"/>
      <c r="E3" s="154"/>
      <c r="F3" s="43"/>
      <c r="G3" s="43"/>
      <c r="H3" s="43"/>
      <c r="I3" s="43"/>
      <c r="J3" s="43"/>
      <c r="K3" s="96"/>
    </row>
    <row r="4" spans="1:11">
      <c r="A4" s="383" t="s">
        <v>171</v>
      </c>
      <c r="B4" s="49">
        <f>IF(ISERROR('SEAP template'!B78+'SEAP template'!C78),0,'SEAP template'!B78+'SEAP template'!C78)</f>
        <v>1709.0494476562928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0.20856313371984822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604.96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604.96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0.20856313371984822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126.17235337515939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16417.223712999999</v>
      </c>
      <c r="C5" s="17">
        <f>IF(ISERROR('Eigen informatie GS &amp; warmtenet'!B57),0,'Eigen informatie GS &amp; warmtenet'!B57)</f>
        <v>0</v>
      </c>
      <c r="D5" s="30">
        <f>(SUM(HH_hh_gas_kWh,HH_rest_gas_kWh)/1000)*0.902</f>
        <v>23464.97131022</v>
      </c>
      <c r="E5" s="17">
        <f>B46*B57</f>
        <v>2741.8947129849275</v>
      </c>
      <c r="F5" s="17">
        <f>B51*B62</f>
        <v>31311.312868019286</v>
      </c>
      <c r="G5" s="18"/>
      <c r="H5" s="17"/>
      <c r="I5" s="17"/>
      <c r="J5" s="17">
        <f>B50*B61+C50*C61</f>
        <v>485.98690789847763</v>
      </c>
      <c r="K5" s="17"/>
      <c r="L5" s="17"/>
      <c r="M5" s="17"/>
      <c r="N5" s="17">
        <f>B48*B59+C48*C59</f>
        <v>4238.5817616794593</v>
      </c>
      <c r="O5" s="17">
        <f>B69*B70*B71</f>
        <v>112.56000000000002</v>
      </c>
      <c r="P5" s="17">
        <f>B77*B78*B79/1000-B77*B78*B79/1000/B80</f>
        <v>419.4666666666667</v>
      </c>
    </row>
    <row r="6" spans="1:16">
      <c r="A6" s="16" t="s">
        <v>624</v>
      </c>
      <c r="B6" s="788">
        <f>kWh_PV_kleiner_dan_10kW</f>
        <v>1555.8760630267304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17973.099776026731</v>
      </c>
      <c r="C8" s="21">
        <f>C5</f>
        <v>0</v>
      </c>
      <c r="D8" s="21">
        <f>D5</f>
        <v>23464.97131022</v>
      </c>
      <c r="E8" s="21">
        <f>E5</f>
        <v>2741.8947129849275</v>
      </c>
      <c r="F8" s="21">
        <f>F5</f>
        <v>31311.312868019286</v>
      </c>
      <c r="G8" s="21"/>
      <c r="H8" s="21"/>
      <c r="I8" s="21"/>
      <c r="J8" s="21">
        <f>J5</f>
        <v>485.98690789847763</v>
      </c>
      <c r="K8" s="21"/>
      <c r="L8" s="21">
        <f>L5</f>
        <v>0</v>
      </c>
      <c r="M8" s="21">
        <f>M5</f>
        <v>0</v>
      </c>
      <c r="N8" s="21">
        <f>N5</f>
        <v>4238.5817616794593</v>
      </c>
      <c r="O8" s="21">
        <f>O5</f>
        <v>112.56000000000002</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0.20856313371984822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3748.526011947637</v>
      </c>
      <c r="C12" s="23">
        <f ca="1">C10*C8</f>
        <v>0</v>
      </c>
      <c r="D12" s="23">
        <f>D8*D10</f>
        <v>4739.9242046644404</v>
      </c>
      <c r="E12" s="23">
        <f>E10*E8</f>
        <v>622.41009984757852</v>
      </c>
      <c r="F12" s="23">
        <f>F10*F8</f>
        <v>8360.1205357611507</v>
      </c>
      <c r="G12" s="23"/>
      <c r="H12" s="23"/>
      <c r="I12" s="23"/>
      <c r="J12" s="23">
        <f>J10*J8</f>
        <v>172.03936539606107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v>
      </c>
      <c r="C18" s="166" t="s">
        <v>111</v>
      </c>
      <c r="D18" s="228"/>
      <c r="E18" s="15"/>
    </row>
    <row r="19" spans="1:7">
      <c r="A19" s="171" t="s">
        <v>72</v>
      </c>
      <c r="B19" s="37">
        <f>aantalw2001_ander</f>
        <v>2</v>
      </c>
      <c r="C19" s="166" t="s">
        <v>111</v>
      </c>
      <c r="D19" s="229"/>
      <c r="E19" s="15"/>
    </row>
    <row r="20" spans="1:7">
      <c r="A20" s="171" t="s">
        <v>73</v>
      </c>
      <c r="B20" s="37">
        <f>aantalw2001_propaan</f>
        <v>79</v>
      </c>
      <c r="C20" s="167">
        <f>IF(ISERROR(B20/SUM($B$20,$B$21,$B$22)*100),0,B20/SUM($B$20,$B$21,$B$22)*100)</f>
        <v>15.581854043392504</v>
      </c>
      <c r="D20" s="229"/>
      <c r="E20" s="15"/>
    </row>
    <row r="21" spans="1:7">
      <c r="A21" s="171" t="s">
        <v>74</v>
      </c>
      <c r="B21" s="37">
        <f>aantalw2001_elektriciteit</f>
        <v>385</v>
      </c>
      <c r="C21" s="167">
        <f>IF(ISERROR(B21/SUM($B$20,$B$21,$B$22)*100),0,B21/SUM($B$20,$B$21,$B$22)*100)</f>
        <v>75.936883629191314</v>
      </c>
      <c r="D21" s="229"/>
      <c r="E21" s="15"/>
    </row>
    <row r="22" spans="1:7">
      <c r="A22" s="171" t="s">
        <v>75</v>
      </c>
      <c r="B22" s="37">
        <f>aantalw2001_hout</f>
        <v>43</v>
      </c>
      <c r="C22" s="167">
        <f>IF(ISERROR(B22/SUM($B$20,$B$21,$B$22)*100),0,B22/SUM($B$20,$B$21,$B$22)*100)</f>
        <v>8.4812623274161734</v>
      </c>
      <c r="D22" s="229"/>
      <c r="E22" s="15"/>
    </row>
    <row r="23" spans="1:7">
      <c r="A23" s="171" t="s">
        <v>76</v>
      </c>
      <c r="B23" s="37">
        <f>aantalw2001_niet_gespec</f>
        <v>42</v>
      </c>
      <c r="C23" s="166" t="s">
        <v>111</v>
      </c>
      <c r="D23" s="228"/>
      <c r="E23" s="15"/>
    </row>
    <row r="24" spans="1:7">
      <c r="A24" s="171" t="s">
        <v>77</v>
      </c>
      <c r="B24" s="37">
        <f>aantalw2001_steenkool</f>
        <v>96</v>
      </c>
      <c r="C24" s="166" t="s">
        <v>111</v>
      </c>
      <c r="D24" s="229"/>
      <c r="E24" s="15"/>
    </row>
    <row r="25" spans="1:7">
      <c r="A25" s="171" t="s">
        <v>78</v>
      </c>
      <c r="B25" s="37">
        <f>aantalw2001_stookolie</f>
        <v>2009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3527</v>
      </c>
      <c r="C28" s="36"/>
      <c r="D28" s="228"/>
    </row>
    <row r="29" spans="1:7" s="15" customFormat="1">
      <c r="A29" s="230" t="s">
        <v>699</v>
      </c>
      <c r="B29" s="37">
        <f>SUM(HH_hh_gas_aantal,HH_rest_gas_aantal)</f>
        <v>1425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1425</v>
      </c>
      <c r="C32" s="167">
        <f>IF(ISERROR(B32/SUM($B$32,$B$34,$B$35,$B$36,$B$38,$B$39)*100),0,B32/SUM($B$32,$B$34,$B$35,$B$36,$B$38,$B$39)*100)</f>
        <v>40.656205420827391</v>
      </c>
      <c r="D32" s="233"/>
      <c r="G32" s="15"/>
    </row>
    <row r="33" spans="1:7">
      <c r="A33" s="171" t="s">
        <v>72</v>
      </c>
      <c r="B33" s="34" t="s">
        <v>111</v>
      </c>
      <c r="C33" s="167"/>
      <c r="D33" s="233"/>
      <c r="G33" s="15"/>
    </row>
    <row r="34" spans="1:7">
      <c r="A34" s="171" t="s">
        <v>73</v>
      </c>
      <c r="B34" s="33">
        <f>IF((($B$28-$B$32-$B$39-$B$77-$B$38)*C20/100)&lt;0,0,($B$28-$B$32-$B$39-$B$77-$B$38)*C20/100)</f>
        <v>121.22682445759368</v>
      </c>
      <c r="C34" s="167">
        <f>IF(ISERROR(B34/SUM($B$32,$B$34,$B$35,$B$36,$B$38,$B$39)*100),0,B34/SUM($B$32,$B$34,$B$35,$B$36,$B$38,$B$39)*100)</f>
        <v>3.4586825808157964</v>
      </c>
      <c r="D34" s="233"/>
      <c r="G34" s="15"/>
    </row>
    <row r="35" spans="1:7">
      <c r="A35" s="171" t="s">
        <v>74</v>
      </c>
      <c r="B35" s="33">
        <f>IF((($B$28-$B$32-$B$39-$B$77-$B$38)*C21/100)&lt;0,0,($B$28-$B$32-$B$39-$B$77-$B$38)*C21/100)</f>
        <v>590.78895463510844</v>
      </c>
      <c r="C35" s="167">
        <f>IF(ISERROR(B35/SUM($B$32,$B$34,$B$35,$B$36,$B$38,$B$39)*100),0,B35/SUM($B$32,$B$34,$B$35,$B$36,$B$38,$B$39)*100)</f>
        <v>16.855604982456732</v>
      </c>
      <c r="D35" s="233"/>
      <c r="G35" s="15"/>
    </row>
    <row r="36" spans="1:7">
      <c r="A36" s="171" t="s">
        <v>75</v>
      </c>
      <c r="B36" s="33">
        <f>IF((($B$28-$B$32-$B$39-$B$77-$B$38)*C22/100)&lt;0,0,($B$28-$B$32-$B$39-$B$77-$B$38)*C22/100)</f>
        <v>65.984220907297825</v>
      </c>
      <c r="C36" s="167">
        <f>IF(ISERROR(B36/SUM($B$32,$B$34,$B$35,$B$36,$B$38,$B$39)*100),0,B36/SUM($B$32,$B$34,$B$35,$B$36,$B$38,$B$39)*100)</f>
        <v>1.8825740629756869</v>
      </c>
      <c r="D36" s="233"/>
      <c r="G36" s="15"/>
    </row>
    <row r="37" spans="1:7">
      <c r="A37" s="171" t="s">
        <v>76</v>
      </c>
      <c r="B37" s="34" t="s">
        <v>111</v>
      </c>
      <c r="C37" s="167"/>
      <c r="D37" s="173"/>
      <c r="G37" s="15"/>
    </row>
    <row r="38" spans="1:7">
      <c r="A38" s="171" t="s">
        <v>77</v>
      </c>
      <c r="B38" s="33">
        <f>IF((B24-(B29-B18)*0.1)&lt;0,0,B24-(B29-B18)*0.1)</f>
        <v>15.699999999999989</v>
      </c>
      <c r="C38" s="167">
        <f>IF(ISERROR(B38/SUM($B$32,$B$34,$B$35,$B$36,$B$38,$B$39)*100),0,B38/SUM($B$32,$B$34,$B$35,$B$36,$B$38,$B$39)*100)</f>
        <v>0.44793152639086992</v>
      </c>
      <c r="D38" s="234"/>
      <c r="G38" s="15"/>
    </row>
    <row r="39" spans="1:7">
      <c r="A39" s="171" t="s">
        <v>78</v>
      </c>
      <c r="B39" s="33">
        <f>IF((B25-(B29-B18))&lt;0,0,B25-(B29-B18)*0.9)</f>
        <v>1286.3</v>
      </c>
      <c r="C39" s="167">
        <f>IF(ISERROR(B39/SUM($B$32,$B$34,$B$35,$B$36,$B$38,$B$39)*100),0,B39/SUM($B$32,$B$34,$B$35,$B$36,$B$38,$B$39)*100)</f>
        <v>36.69900142653352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1425</v>
      </c>
      <c r="C44" s="34" t="s">
        <v>111</v>
      </c>
      <c r="D44" s="174"/>
    </row>
    <row r="45" spans="1:7">
      <c r="A45" s="171" t="s">
        <v>72</v>
      </c>
      <c r="B45" s="33" t="str">
        <f t="shared" si="0"/>
        <v>-</v>
      </c>
      <c r="C45" s="34" t="s">
        <v>111</v>
      </c>
      <c r="D45" s="174"/>
    </row>
    <row r="46" spans="1:7">
      <c r="A46" s="171" t="s">
        <v>73</v>
      </c>
      <c r="B46" s="33">
        <f t="shared" si="0"/>
        <v>121.22682445759368</v>
      </c>
      <c r="C46" s="34" t="s">
        <v>111</v>
      </c>
      <c r="D46" s="174"/>
    </row>
    <row r="47" spans="1:7">
      <c r="A47" s="171" t="s">
        <v>74</v>
      </c>
      <c r="B47" s="33">
        <f t="shared" si="0"/>
        <v>590.78895463510844</v>
      </c>
      <c r="C47" s="34" t="s">
        <v>111</v>
      </c>
      <c r="D47" s="174"/>
    </row>
    <row r="48" spans="1:7">
      <c r="A48" s="171" t="s">
        <v>75</v>
      </c>
      <c r="B48" s="33">
        <f t="shared" si="0"/>
        <v>65.984220907297825</v>
      </c>
      <c r="C48" s="33">
        <f>B48*10</f>
        <v>659.84220907297822</v>
      </c>
      <c r="D48" s="234"/>
    </row>
    <row r="49" spans="1:6">
      <c r="A49" s="171" t="s">
        <v>76</v>
      </c>
      <c r="B49" s="33" t="str">
        <f t="shared" si="0"/>
        <v>-</v>
      </c>
      <c r="C49" s="34" t="s">
        <v>111</v>
      </c>
      <c r="D49" s="234"/>
    </row>
    <row r="50" spans="1:6">
      <c r="A50" s="171" t="s">
        <v>77</v>
      </c>
      <c r="B50" s="33">
        <f t="shared" si="0"/>
        <v>15.699999999999989</v>
      </c>
      <c r="C50" s="33">
        <f>B50*2</f>
        <v>31.399999999999977</v>
      </c>
      <c r="D50" s="234"/>
    </row>
    <row r="51" spans="1:6">
      <c r="A51" s="171" t="s">
        <v>78</v>
      </c>
      <c r="B51" s="33">
        <f t="shared" si="0"/>
        <v>1286.3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8017.1846240300001</v>
      </c>
      <c r="C5" s="17">
        <f>IF(ISERROR('Eigen informatie GS &amp; warmtenet'!B58),0,'Eigen informatie GS &amp; warmtenet'!B58)</f>
        <v>0</v>
      </c>
      <c r="D5" s="30">
        <f>SUM(D6:D12)</f>
        <v>8237.2554884663987</v>
      </c>
      <c r="E5" s="17">
        <f>SUM(E6:E12)</f>
        <v>147.3548213282902</v>
      </c>
      <c r="F5" s="17">
        <f>SUM(F6:F12)</f>
        <v>2207.3374398154292</v>
      </c>
      <c r="G5" s="18"/>
      <c r="H5" s="17"/>
      <c r="I5" s="17"/>
      <c r="J5" s="17">
        <f>SUM(J6:J12)</f>
        <v>0</v>
      </c>
      <c r="K5" s="17"/>
      <c r="L5" s="17"/>
      <c r="M5" s="17"/>
      <c r="N5" s="17">
        <f>SUM(N6:N12)</f>
        <v>434.74830256236567</v>
      </c>
      <c r="O5" s="17">
        <f>B38*B39*B40</f>
        <v>3.1266666666666669</v>
      </c>
      <c r="P5" s="17">
        <f>B46*B47*B48/1000-B46*B47*B48/1000/B49</f>
        <v>0</v>
      </c>
      <c r="R5" s="32"/>
    </row>
    <row r="6" spans="1:18">
      <c r="A6" s="32" t="s">
        <v>54</v>
      </c>
      <c r="B6" s="37">
        <f>B26</f>
        <v>1322.6165154999999</v>
      </c>
      <c r="C6" s="33"/>
      <c r="D6" s="37">
        <f>IF(ISERROR(TER_kantoor_gas_kWh/1000),0,TER_kantoor_gas_kWh/1000)*0.902</f>
        <v>2392.4979358720002</v>
      </c>
      <c r="E6" s="33">
        <f>$C$26*'E Balans VL '!I12/100/3.6*1000000</f>
        <v>17.314679415197581</v>
      </c>
      <c r="F6" s="33">
        <f>$C$26*('E Balans VL '!L12+'E Balans VL '!N12)/100/3.6*1000000</f>
        <v>337.25354404397348</v>
      </c>
      <c r="G6" s="34"/>
      <c r="H6" s="33"/>
      <c r="I6" s="33"/>
      <c r="J6" s="33">
        <f>$C$26*('E Balans VL '!D12+'E Balans VL '!E12)/100/3.6*1000000</f>
        <v>0</v>
      </c>
      <c r="K6" s="33"/>
      <c r="L6" s="33"/>
      <c r="M6" s="33"/>
      <c r="N6" s="33">
        <f>$C$26*'E Balans VL '!Y12/100/3.6*1000000</f>
        <v>1.32707035577289</v>
      </c>
      <c r="O6" s="33"/>
      <c r="P6" s="33"/>
      <c r="R6" s="32"/>
    </row>
    <row r="7" spans="1:18">
      <c r="A7" s="32" t="s">
        <v>53</v>
      </c>
      <c r="B7" s="37">
        <f t="shared" ref="B7:B12" si="0">B27</f>
        <v>852.69932732999996</v>
      </c>
      <c r="C7" s="33"/>
      <c r="D7" s="37">
        <f>IF(ISERROR(TER_horeca_gas_kWh/1000),0,TER_horeca_gas_kWh/1000)*0.902</f>
        <v>643.62553508660005</v>
      </c>
      <c r="E7" s="33">
        <f>$C$27*'E Balans VL '!I9/100/3.6*1000000</f>
        <v>28.219160938610806</v>
      </c>
      <c r="F7" s="33">
        <f>$C$27*('E Balans VL '!L9+'E Balans VL '!N9)/100/3.6*1000000</f>
        <v>366.65744281223789</v>
      </c>
      <c r="G7" s="34"/>
      <c r="H7" s="33"/>
      <c r="I7" s="33"/>
      <c r="J7" s="33">
        <f>$C$27*('E Balans VL '!D9+'E Balans VL '!E9)/100/3.6*1000000</f>
        <v>0</v>
      </c>
      <c r="K7" s="33"/>
      <c r="L7" s="33"/>
      <c r="M7" s="33"/>
      <c r="N7" s="33">
        <f>$C$27*'E Balans VL '!Y9/100/3.6*1000000</f>
        <v>0.20525711064143612</v>
      </c>
      <c r="O7" s="33"/>
      <c r="P7" s="33"/>
      <c r="R7" s="32"/>
    </row>
    <row r="8" spans="1:18">
      <c r="A8" s="6" t="s">
        <v>52</v>
      </c>
      <c r="B8" s="37">
        <f t="shared" si="0"/>
        <v>2399.3033535999998</v>
      </c>
      <c r="C8" s="33"/>
      <c r="D8" s="37">
        <f>IF(ISERROR(TER_handel_gas_kWh/1000),0,TER_handel_gas_kWh/1000)*0.902</f>
        <v>1046.5146643181999</v>
      </c>
      <c r="E8" s="33">
        <f>$C$28*'E Balans VL '!I13/100/3.6*1000000</f>
        <v>75.725679866015213</v>
      </c>
      <c r="F8" s="33">
        <f>$C$28*('E Balans VL '!L13+'E Balans VL '!N13)/100/3.6*1000000</f>
        <v>470.54563674995956</v>
      </c>
      <c r="G8" s="34"/>
      <c r="H8" s="33"/>
      <c r="I8" s="33"/>
      <c r="J8" s="33">
        <f>$C$28*('E Balans VL '!D13+'E Balans VL '!E13)/100/3.6*1000000</f>
        <v>0</v>
      </c>
      <c r="K8" s="33"/>
      <c r="L8" s="33"/>
      <c r="M8" s="33"/>
      <c r="N8" s="33">
        <f>$C$28*'E Balans VL '!Y13/100/3.6*1000000</f>
        <v>2.8475072616957093</v>
      </c>
      <c r="O8" s="33"/>
      <c r="P8" s="33"/>
      <c r="R8" s="32"/>
    </row>
    <row r="9" spans="1:18">
      <c r="A9" s="32" t="s">
        <v>51</v>
      </c>
      <c r="B9" s="37">
        <f t="shared" si="0"/>
        <v>748.30000720999999</v>
      </c>
      <c r="C9" s="33"/>
      <c r="D9" s="37">
        <f>IF(ISERROR(TER_gezond_gas_kWh/1000),0,TER_gezond_gas_kWh/1000)*0.902</f>
        <v>582.71830175174</v>
      </c>
      <c r="E9" s="33">
        <f>$C$29*'E Balans VL '!I10/100/3.6*1000000</f>
        <v>9.5804291953869997E-2</v>
      </c>
      <c r="F9" s="33">
        <f>$C$29*('E Balans VL '!L10+'E Balans VL '!N10)/100/3.6*1000000</f>
        <v>155.90225562945989</v>
      </c>
      <c r="G9" s="34"/>
      <c r="H9" s="33"/>
      <c r="I9" s="33"/>
      <c r="J9" s="33">
        <f>$C$29*('E Balans VL '!D10+'E Balans VL '!E10)/100/3.6*1000000</f>
        <v>0</v>
      </c>
      <c r="K9" s="33"/>
      <c r="L9" s="33"/>
      <c r="M9" s="33"/>
      <c r="N9" s="33">
        <f>$C$29*'E Balans VL '!Y10/100/3.6*1000000</f>
        <v>8.7891372777634089</v>
      </c>
      <c r="O9" s="33"/>
      <c r="P9" s="33"/>
      <c r="R9" s="32"/>
    </row>
    <row r="10" spans="1:18">
      <c r="A10" s="32" t="s">
        <v>50</v>
      </c>
      <c r="B10" s="37">
        <f t="shared" si="0"/>
        <v>381.78084457</v>
      </c>
      <c r="C10" s="33"/>
      <c r="D10" s="37">
        <f>IF(ISERROR(TER_ander_gas_kWh/1000),0,TER_ander_gas_kWh/1000)*0.902</f>
        <v>329.09749015660003</v>
      </c>
      <c r="E10" s="33">
        <f>$C$30*'E Balans VL '!I14/100/3.6*1000000</f>
        <v>0.5741086085165098</v>
      </c>
      <c r="F10" s="33">
        <f>$C$30*('E Balans VL '!L14+'E Balans VL '!N14)/100/3.6*1000000</f>
        <v>84.284903929393721</v>
      </c>
      <c r="G10" s="34"/>
      <c r="H10" s="33"/>
      <c r="I10" s="33"/>
      <c r="J10" s="33">
        <f>$C$30*('E Balans VL '!D14+'E Balans VL '!E14)/100/3.6*1000000</f>
        <v>0</v>
      </c>
      <c r="K10" s="33"/>
      <c r="L10" s="33"/>
      <c r="M10" s="33"/>
      <c r="N10" s="33">
        <f>$C$30*'E Balans VL '!Y14/100/3.6*1000000</f>
        <v>300.86899840328147</v>
      </c>
      <c r="O10" s="33"/>
      <c r="P10" s="33"/>
      <c r="R10" s="32"/>
    </row>
    <row r="11" spans="1:18">
      <c r="A11" s="32" t="s">
        <v>55</v>
      </c>
      <c r="B11" s="37">
        <f t="shared" si="0"/>
        <v>964.90915261999999</v>
      </c>
      <c r="C11" s="33"/>
      <c r="D11" s="37">
        <f>IF(ISERROR(TER_onderwijs_gas_kWh/1000),0,TER_onderwijs_gas_kWh/1000)*0.902</f>
        <v>525.80798185365995</v>
      </c>
      <c r="E11" s="33">
        <f>$C$31*'E Balans VL '!I11/100/3.6*1000000</f>
        <v>1.6992858768713086</v>
      </c>
      <c r="F11" s="33">
        <f>$C$31*('E Balans VL '!L11+'E Balans VL '!N11)/100/3.6*1000000</f>
        <v>445.51601576689308</v>
      </c>
      <c r="G11" s="34"/>
      <c r="H11" s="33"/>
      <c r="I11" s="33"/>
      <c r="J11" s="33">
        <f>$C$31*('E Balans VL '!D11+'E Balans VL '!E11)/100/3.6*1000000</f>
        <v>0</v>
      </c>
      <c r="K11" s="33"/>
      <c r="L11" s="33"/>
      <c r="M11" s="33"/>
      <c r="N11" s="33">
        <f>$C$31*'E Balans VL '!Y11/100/3.6*1000000</f>
        <v>1.7976390948462075</v>
      </c>
      <c r="O11" s="33"/>
      <c r="P11" s="33"/>
      <c r="R11" s="32"/>
    </row>
    <row r="12" spans="1:18">
      <c r="A12" s="32" t="s">
        <v>260</v>
      </c>
      <c r="B12" s="37">
        <f t="shared" si="0"/>
        <v>1347.5754232000002</v>
      </c>
      <c r="C12" s="33"/>
      <c r="D12" s="37">
        <f>IF(ISERROR(TER_rest_gas_kWh/1000),0,TER_rest_gas_kWh/1000)*0.902</f>
        <v>2716.9935794275998</v>
      </c>
      <c r="E12" s="33">
        <f>$C$32*'E Balans VL '!I8/100/3.6*1000000</f>
        <v>23.726102331124899</v>
      </c>
      <c r="F12" s="33">
        <f>$C$32*('E Balans VL '!L8+'E Balans VL '!N8)/100/3.6*1000000</f>
        <v>347.17764088351123</v>
      </c>
      <c r="G12" s="34"/>
      <c r="H12" s="33"/>
      <c r="I12" s="33"/>
      <c r="J12" s="33">
        <f>$C$32*('E Balans VL '!D8+'E Balans VL '!E8)/100/3.6*1000000</f>
        <v>0</v>
      </c>
      <c r="K12" s="33"/>
      <c r="L12" s="33"/>
      <c r="M12" s="33"/>
      <c r="N12" s="33">
        <f>$C$32*'E Balans VL '!Y8/100/3.6*1000000</f>
        <v>118.91269305836457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8017.1846240300001</v>
      </c>
      <c r="C16" s="21">
        <f t="shared" ca="1" si="1"/>
        <v>0</v>
      </c>
      <c r="D16" s="21">
        <f t="shared" ca="1" si="1"/>
        <v>8237.2554884663987</v>
      </c>
      <c r="E16" s="21">
        <f t="shared" si="1"/>
        <v>147.3548213282902</v>
      </c>
      <c r="F16" s="21">
        <f t="shared" ca="1" si="1"/>
        <v>2207.3374398154292</v>
      </c>
      <c r="G16" s="21">
        <f t="shared" si="1"/>
        <v>0</v>
      </c>
      <c r="H16" s="21">
        <f t="shared" si="1"/>
        <v>0</v>
      </c>
      <c r="I16" s="21">
        <f t="shared" si="1"/>
        <v>0</v>
      </c>
      <c r="J16" s="21">
        <f t="shared" si="1"/>
        <v>0</v>
      </c>
      <c r="K16" s="21">
        <f t="shared" si="1"/>
        <v>0</v>
      </c>
      <c r="L16" s="21">
        <f t="shared" ca="1" si="1"/>
        <v>0</v>
      </c>
      <c r="M16" s="21">
        <f t="shared" si="1"/>
        <v>0</v>
      </c>
      <c r="N16" s="21">
        <f t="shared" ca="1" si="1"/>
        <v>434.74830256236567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0.20856313371984822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1672.0891487982799</v>
      </c>
      <c r="C20" s="23">
        <f t="shared" ref="C20:P20" ca="1" si="2">C16*C18</f>
        <v>0</v>
      </c>
      <c r="D20" s="23">
        <f t="shared" ca="1" si="2"/>
        <v>1663.9256086702126</v>
      </c>
      <c r="E20" s="23">
        <f t="shared" si="2"/>
        <v>33.44954444152188</v>
      </c>
      <c r="F20" s="23">
        <f t="shared" ca="1" si="2"/>
        <v>589.35909643071966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1322.6165154999999</v>
      </c>
      <c r="C26" s="39">
        <f>IF(ISERROR(B26*3.6/1000000/'E Balans VL '!Z12*100),0,B26*3.6/1000000/'E Balans VL '!Z12*100)</f>
        <v>2.8331473262770492E-2</v>
      </c>
      <c r="D26" s="237" t="s">
        <v>660</v>
      </c>
      <c r="F26" s="6"/>
    </row>
    <row r="27" spans="1:18">
      <c r="A27" s="231" t="s">
        <v>53</v>
      </c>
      <c r="B27" s="33">
        <f>IF(ISERROR(TER_horeca_ele_kWh/1000),0,TER_horeca_ele_kWh/1000)</f>
        <v>852.69932732999996</v>
      </c>
      <c r="C27" s="39">
        <f>IF(ISERROR(B27*3.6/1000000/'E Balans VL '!Z9*100),0,B27*3.6/1000000/'E Balans VL '!Z9*100)</f>
        <v>6.8426157065624257E-2</v>
      </c>
      <c r="D27" s="237" t="s">
        <v>660</v>
      </c>
      <c r="F27" s="6"/>
    </row>
    <row r="28" spans="1:18">
      <c r="A28" s="171" t="s">
        <v>52</v>
      </c>
      <c r="B28" s="33">
        <f>IF(ISERROR(TER_handel_ele_kWh/1000),0,TER_handel_ele_kWh/1000)</f>
        <v>2399.3033535999998</v>
      </c>
      <c r="C28" s="39">
        <f>IF(ISERROR(B28*3.6/1000000/'E Balans VL '!Z13*100),0,B28*3.6/1000000/'E Balans VL '!Z13*100)</f>
        <v>7.0765687076079553E-2</v>
      </c>
      <c r="D28" s="237" t="s">
        <v>660</v>
      </c>
      <c r="F28" s="6"/>
    </row>
    <row r="29" spans="1:18">
      <c r="A29" s="231" t="s">
        <v>51</v>
      </c>
      <c r="B29" s="33">
        <f>IF(ISERROR(TER_gezond_ele_kWh/1000),0,TER_gezond_ele_kWh/1000)</f>
        <v>748.30000720999999</v>
      </c>
      <c r="C29" s="39">
        <f>IF(ISERROR(B29*3.6/1000000/'E Balans VL '!Z10*100),0,B29*3.6/1000000/'E Balans VL '!Z10*100)</f>
        <v>7.989837809449056E-2</v>
      </c>
      <c r="D29" s="237" t="s">
        <v>660</v>
      </c>
      <c r="F29" s="6"/>
    </row>
    <row r="30" spans="1:18">
      <c r="A30" s="231" t="s">
        <v>50</v>
      </c>
      <c r="B30" s="33">
        <f>IF(ISERROR(TER_ander_ele_kWh/1000),0,TER_ander_ele_kWh/1000)</f>
        <v>381.78084457</v>
      </c>
      <c r="C30" s="39">
        <f>IF(ISERROR(B30*3.6/1000000/'E Balans VL '!Z14*100),0,B30*3.6/1000000/'E Balans VL '!Z14*100)</f>
        <v>2.8837406383276268E-2</v>
      </c>
      <c r="D30" s="237" t="s">
        <v>660</v>
      </c>
      <c r="F30" s="6"/>
    </row>
    <row r="31" spans="1:18">
      <c r="A31" s="231" t="s">
        <v>55</v>
      </c>
      <c r="B31" s="33">
        <f>IF(ISERROR(TER_onderwijs_ele_kWh/1000),0,TER_onderwijs_ele_kWh/1000)</f>
        <v>964.90915261999999</v>
      </c>
      <c r="C31" s="39">
        <f>IF(ISERROR(B31*3.6/1000000/'E Balans VL '!Z11*100),0,B31*3.6/1000000/'E Balans VL '!Z11*100)</f>
        <v>0.19484736906993991</v>
      </c>
      <c r="D31" s="237" t="s">
        <v>660</v>
      </c>
    </row>
    <row r="32" spans="1:18">
      <c r="A32" s="231" t="s">
        <v>260</v>
      </c>
      <c r="B32" s="33">
        <f>IF(ISERROR(TER_rest_ele_kWh/1000),0,TER_rest_ele_kWh/1000)</f>
        <v>1347.5754232000002</v>
      </c>
      <c r="C32" s="39">
        <f>IF(ISERROR(B32*3.6/1000000/'E Balans VL '!Z8*100),0,B32*3.6/1000000/'E Balans VL '!Z8*100)</f>
        <v>1.1173276743567617E-2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2325.2676934440001</v>
      </c>
      <c r="C5" s="17">
        <f>IF(ISERROR('Eigen informatie GS &amp; warmtenet'!B59),0,'Eigen informatie GS &amp; warmtenet'!B59)</f>
        <v>0</v>
      </c>
      <c r="D5" s="30">
        <f>SUM(D6:D15)</f>
        <v>671.53981052818006</v>
      </c>
      <c r="E5" s="17">
        <f>SUM(E6:E15)</f>
        <v>306.89652194125483</v>
      </c>
      <c r="F5" s="17">
        <f>SUM(F6:F15)</f>
        <v>1097.6147369977391</v>
      </c>
      <c r="G5" s="18"/>
      <c r="H5" s="17"/>
      <c r="I5" s="17"/>
      <c r="J5" s="17">
        <f>SUM(J6:J15)</f>
        <v>10.731724070376266</v>
      </c>
      <c r="K5" s="17"/>
      <c r="L5" s="17"/>
      <c r="M5" s="17"/>
      <c r="N5" s="17">
        <f>SUM(N6:N15)</f>
        <v>579.06780259556081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19.451678295000001</v>
      </c>
      <c r="C8" s="33"/>
      <c r="D8" s="37">
        <f>IF( ISERROR(IND_metaal_Gas_kWH/1000),0,IND_metaal_Gas_kWH/1000)*0.902</f>
        <v>0</v>
      </c>
      <c r="E8" s="33">
        <f>C30*'E Balans VL '!I18/100/3.6*1000000</f>
        <v>0.69993023036994884</v>
      </c>
      <c r="F8" s="33">
        <f>C30*'E Balans VL '!L18/100/3.6*1000000+C30*'E Balans VL '!N18/100/3.6*1000000</f>
        <v>8.4939173558575671</v>
      </c>
      <c r="G8" s="34"/>
      <c r="H8" s="33"/>
      <c r="I8" s="33"/>
      <c r="J8" s="40">
        <f>C30*'E Balans VL '!D18/100/3.6*1000000+C30*'E Balans VL '!E18/100/3.6*1000000</f>
        <v>0</v>
      </c>
      <c r="K8" s="33"/>
      <c r="L8" s="33"/>
      <c r="M8" s="33"/>
      <c r="N8" s="33">
        <f>C30*'E Balans VL '!Y18/100/3.6*1000000</f>
        <v>0.97490489732933794</v>
      </c>
      <c r="O8" s="33"/>
      <c r="P8" s="33"/>
      <c r="R8" s="32"/>
    </row>
    <row r="9" spans="1:18">
      <c r="A9" s="6" t="s">
        <v>33</v>
      </c>
      <c r="B9" s="37">
        <f t="shared" si="0"/>
        <v>911.34784510999998</v>
      </c>
      <c r="C9" s="33"/>
      <c r="D9" s="37">
        <f>IF( ISERROR(IND_andere_gas_kWh/1000),0,IND_andere_gas_kWh/1000)*0.902</f>
        <v>486.37155886308005</v>
      </c>
      <c r="E9" s="33">
        <f>C31*'E Balans VL '!I19/100/3.6*1000000</f>
        <v>232.55535024953664</v>
      </c>
      <c r="F9" s="33">
        <f>C31*'E Balans VL '!L19/100/3.6*1000000+C31*'E Balans VL '!N19/100/3.6*1000000</f>
        <v>784.60199507263701</v>
      </c>
      <c r="G9" s="34"/>
      <c r="H9" s="33"/>
      <c r="I9" s="33"/>
      <c r="J9" s="40">
        <f>C31*'E Balans VL '!D19/100/3.6*1000000+C31*'E Balans VL '!E19/100/3.6*1000000</f>
        <v>0</v>
      </c>
      <c r="K9" s="33"/>
      <c r="L9" s="33"/>
      <c r="M9" s="33"/>
      <c r="N9" s="33">
        <f>C31*'E Balans VL '!Y19/100/3.6*1000000</f>
        <v>285.00968157001557</v>
      </c>
      <c r="O9" s="33"/>
      <c r="P9" s="33"/>
      <c r="R9" s="32"/>
    </row>
    <row r="10" spans="1:18">
      <c r="A10" s="6" t="s">
        <v>41</v>
      </c>
      <c r="B10" s="37">
        <f t="shared" si="0"/>
        <v>70.726821739000002</v>
      </c>
      <c r="C10" s="33"/>
      <c r="D10" s="37">
        <f>IF( ISERROR(IND_voed_gas_kWh/1000),0,IND_voed_gas_kWh/1000)*0.902</f>
        <v>0</v>
      </c>
      <c r="E10" s="33">
        <f>C32*'E Balans VL '!I20/100/3.6*1000000</f>
        <v>1.7979729244901104</v>
      </c>
      <c r="F10" s="33">
        <f>C32*'E Balans VL '!L20/100/3.6*1000000+C32*'E Balans VL '!N20/100/3.6*1000000</f>
        <v>16.004418058380232</v>
      </c>
      <c r="G10" s="34"/>
      <c r="H10" s="33"/>
      <c r="I10" s="33"/>
      <c r="J10" s="40">
        <f>C32*'E Balans VL '!D20/100/3.6*1000000+C32*'E Balans VL '!E20/100/3.6*1000000</f>
        <v>0</v>
      </c>
      <c r="K10" s="33"/>
      <c r="L10" s="33"/>
      <c r="M10" s="33"/>
      <c r="N10" s="33">
        <f>C32*'E Balans VL '!Y20/100/3.6*1000000</f>
        <v>26.524475278035819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1323.7413483</v>
      </c>
      <c r="C15" s="33"/>
      <c r="D15" s="37">
        <f>IF( ISERROR(IND_rest_gas_kWh/1000),0,IND_rest_gas_kWh/1000)*0.902</f>
        <v>185.1682516651</v>
      </c>
      <c r="E15" s="33">
        <f>C37*'E Balans VL '!I15/100/3.6*1000000</f>
        <v>71.843268536858133</v>
      </c>
      <c r="F15" s="33">
        <f>C37*'E Balans VL '!L15/100/3.6*1000000+C37*'E Balans VL '!N15/100/3.6*1000000</f>
        <v>288.51440651086426</v>
      </c>
      <c r="G15" s="34"/>
      <c r="H15" s="33"/>
      <c r="I15" s="33"/>
      <c r="J15" s="40">
        <f>C37*'E Balans VL '!D15/100/3.6*1000000+C37*'E Balans VL '!E15/100/3.6*1000000</f>
        <v>10.731724070376266</v>
      </c>
      <c r="K15" s="33"/>
      <c r="L15" s="33"/>
      <c r="M15" s="33"/>
      <c r="N15" s="33">
        <f>C37*'E Balans VL '!Y15/100/3.6*1000000</f>
        <v>266.55874085018002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2325.2676934440001</v>
      </c>
      <c r="C18" s="21">
        <f>C5+C16</f>
        <v>0</v>
      </c>
      <c r="D18" s="21">
        <f>MAX((D5+D16),0)</f>
        <v>671.53981052818006</v>
      </c>
      <c r="E18" s="21">
        <f>MAX((E5+E16),0)</f>
        <v>306.89652194125483</v>
      </c>
      <c r="F18" s="21">
        <f>MAX((F5+F16),0)</f>
        <v>1097.6147369977391</v>
      </c>
      <c r="G18" s="21"/>
      <c r="H18" s="21"/>
      <c r="I18" s="21"/>
      <c r="J18" s="21">
        <f>MAX((J5+J16),0)</f>
        <v>10.731724070376266</v>
      </c>
      <c r="K18" s="21"/>
      <c r="L18" s="21">
        <f>MAX((L5+L16),0)</f>
        <v>0</v>
      </c>
      <c r="M18" s="21"/>
      <c r="N18" s="21">
        <f>MAX((N5+N16),0)</f>
        <v>579.06780259556081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0.20856313371984822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484.96511688220403</v>
      </c>
      <c r="C22" s="23">
        <f ca="1">C18*C20</f>
        <v>0</v>
      </c>
      <c r="D22" s="23">
        <f>D18*D20</f>
        <v>135.65104172669237</v>
      </c>
      <c r="E22" s="23">
        <f>E18*E20</f>
        <v>69.66551048066485</v>
      </c>
      <c r="F22" s="23">
        <f>F18*F20</f>
        <v>293.06313477839637</v>
      </c>
      <c r="G22" s="23"/>
      <c r="H22" s="23"/>
      <c r="I22" s="23"/>
      <c r="J22" s="23">
        <f>J18*J20</f>
        <v>3.7990303209131979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19.451678295000001</v>
      </c>
      <c r="C30" s="39">
        <f>IF(ISERROR(B30*3.6/1000000/'E Balans VL '!Z18*100),0,B30*3.6/1000000/'E Balans VL '!Z18*100)</f>
        <v>4.1213935977189855E-3</v>
      </c>
      <c r="D30" s="237" t="s">
        <v>660</v>
      </c>
    </row>
    <row r="31" spans="1:18">
      <c r="A31" s="6" t="s">
        <v>33</v>
      </c>
      <c r="B31" s="37">
        <f>IF( ISERROR(IND_ander_ele_kWh/1000),0,IND_ander_ele_kWh/1000)</f>
        <v>911.34784510999998</v>
      </c>
      <c r="C31" s="39">
        <f>IF(ISERROR(B31*3.6/1000000/'E Balans VL '!Z19*100),0,B31*3.6/1000000/'E Balans VL '!Z19*100)</f>
        <v>3.836070016645874E-2</v>
      </c>
      <c r="D31" s="237" t="s">
        <v>660</v>
      </c>
    </row>
    <row r="32" spans="1:18">
      <c r="A32" s="171" t="s">
        <v>41</v>
      </c>
      <c r="B32" s="37">
        <f>IF( ISERROR(IND_voed_ele_kWh/1000),0,IND_voed_ele_kWh/1000)</f>
        <v>70.726821739000002</v>
      </c>
      <c r="C32" s="39">
        <f>IF(ISERROR(B32*3.6/1000000/'E Balans VL '!Z20*100),0,B32*3.6/1000000/'E Balans VL '!Z20*100)</f>
        <v>1.1815715790451532E-2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1323.7413483</v>
      </c>
      <c r="C37" s="39">
        <f>IF(ISERROR(B37*3.6/1000000/'E Balans VL '!Z15*100),0,B37*3.6/1000000/'E Balans VL '!Z15*100)</f>
        <v>1.0687076480969246E-2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891.564685768</v>
      </c>
      <c r="C5" s="17">
        <f>'Eigen informatie GS &amp; warmtenet'!B60</f>
        <v>0</v>
      </c>
      <c r="D5" s="30">
        <f>IF(ISERROR(SUM(LB_lb_gas_kWh,LB_rest_gas_kWh)/1000),0,SUM(LB_lb_gas_kWh,LB_rest_gas_kWh)/1000)*0.902</f>
        <v>2513.6906340345804</v>
      </c>
      <c r="E5" s="17">
        <f>B17*'E Balans VL '!I25/3.6*1000000/100</f>
        <v>22.990030033337266</v>
      </c>
      <c r="F5" s="17">
        <f>B17*('E Balans VL '!L25/3.6*1000000+'E Balans VL '!N25/3.6*1000000)/100</f>
        <v>3258.8387167285196</v>
      </c>
      <c r="G5" s="18"/>
      <c r="H5" s="17"/>
      <c r="I5" s="17"/>
      <c r="J5" s="17">
        <f>('E Balans VL '!D25+'E Balans VL '!E25)/3.6*1000000*landbouw!B17/100</f>
        <v>128.35251706623728</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891.564685768</v>
      </c>
      <c r="C8" s="21">
        <f>C5+C6</f>
        <v>62.357142857142847</v>
      </c>
      <c r="D8" s="21">
        <f>MAX((D5+D6),0)</f>
        <v>2513.6906340345804</v>
      </c>
      <c r="E8" s="21">
        <f>MAX((E5+E6),0)</f>
        <v>22.990030033337266</v>
      </c>
      <c r="F8" s="21">
        <f>MAX((F5+F6),0)</f>
        <v>3258.8387167285196</v>
      </c>
      <c r="G8" s="21"/>
      <c r="H8" s="21"/>
      <c r="I8" s="21"/>
      <c r="J8" s="21">
        <f>MAX((J5+J6),0)</f>
        <v>128.35251706623728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0.20856313371984822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185.94752477772585</v>
      </c>
      <c r="C12" s="23">
        <f ca="1">C8*C10</f>
        <v>0</v>
      </c>
      <c r="D12" s="23">
        <f>D8*D10</f>
        <v>507.76550807498529</v>
      </c>
      <c r="E12" s="23">
        <f>E8*E10</f>
        <v>5.2187368175675592</v>
      </c>
      <c r="F12" s="23">
        <f>F8*F10</f>
        <v>870.10993736651483</v>
      </c>
      <c r="G12" s="23"/>
      <c r="H12" s="23"/>
      <c r="I12" s="23"/>
      <c r="J12" s="23">
        <f>J8*J10</f>
        <v>45.436791041447997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0.12571652628534619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228.53762355624471</v>
      </c>
      <c r="C26" s="247">
        <f>B26*'GWP N2O_CH4'!B5</f>
        <v>4799.2900946811387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29.284722413054865</v>
      </c>
      <c r="C27" s="247">
        <f>B27*'GWP N2O_CH4'!B5</f>
        <v>614.97917067415221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2.8385961841028777</v>
      </c>
      <c r="C28" s="247">
        <f>B28*'GWP N2O_CH4'!B4</f>
        <v>879.96481707189207</v>
      </c>
      <c r="D28" s="50"/>
    </row>
    <row r="29" spans="1:4">
      <c r="A29" s="41" t="s">
        <v>277</v>
      </c>
      <c r="B29" s="247">
        <f>B34*'ha_N2O bodem landbouw'!B4</f>
        <v>12.094889688715275</v>
      </c>
      <c r="C29" s="247">
        <f>B29*'GWP N2O_CH4'!B4</f>
        <v>3749.4158035017354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2.7220074353857845E-3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8.8574291963615945E-5</v>
      </c>
      <c r="C5" s="463" t="s">
        <v>211</v>
      </c>
      <c r="D5" s="448">
        <f>SUM(D6:D11)</f>
        <v>2.4159609921356554E-4</v>
      </c>
      <c r="E5" s="448">
        <f>SUM(E6:E11)</f>
        <v>9.0617756918953023E-4</v>
      </c>
      <c r="F5" s="461" t="s">
        <v>211</v>
      </c>
      <c r="G5" s="448">
        <f>SUM(G6:G11)</f>
        <v>0.25533988250193013</v>
      </c>
      <c r="H5" s="448">
        <f>SUM(H6:H11)</f>
        <v>6.41844475319365E-2</v>
      </c>
      <c r="I5" s="463" t="s">
        <v>211</v>
      </c>
      <c r="J5" s="463" t="s">
        <v>211</v>
      </c>
      <c r="K5" s="463" t="s">
        <v>211</v>
      </c>
      <c r="L5" s="463" t="s">
        <v>211</v>
      </c>
      <c r="M5" s="448">
        <f>SUM(M6:M11)</f>
        <v>9.9679936193246763E-3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4.5735592410412997E-5</v>
      </c>
      <c r="C6" s="449"/>
      <c r="D6" s="892">
        <f>vkm_2011_GW_PW*SUMIFS(TableVerdeelsleutelVkm[CNG],TableVerdeelsleutelVkm[Voertuigtype],"Lichte voertuigen")*SUMIFS(TableECFTransport[EnergieConsumptieFactor (PJ per km)],TableECFTransport[Index],CONCATENATE($A6,"_CNG_CNG"))</f>
        <v>9.0877423248571205E-5</v>
      </c>
      <c r="E6" s="892">
        <f>vkm_2011_GW_PW*SUMIFS(TableVerdeelsleutelVkm[LPG],TableVerdeelsleutelVkm[Voertuigtype],"Lichte voertuigen")*SUMIFS(TableECFTransport[EnergieConsumptieFactor (PJ per km)],TableECFTransport[Index],CONCATENATE($A6,"_LPG_LPG"))</f>
        <v>3.5763523759723629E-4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8.5033388320067474E-2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2.4603252460223962E-2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3.4163789666682189E-3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2.9311938583821105E-2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9.4690081782910406E-6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9.2357433528053221E-4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4.2838699553202941E-5</v>
      </c>
      <c r="C8" s="449"/>
      <c r="D8" s="451">
        <f>vkm_2011_NGW_PW*SUMIFS(TableVerdeelsleutelVkm[CNG],TableVerdeelsleutelVkm[Voertuigtype],"Lichte voertuigen")*SUMIFS(TableECFTransport[EnergieConsumptieFactor (PJ per km)],TableECFTransport[Index],CONCATENATE($A8,"_CNG_CNG"))</f>
        <v>1.5071867596499434E-4</v>
      </c>
      <c r="E8" s="451">
        <f>vkm_2011_NGW_PW*SUMIFS(TableVerdeelsleutelVkm[LPG],TableVerdeelsleutelVkm[Voertuigtype],"Lichte voertuigen")*SUMIFS(TableECFTransport[EnergieConsumptieFactor (PJ per km)],TableECFTransport[Index],CONCATENATE($A8,"_LPG_LPG"))</f>
        <v>5.4854233159229394E-4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0.1217918176998409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3.9565859464284314E-2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5.0230015267315707E-3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1.920273789820065E-2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5.8665992499379865E-6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6.0503879064435502E-4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24.603969989893319</v>
      </c>
      <c r="C14" s="21"/>
      <c r="D14" s="21">
        <f t="shared" ref="D14:M14" si="0">((D5)*10^9/3600)+D12</f>
        <v>67.110027559323768</v>
      </c>
      <c r="E14" s="21">
        <f t="shared" si="0"/>
        <v>251.71599144153618</v>
      </c>
      <c r="F14" s="21"/>
      <c r="G14" s="21">
        <f t="shared" si="0"/>
        <v>70927.745139425038</v>
      </c>
      <c r="H14" s="21">
        <f t="shared" si="0"/>
        <v>17829.013203315695</v>
      </c>
      <c r="I14" s="21"/>
      <c r="J14" s="21"/>
      <c r="K14" s="21"/>
      <c r="L14" s="21"/>
      <c r="M14" s="21">
        <f t="shared" si="0"/>
        <v>2768.8871164790767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0.20856313371984822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5.1314810830412529</v>
      </c>
      <c r="C18" s="23"/>
      <c r="D18" s="23">
        <f t="shared" ref="D18:M18" si="1">D14*D16</f>
        <v>13.556225566983402</v>
      </c>
      <c r="E18" s="23">
        <f t="shared" si="1"/>
        <v>57.139530057228711</v>
      </c>
      <c r="F18" s="23"/>
      <c r="G18" s="23">
        <f t="shared" si="1"/>
        <v>18937.707952226487</v>
      </c>
      <c r="H18" s="23">
        <f t="shared" si="1"/>
        <v>4439.4242876256085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6.5853502332193286E-3</v>
      </c>
      <c r="H50" s="321">
        <f t="shared" si="2"/>
        <v>0</v>
      </c>
      <c r="I50" s="321">
        <f t="shared" si="2"/>
        <v>0</v>
      </c>
      <c r="J50" s="321">
        <f t="shared" si="2"/>
        <v>0</v>
      </c>
      <c r="K50" s="321">
        <f t="shared" si="2"/>
        <v>0</v>
      </c>
      <c r="L50" s="321">
        <f t="shared" si="2"/>
        <v>0</v>
      </c>
      <c r="M50" s="321">
        <f t="shared" si="2"/>
        <v>2.0426283160687777E-4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6.5853502332193286E-3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2.0426283160687777E-4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1829.2639536720355</v>
      </c>
      <c r="H54" s="21">
        <f t="shared" si="3"/>
        <v>0</v>
      </c>
      <c r="I54" s="21">
        <f t="shared" si="3"/>
        <v>0</v>
      </c>
      <c r="J54" s="21">
        <f t="shared" si="3"/>
        <v>0</v>
      </c>
      <c r="K54" s="21">
        <f t="shared" si="3"/>
        <v>0</v>
      </c>
      <c r="L54" s="21">
        <f t="shared" si="3"/>
        <v>0</v>
      </c>
      <c r="M54" s="21">
        <f t="shared" si="3"/>
        <v>56.739675446354937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0.20856313371984822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488.41347563043354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1665.3994476562928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1709.0494476562928</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23104</v>
      </c>
      <c r="C28" s="796">
        <v>1750</v>
      </c>
      <c r="D28" s="653" t="s">
        <v>890</v>
      </c>
      <c r="E28" s="652" t="s">
        <v>891</v>
      </c>
      <c r="F28" s="652" t="s">
        <v>892</v>
      </c>
      <c r="G28" s="652" t="s">
        <v>893</v>
      </c>
      <c r="H28" s="652" t="s">
        <v>894</v>
      </c>
      <c r="I28" s="652" t="s">
        <v>891</v>
      </c>
      <c r="J28" s="795">
        <v>41108</v>
      </c>
      <c r="K28" s="795">
        <v>41164</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2019-08-12T08:23:36Z</dcterms:modified>
</cp:coreProperties>
</file>