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P28"/>
  <c r="O28"/>
  <c r="P25"/>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O78"/>
  <c r="O9" i="59"/>
  <c r="L78" i="14"/>
  <c r="L8" i="59"/>
  <c r="L10" s="1"/>
  <c r="H90" i="14"/>
  <c r="H18" i="59"/>
  <c r="H78" i="14"/>
  <c r="H8" i="59"/>
  <c r="H10" s="1"/>
  <c r="E20"/>
  <c r="K10"/>
  <c r="H20"/>
  <c r="C98" i="18"/>
  <c r="D13" i="15"/>
  <c r="O90" i="14"/>
  <c r="B10" i="18"/>
  <c r="G20"/>
  <c r="C13" i="15"/>
  <c r="R9" i="14"/>
  <c r="R25"/>
  <c r="O10" i="59"/>
  <c r="G78" i="14"/>
  <c r="N10" i="59"/>
  <c r="B8" i="18"/>
  <c r="O19"/>
  <c r="L13" i="15"/>
  <c r="N13"/>
  <c r="Q77" i="14"/>
  <c r="P9" i="59" s="1"/>
  <c r="O9" i="18"/>
  <c r="O18"/>
  <c r="B89" i="14"/>
  <c r="B19" i="59" s="1"/>
  <c r="G88" i="14"/>
  <c r="C88" s="1"/>
  <c r="C18" i="59" s="1"/>
  <c r="F89" i="14"/>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E78" i="14"/>
  <c r="E90"/>
  <c r="N78"/>
  <c r="G90" l="1"/>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H10"/>
  <c r="H16" s="1"/>
  <c r="G5" i="48"/>
  <c r="M90" i="14"/>
  <c r="M17" i="59"/>
  <c r="M20" s="1"/>
  <c r="M78" i="14"/>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H32" i="48"/>
  <c r="H25"/>
  <c r="H28"/>
  <c r="H26"/>
  <c r="H24"/>
  <c r="H29"/>
  <c r="H30"/>
  <c r="H22"/>
  <c r="H23"/>
  <c r="C4"/>
  <c r="D11" i="14"/>
  <c r="C11"/>
  <c r="B4" i="48"/>
  <c r="F32"/>
  <c r="F31"/>
  <c r="F29"/>
  <c r="F27"/>
  <c r="F28"/>
  <c r="F30"/>
  <c r="F24"/>
  <c r="N32"/>
  <c r="N31"/>
  <c r="N27"/>
  <c r="N29"/>
  <c r="N30"/>
  <c r="N28"/>
  <c r="N24"/>
  <c r="B10"/>
  <c r="C19" i="14"/>
  <c r="J28" i="48"/>
  <c r="J27"/>
  <c r="J32"/>
  <c r="J30"/>
  <c r="J31"/>
  <c r="J29"/>
  <c r="J24"/>
  <c r="O4"/>
  <c r="P11" i="14"/>
  <c r="I27" i="48"/>
  <c r="I32"/>
  <c r="I31"/>
  <c r="I29"/>
  <c r="I24"/>
  <c r="I28"/>
  <c r="I25"/>
  <c r="I26"/>
  <c r="I30"/>
  <c r="I22"/>
  <c r="D4"/>
  <c r="D22" s="1"/>
  <c r="E11" i="14"/>
  <c r="G32" i="48"/>
  <c r="G25"/>
  <c r="G29"/>
  <c r="G26"/>
  <c r="G30"/>
  <c r="G24"/>
  <c r="G22"/>
  <c r="G23"/>
  <c r="E31"/>
  <c r="E29"/>
  <c r="E28"/>
  <c r="E32"/>
  <c r="E24"/>
  <c r="E30"/>
  <c r="M29"/>
  <c r="M32"/>
  <c r="M24"/>
  <c r="M25"/>
  <c r="M30"/>
  <c r="M26"/>
  <c r="M22"/>
  <c r="M23"/>
  <c r="L10" i="14"/>
  <c r="L16" s="1"/>
  <c r="L27" s="1"/>
  <c r="K5" i="48"/>
  <c r="D29"/>
  <c r="D28"/>
  <c r="D30"/>
  <c r="D24"/>
  <c r="D31"/>
  <c r="D32"/>
  <c r="L29"/>
  <c r="L32"/>
  <c r="L28"/>
  <c r="L31"/>
  <c r="L24"/>
  <c r="L27"/>
  <c r="L22"/>
  <c r="L30"/>
  <c r="P5"/>
  <c r="P23" s="1"/>
  <c r="Q10" i="14"/>
  <c r="K28" i="48"/>
  <c r="K32"/>
  <c r="K25"/>
  <c r="K27"/>
  <c r="K26"/>
  <c r="K29"/>
  <c r="K24"/>
  <c r="K22"/>
  <c r="K30"/>
  <c r="K31"/>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O22" i="48"/>
  <c r="F4"/>
  <c r="F22" s="1"/>
  <c r="G11" i="14"/>
  <c r="H18"/>
  <c r="G13" i="48"/>
  <c r="H13"/>
  <c r="H31" s="1"/>
  <c r="I18" i="14"/>
  <c r="F20"/>
  <c r="F22" s="1"/>
  <c r="E9" i="48"/>
  <c r="E27" s="1"/>
  <c r="K24" i="14"/>
  <c r="K26" s="1"/>
  <c r="J7" i="48"/>
  <c r="J25" s="1"/>
  <c r="C22" i="14"/>
  <c r="C20"/>
  <c r="B9" i="48"/>
  <c r="I5"/>
  <c r="J10" i="14"/>
  <c r="J16" s="1"/>
  <c r="J27" s="1"/>
  <c r="P22" i="48"/>
  <c r="P33" s="1"/>
  <c r="M12" i="22"/>
  <c r="M13" i="48"/>
  <c r="M31" s="1"/>
  <c r="N18" i="14"/>
  <c r="P8" i="48"/>
  <c r="P26" s="1"/>
  <c r="Q13" i="14"/>
  <c r="Q16" s="1"/>
  <c r="Q27" s="1"/>
  <c r="Q63" s="1"/>
  <c r="K15" i="48"/>
  <c r="K23"/>
  <c r="J12" i="17"/>
  <c r="K54" i="14" s="1"/>
  <c r="K56" s="1"/>
  <c r="L61"/>
  <c r="L63" s="1"/>
  <c r="I20" i="15"/>
  <c r="J40" i="14" s="1"/>
  <c r="J46" s="1"/>
  <c r="J61"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31" i="48"/>
  <c r="Q13"/>
  <c r="K11" i="14"/>
  <c r="J4" i="48"/>
  <c r="E7"/>
  <c r="E25" s="1"/>
  <c r="F24" i="14"/>
  <c r="F26" s="1"/>
  <c r="P16"/>
  <c r="P27" s="1"/>
  <c r="G10" i="48"/>
  <c r="H19" i="14"/>
  <c r="H22"/>
  <c r="H27" s="1"/>
  <c r="R18"/>
  <c r="E12" i="13"/>
  <c r="F41" i="14" s="1"/>
  <c r="F11"/>
  <c r="R11" s="1"/>
  <c r="E4" i="48"/>
  <c r="O22" i="16"/>
  <c r="P43" i="14" s="1"/>
  <c r="P46" s="1"/>
  <c r="P61" s="1"/>
  <c r="P63" s="1"/>
  <c r="O8" i="48"/>
  <c r="P13" i="14"/>
  <c r="I23" i="48"/>
  <c r="I33" s="1"/>
  <c r="I15"/>
  <c r="H20" i="14"/>
  <c r="G9" i="48"/>
  <c r="I20" i="14"/>
  <c r="H9" i="48"/>
  <c r="M14" i="22"/>
  <c r="J63" i="14"/>
  <c r="P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R20"/>
  <c r="E22" i="48"/>
  <c r="Q4"/>
  <c r="H27"/>
  <c r="H33" s="1"/>
  <c r="H15"/>
  <c r="M9"/>
  <c r="N20" i="14"/>
  <c r="N22" s="1"/>
  <c r="N27" s="1"/>
  <c r="N63" s="1"/>
  <c r="O26" i="48"/>
  <c r="O33" s="1"/>
  <c r="O15"/>
  <c r="G28"/>
  <c r="Q10"/>
  <c r="R24" i="14"/>
  <c r="R26" s="1"/>
  <c r="R19"/>
  <c r="R22" s="1"/>
  <c r="J5" i="48"/>
  <c r="J23" s="1"/>
  <c r="K10" i="14"/>
  <c r="G27" i="48"/>
  <c r="G33" s="1"/>
  <c r="G15"/>
  <c r="E5"/>
  <c r="E23" s="1"/>
  <c r="F10" i="14"/>
  <c r="J22" i="48"/>
  <c r="Q9"/>
  <c r="I22" i="14"/>
  <c r="I27" s="1"/>
  <c r="I63" s="1"/>
  <c r="J20" i="15"/>
  <c r="K40" i="14" s="1"/>
  <c r="Q7" i="48"/>
  <c r="E20" i="15"/>
  <c r="F40" i="14" s="1"/>
  <c r="J18" i="16"/>
  <c r="E18"/>
  <c r="F18"/>
  <c r="F22" s="1"/>
  <c r="G43" i="14" s="1"/>
  <c r="N18" i="16"/>
  <c r="G18" i="22"/>
  <c r="H50" i="14" s="1"/>
  <c r="H18" i="22"/>
  <c r="I50" i="14" s="1"/>
  <c r="I52" s="1"/>
  <c r="I61" s="1"/>
  <c r="E8" i="48" l="1"/>
  <c r="E26" s="1"/>
  <c r="E33" s="1"/>
  <c r="F13" i="14"/>
  <c r="F16" s="1"/>
  <c r="F27" s="1"/>
  <c r="M27" i="48"/>
  <c r="M33" s="1"/>
  <c r="M15"/>
  <c r="K16" i="14"/>
  <c r="K27" s="1"/>
  <c r="J22" i="16"/>
  <c r="K43" i="14" s="1"/>
  <c r="J8" i="48"/>
  <c r="J26" s="1"/>
  <c r="K13" i="14"/>
  <c r="J33" i="48"/>
  <c r="K46" i="14"/>
  <c r="K61" s="1"/>
  <c r="K63" s="1"/>
  <c r="E22" i="16"/>
  <c r="F43" i="14" s="1"/>
  <c r="F46" s="1"/>
  <c r="F61" s="1"/>
  <c r="N8" i="48"/>
  <c r="N26" s="1"/>
  <c r="O13" i="14"/>
  <c r="N22" i="16"/>
  <c r="O43" i="14" s="1"/>
  <c r="G13"/>
  <c r="F8" i="48"/>
  <c r="F63" i="14" l="1"/>
  <c r="R13"/>
  <c r="E15" i="48"/>
  <c r="J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<sst xmlns="http://schemas.openxmlformats.org/spreadsheetml/2006/main" count="2392" uniqueCount="890">
  <si>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</si>
  <si>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</si>
  <si>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</si>
  <si>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</si>
  <si>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</si>
  <si>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</si>
  <si>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</si>
  <si>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</si>
  <si>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</si>
  <si>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</si>
  <si>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</si>
  <si>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</si>
  <si>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</si>
  <si>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</si>
  <si>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</si>
  <si>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</si>
  <si>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</si>
  <si>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</si>
  <si>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</si>
  <si>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</si>
  <si>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</si>
  <si>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</si>
  <si>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</si>
  <si>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</si>
  <si>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</si>
  <si>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</si>
  <si>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</si>
  <si>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</si>
  <si>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</si>
  <si>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</si>
  <si>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</si>
  <si>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</si>
  <si>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</si>
  <si>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</si>
  <si>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</si>
  <si>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</si>
  <si>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</si>
  <si>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</si>
  <si>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</si>
  <si>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</si>
  <si>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</si>
  <si>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</si>
  <si>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</si>
  <si>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</si>
  <si>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</si>
  <si>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</si>
  <si>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</si>
  <si>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</si>
  <si>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</si>
  <si>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</si>
  <si>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</si>
  <si>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</si>
  <si>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</si>
  <si>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</si>
  <si>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</si>
  <si>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</si>
  <si>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</si>
  <si>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</si>
  <si>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</si>
  <si>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</si>
  <si>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</si>
  <si>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</si>
  <si>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</si>
  <si>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</si>
  <si>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</si>
  <si>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</si>
  <si>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</si>
  <si>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</si>
  <si>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</si>
  <si>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</si>
  <si>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</si>
  <si>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</si>
  <si>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</si>
  <si>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</si>
  <si>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</si>
  <si>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</si>
  <si>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</si>
  <si>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</si>
  <si>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</si>
  <si>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</si>
  <si>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</si>
  <si>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</si>
  <si>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</si>
  <si>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</si>
  <si>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</si>
  <si>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</si>
  <si>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</si>
  <si>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</si>
  <si>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</si>
  <si>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</si>
  <si>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</si>
  <si>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</si>
  <si>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</si>
  <si>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</si>
  <si>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</si>
  <si>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</si>
  <si>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</si>
  <si>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</si>
  <si>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</si>
  <si>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</si>
  <si>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</si>
  <si>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</si>
  <si>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</si>
  <si>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</si>
  <si>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</si>
  <si>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</si>
  <si>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</si>
  <si>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</si>
  <si>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</si>
  <si>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</si>
  <si>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</si>
  <si>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</si>
  <si>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</si>
  <si>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</si>
  <si>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</si>
  <si>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</si>
  <si>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</si>
  <si>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</si>
  <si>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</si>
  <si>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</si>
  <si>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</si>
  <si>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</si>
  <si>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</si>
  <si>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</si>
  <si>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</si>
  <si>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</si>
  <si>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</si>
  <si>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</si>
  <si>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</si>
  <si>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</si>
  <si>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</si>
  <si>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</si>
  <si>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</si>
  <si>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</si>
  <si>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</si>
  <si>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</si>
  <si>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</si>
  <si>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</si>
  <si>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</si>
  <si>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</si>
  <si>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</si>
  <si>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</si>
  <si>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</si>
  <si>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</si>
  <si>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</si>
  <si>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</si>
  <si>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</si>
  <si>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</si>
  <si>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</si>
  <si>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</si>
  <si>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</si>
  <si>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</si>
  <si>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</si>
  <si>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</si>
  <si>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</si>
  <si>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</si>
  <si>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</si>
  <si>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</si>
  <si>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</si>
  <si>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</si>
  <si>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</si>
  <si>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</si>
  <si>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</si>
  <si>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</si>
  <si>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</si>
  <si>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</si>
  <si>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</si>
  <si>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</si>
  <si>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</si>
  <si>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</si>
  <si>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</si>
  <si>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</si>
  <si>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</si>
  <si>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</si>
  <si>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</si>
  <si>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</si>
  <si>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</si>
  <si>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</si>
  <si>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</si>
  <si>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</si>
  <si>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</si>
  <si>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</si>
  <si>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</si>
  <si>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</si>
  <si>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</si>
  <si>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</si>
  <si>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</si>
  <si>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</si>
  <si>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</si>
  <si>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</si>
  <si>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</si>
  <si>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</si>
  <si>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</si>
  <si>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</si>
  <si>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</si>
  <si>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</si>
  <si>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</si>
  <si>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</si>
  <si>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</si>
  <si>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</si>
  <si>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</si>
  <si>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</si>
  <si>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</si>
  <si>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</si>
  <si>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</si>
  <si>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</si>
  <si>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</si>
  <si>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</si>
  <si>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</si>
  <si>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</si>
  <si>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</si>
  <si>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</si>
  <si>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</si>
  <si>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</si>
  <si>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</si>
  <si>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</si>
  <si>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</si>
  <si>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</si>
  <si>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</si>
  <si>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</si>
  <si>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</si>
  <si>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</si>
  <si>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</si>
  <si>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</si>
  <si>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</si>
  <si>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</si>
  <si>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</si>
  <si>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</si>
  <si>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</si>
  <si>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</si>
  <si>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</si>
  <si>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</si>
  <si>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</si>
  <si>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</si>
  <si>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</si>
  <si>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</si>
  <si>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</si>
  <si>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</si>
  <si>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</si>
  <si>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</si>
  <si>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</si>
  <si>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</si>
  <si>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</si>
  <si>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</si>
  <si>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</si>
  <si>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</si>
  <si>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</si>
  <si>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</si>
  <si>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</si>
  <si>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</si>
  <si>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</si>
  <si>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</si>
  <si>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</si>
  <si>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</si>
  <si>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</si>
  <si>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</si>
  <si>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</si>
  <si>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</si>
  <si>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</si>
  <si>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</si>
  <si>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</si>
  <si>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</si>
  <si>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</si>
  <si>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</si>
  <si>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</si>
  <si>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</si>
  <si>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</si>
  <si>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</si>
  <si>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</si>
  <si>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</si>
  <si>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</si>
  <si>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</si>
  <si>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</si>
  <si>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</si>
  <si>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</si>
  <si>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</si>
  <si>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</si>
  <si>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</si>
  <si>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</si>
  <si>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</si>
  <si>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</si>
  <si>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</si>
  <si>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</si>
  <si>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</si>
  <si>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</si>
  <si>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</si>
  <si>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</si>
  <si>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</si>
  <si>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</si>
  <si>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</si>
  <si>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</si>
  <si>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</si>
  <si>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</si>
  <si>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</si>
  <si>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</si>
  <si>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</si>
  <si>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</si>
  <si>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</si>
  <si>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</si>
  <si>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</si>
  <si>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</si>
  <si>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</si>
  <si>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</si>
  <si>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</si>
  <si>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</si>
  <si>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</si>
  <si>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</si>
  <si>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</si>
  <si>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</si>
  <si>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</si>
  <si>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</si>
  <si>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</si>
  <si>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</si>
  <si>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</si>
  <si>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</si>
  <si>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</si>
  <si>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</si>
  <si>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</si>
  <si>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</si>
  <si>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</si>
  <si>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</si>
  <si>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</si>
  <si>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</si>
  <si>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</si>
  <si>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</si>
  <si>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</si>
  <si>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</si>
  <si>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</si>
  <si>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</si>
  <si>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</si>
  <si>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</si>
  <si>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</si>
  <si>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</si>
  <si>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</si>
  <si>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</si>
  <si>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</si>
  <si>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</si>
  <si>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</si>
  <si>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</si>
  <si>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</si>
  <si>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</si>
  <si>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</si>
  <si>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</si>
  <si>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</si>
  <si>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</si>
  <si>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</si>
  <si>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</si>
  <si>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</si>
  <si>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</si>
  <si>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</si>
  <si>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</si>
  <si>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</si>
  <si>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</si>
  <si>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</si>
  <si>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</si>
  <si>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</si>
  <si>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</si>
  <si>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</si>
  <si>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</si>
  <si>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</si>
  <si>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</si>
  <si>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</si>
  <si>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</si>
  <si>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</si>
  <si>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</si>
  <si>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</si>
  <si>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</si>
  <si>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</si>
  <si>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</si>
  <si>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</si>
  <si>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</si>
  <si>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</si>
  <si>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</si>
  <si>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</si>
  <si>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</si>
  <si>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</si>
  <si>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</si>
  <si>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</si>
  <si>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</si>
  <si>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</si>
  <si>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</si>
  <si>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</si>
  <si>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</si>
  <si>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</si>
  <si>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</si>
  <si>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</si>
  <si>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</si>
  <si>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</si>
  <si>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</si>
  <si>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</si>
  <si>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</si>
  <si>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</si>
  <si>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</si>
  <si>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</si>
  <si>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</si>
  <si>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</si>
  <si>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</si>
  <si>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</si>
  <si>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</si>
  <si>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</si>
  <si>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</si>
  <si>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</si>
  <si>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</si>
  <si>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</si>
  <si>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</si>
  <si>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</si>
  <si>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</si>
  <si>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</si>
  <si>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</si>
  <si>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</si>
  <si>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</si>
  <si>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</si>
  <si>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</si>
  <si>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</si>
  <si>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</si>
  <si>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</si>
  <si>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</si>
  <si>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</si>
  <si>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</si>
  <si>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</si>
  <si>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</si>
  <si>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</si>
  <si>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</si>
  <si>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</si>
  <si>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</si>
  <si>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</si>
  <si>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</si>
  <si>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</si>
  <si>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</si>
  <si>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</si>
  <si>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</si>
  <si>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</si>
  <si>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</si>
  <si>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</si>
  <si>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</si>
  <si>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</si>
  <si>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</si>
  <si>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</si>
  <si>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</si>
  <si>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</si>
  <si>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</si>
  <si>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</si>
  <si>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</si>
  <si>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</si>
  <si>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</si>
  <si>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</si>
  <si>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</si>
  <si>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</si>
  <si>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</si>
  <si>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</si>
  <si>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</si>
  <si>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</si>
  <si>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</si>
  <si>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</si>
  <si>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</si>
  <si>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</si>
  <si>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</si>
  <si>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</si>
  <si>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</si>
  <si>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</si>
  <si>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</si>
  <si>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</si>
  <si>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</si>
  <si>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</si>
  <si>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</si>
  <si>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</si>
  <si>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</si>
  <si>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</si>
  <si>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</si>
  <si>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</si>
  <si>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</si>
  <si>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</si>
  <si>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</si>
  <si>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</si>
  <si>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</si>
  <si>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</si>
  <si>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</si>
  <si>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</si>
  <si>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</si>
  <si>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</si>
  <si>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</si>
  <si>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</si>
  <si>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</si>
  <si>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</si>
  <si>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</si>
  <si>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</si>
  <si>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</si>
  <si>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</si>
  <si>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</si>
  <si>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</si>
  <si>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</si>
  <si>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</si>
  <si>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</si>
  <si>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</si>
  <si>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</si>
  <si>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</si>
  <si>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</si>
  <si>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</si>
  <si>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</si>
  <si>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</si>
  <si>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</si>
  <si>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</si>
  <si>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</si>
  <si>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</si>
  <si>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</si>
  <si>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</si>
  <si>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</si>
  <si>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</si>
  <si>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</si>
  <si>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</si>
  <si>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</si>
  <si>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</si>
  <si>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</si>
  <si>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</si>
  <si>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</si>
  <si>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</si>
  <si>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</si>
  <si>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</si>
  <si>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</si>
  <si>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</si>
  <si>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</si>
  <si>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</si>
  <si>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</si>
  <si>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</si>
  <si>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</si>
  <si>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</si>
  <si>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</si>
  <si>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</si>
  <si>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</si>
  <si>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</si>
  <si>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</si>
  <si>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</si>
  <si>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</si>
  <si>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</si>
  <si>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</si>
  <si>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</si>
  <si>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</si>
  <si>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</si>
  <si>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</si>
  <si>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</si>
  <si>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</si>
  <si>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</si>
  <si>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</si>
  <si>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</si>
  <si>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</si>
  <si>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</si>
  <si>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</si>
  <si>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</si>
  <si>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</si>
  <si>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</si>
  <si>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</si>
  <si>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</si>
  <si>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</si>
  <si>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</si>
  <si>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</si>
  <si>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</si>
  <si>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</si>
  <si>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</si>
  <si>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</si>
  <si>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</si>
  <si>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</si>
  <si>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</si>
  <si>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</si>
  <si>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</si>
  <si>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</si>
  <si>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</si>
  <si>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</si>
  <si>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</si>
  <si>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</si>
  <si>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</si>
  <si>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</si>
  <si>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</si>
  <si>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</si>
  <si>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</si>
  <si>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</si>
  <si>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</si>
  <si>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</si>
  <si>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</si>
  <si>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</si>
  <si>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</si>
  <si>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</si>
  <si>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</si>
  <si>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</si>
  <si>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</si>
  <si>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</si>
  <si>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</si>
  <si>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</si>
  <si>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</si>
  <si>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</si>
  <si>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</si>
  <si>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</si>
  <si>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</si>
  <si>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</si>
  <si>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</si>
  <si>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</si>
  <si>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</si>
  <si>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</si>
  <si>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</si>
  <si>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</si>
  <si>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</si>
  <si>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</si>
  <si>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</si>
  <si>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</si>
  <si>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</si>
  <si>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</si>
  <si>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</si>
  <si>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</si>
  <si>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</si>
  <si>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</si>
  <si>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</si>
  <si>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</si>
  <si>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</si>
  <si>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</si>
  <si>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</si>
  <si>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</si>
  <si>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</si>
  <si>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</si>
  <si>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</si>
  <si>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</si>
  <si>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</si>
  <si>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</si>
  <si>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</si>
  <si>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</si>
  <si>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</si>
  <si>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</si>
  <si>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</si>
  <si>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</si>
  <si>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</si>
  <si>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</si>
  <si>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</si>
  <si>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</si>
  <si>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</si>
  <si>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</si>
  <si>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</si>
  <si>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</si>
  <si>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</si>
  <si>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</si>
  <si>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</si>
  <si>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</si>
  <si>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</si>
  <si>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</si>
  <si>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</si>
  <si>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</si>
  <si>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</si>
  <si>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</si>
  <si>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</si>
  <si>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</si>
  <si>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</si>
  <si>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</si>
  <si>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</si>
  <si>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</si>
  <si>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</si>
  <si>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</si>
  <si>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</si>
  <si>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</si>
  <si>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</si>
  <si>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</si>
  <si>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</si>
  <si>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</si>
  <si>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</si>
  <si>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</si>
  <si>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</si>
  <si>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</si>
  <si>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</si>
  <si>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</si>
  <si>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</si>
  <si>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</si>
  <si>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</si>
  <si>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</si>
  <si>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</si>
  <si>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</si>
  <si>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</si>
  <si>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</si>
  <si>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</si>
  <si>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</si>
  <si>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</si>
  <si>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</si>
  <si>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</si>
  <si>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</si>
  <si>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</si>
  <si>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</si>
  <si>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</si>
  <si>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</si>
  <si>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</si>
  <si>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</si>
  <si>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</si>
  <si>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</si>
  <si>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</si>
  <si>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</si>
  <si>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</si>
  <si>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</si>
  <si>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</si>
  <si>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</si>
  <si>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</si>
  <si>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</si>
  <si>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</si>
  <si>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</si>
  <si>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</si>
  <si>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</si>
  <si>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</si>
  <si>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</si>
  <si>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</si>
  <si>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</si>
  <si>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</si>
  <si>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</si>
  <si>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</si>
  <si>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</si>
  <si>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</si>
  <si>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</si>
  <si>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</si>
  <si>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</si>
  <si>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</si>
  <si>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</si>
  <si>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</si>
  <si>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</si>
  <si>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</si>
  <si>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</si>
  <si>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</si>
  <si>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</si>
  <si>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</si>
  <si>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</si>
  <si>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</si>
  <si>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</si>
  <si>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</si>
  <si>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</si>
  <si>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</si>
  <si>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</si>
  <si>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</si>
  <si>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</si>
  <si>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</si>
  <si>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</si>
  <si>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</si>
  <si>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</si>
  <si>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</si>
  <si>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</si>
  <si>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</si>
  <si>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</si>
  <si>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</si>
  <si>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</si>
  <si>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</si>
  <si>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</si>
  <si>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</si>
  <si>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</si>
  <si>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</si>
  <si>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</si>
  <si>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</si>
  <si>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</si>
  <si>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</si>
  <si>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</si>
  <si>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</si>
  <si>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</si>
  <si>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</si>
  <si>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</si>
  <si>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</si>
  <si>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</si>
  <si>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</si>
  <si>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</si>
  <si>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</si>
  <si>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</si>
  <si>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</si>
  <si>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</si>
  <si>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</si>
  <si>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</si>
  <si>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</si>
  <si>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</si>
  <si>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</si>
  <si>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</si>
  <si>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</si>
  <si>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</si>
  <si>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</si>
  <si>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</si>
  <si>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</si>
  <si>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</si>
  <si>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</si>
  <si>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</si>
  <si>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</si>
  <si>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</si>
  <si>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</si>
  <si>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</si>
  <si>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</si>
  <si>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</si>
  <si>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</si>
  <si>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</si>
  <si>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</si>
  <si>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</si>
  <si>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</si>
  <si>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</si>
  <si>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</si>
  <si>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</si>
  <si>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</si>
  <si>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</si>
  <si>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</si>
  <si>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</si>
  <si>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</si>
  <si>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</si>
  <si>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</si>
  <si>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</si>
  <si>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</si>
  <si>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</si>
  <si>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</si>
  <si>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</si>
  <si>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</si>
  <si>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</si>
  <si>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</si>
  <si>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</si>
  <si>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</si>
  <si>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</si>
  <si>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</si>
  <si>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</si>
  <si>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</si>
  <si>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</si>
  <si>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</si>
  <si>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</si>
  <si>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</si>
  <si>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</si>
  <si>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</si>
  <si>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</si>
  <si>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</si>
  <si>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</si>
  <si>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</si>
  <si>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</si>
  <si>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</si>
  <si>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</si>
  <si>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</si>
  <si>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</si>
  <si>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</si>
  <si>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</si>
  <si>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</si>
  <si>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</si>
  <si>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</si>
  <si>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</si>
  <si>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</si>
  <si>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</si>
  <si>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</si>
  <si>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</si>
  <si>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</si>
  <si>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</si>
  <si>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</si>
  <si>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</si>
  <si>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</si>
  <si>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</si>
  <si>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</si>
  <si>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</si>
  <si>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</si>
  <si>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</si>
  <si>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</si>
  <si>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</si>
  <si>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</si>
  <si>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</si>
  <si>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</si>
  <si>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</si>
  <si>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</si>
  <si>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</si>
  <si>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</si>
  <si>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</si>
  <si>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</si>
  <si>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</si>
  <si>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</si>
  <si>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</si>
  <si>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</si>
  <si>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</si>
  <si>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</si>
  <si>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</si>
  <si>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</si>
  <si>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</si>
  <si>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</si>
  <si>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</si>
  <si>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</si>
  <si>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</si>
  <si>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</si>
  <si>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</si>
  <si>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</si>
  <si>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</si>
  <si>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</si>
  <si>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</si>
  <si>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</si>
  <si>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</si>
  <si>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</si>
  <si>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</si>
  <si>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</si>
  <si>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</si>
  <si>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</si>
  <si>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23103</t>
  </si>
  <si>
    <t>WEZEMBEEK-OPPEM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</si>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</sst>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115449.06189889529</c:v>
                </c:pt>
                <c:pt idx="1">
                  <c:v>28494.772879176649</c:v>
                </c:pt>
                <c:pt idx="2">
                  <c:v>976.74800000000005</c:v>
                </c:pt>
                <c:pt idx="3">
                  <c:v>385.70875792901194</c:v>
                </c:pt>
                <c:pt idx="4">
                  <c:v>2022.4270728066854</c:v>
                </c:pt>
                <c:pt idx="5">
                  <c:v>99848.244892947463</c:v>
                </c:pt>
                <c:pt idx="6">
                  <c:v>596.98479261860348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115449.06189889529</c:v>
                </c:pt>
                <c:pt idx="1">
                  <c:v>28494.772879176649</c:v>
                </c:pt>
                <c:pt idx="2">
                  <c:v>976.74800000000005</c:v>
                </c:pt>
                <c:pt idx="3">
                  <c:v>385.70875792901194</c:v>
                </c:pt>
                <c:pt idx="4">
                  <c:v>2022.4270728066854</c:v>
                </c:pt>
                <c:pt idx="5">
                  <c:v>99848.244892947463</c:v>
                </c:pt>
                <c:pt idx="6">
                  <c:v>596.98479261860348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23485.627764171921</c:v>
                </c:pt>
                <c:pt idx="2">
                  <c:v>5807.4476429778033</c:v>
                </c:pt>
                <c:pt idx="3">
                  <c:v>211.07105864642307</c:v>
                </c:pt>
                <c:pt idx="4">
                  <c:v>97.513793807594311</c:v>
                </c:pt>
                <c:pt idx="5">
                  <c:v>414.81286359512649</c:v>
                </c:pt>
                <c:pt idx="6">
                  <c:v>25548.024646694161</c:v>
                </c:pt>
                <c:pt idx="7">
                  <c:v>154.59960572698483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4013568"/>
      </c:barChart>
      <c:catAx>
        <c:axId val="18384384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23485.627764171921</c:v>
                </c:pt>
                <c:pt idx="2">
                  <c:v>5807.4476429778033</c:v>
                </c:pt>
                <c:pt idx="3">
                  <c:v>211.07105864642307</c:v>
                </c:pt>
                <c:pt idx="4">
                  <c:v>97.513793807594311</c:v>
                </c:pt>
                <c:pt idx="5">
                  <c:v>414.81286359512649</c:v>
                </c:pt>
                <c:pt idx="6">
                  <c:v>25548.024646694161</c:v>
                </c:pt>
                <c:pt idx="7">
                  <c:v>154.59960572698483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0.21609571624044591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0.21609571624044591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5374</v>
      </c>
      <c r="C9" s="342">
        <v>5373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96.23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0</v>
      </c>
    </row>
    <row r="28" spans="1:6" s="356" customFormat="1">
      <c r="A28" s="355" t="s">
        <v>18</v>
      </c>
      <c r="B28" s="355">
        <v>0</v>
      </c>
    </row>
    <row r="29" spans="1:6">
      <c r="A29" s="355" t="s">
        <v>884</v>
      </c>
      <c r="B29" s="355">
        <v>54</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1851719.8935</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4185</v>
      </c>
      <c r="D39" s="334">
        <v>91168187.105000004</v>
      </c>
      <c r="E39" s="334">
        <v>5347</v>
      </c>
      <c r="F39" s="334">
        <v>20926271.326000001</v>
      </c>
    </row>
    <row r="40" spans="1:6">
      <c r="A40" s="348" t="s">
        <v>30</v>
      </c>
      <c r="B40" s="348" t="s">
        <v>29</v>
      </c>
      <c r="C40" s="334">
        <v>0</v>
      </c>
      <c r="D40" s="334">
        <v>0</v>
      </c>
      <c r="E40" s="334">
        <v>0</v>
      </c>
      <c r="F40" s="334">
        <v>0</v>
      </c>
    </row>
    <row r="41" spans="1:6">
      <c r="A41" s="348" t="s">
        <v>32</v>
      </c>
      <c r="B41" s="348" t="s">
        <v>33</v>
      </c>
      <c r="C41" s="334">
        <v>26</v>
      </c>
      <c r="D41" s="334">
        <v>506146.51854000002</v>
      </c>
      <c r="E41" s="334">
        <v>41</v>
      </c>
      <c r="F41" s="334">
        <v>376619.73973999999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76421.071767999994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383217.01530999999</v>
      </c>
      <c r="E48" s="334">
        <v>21</v>
      </c>
      <c r="F48" s="334">
        <v>127624.69749999999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45255.660218999998</v>
      </c>
      <c r="E52" s="334">
        <v>3</v>
      </c>
      <c r="F52" s="334">
        <v>71480.301447999998</v>
      </c>
    </row>
    <row r="53" spans="1:6">
      <c r="A53" s="348" t="s">
        <v>44</v>
      </c>
      <c r="B53" s="348" t="s">
        <v>45</v>
      </c>
      <c r="C53" s="334">
        <v>101</v>
      </c>
      <c r="D53" s="334">
        <v>2240151.798</v>
      </c>
      <c r="E53" s="334">
        <v>180</v>
      </c>
      <c r="F53" s="334">
        <v>817897.56533999997</v>
      </c>
    </row>
    <row r="54" spans="1:6">
      <c r="A54" s="348" t="s">
        <v>46</v>
      </c>
      <c r="B54" s="348" t="s">
        <v>47</v>
      </c>
      <c r="C54" s="334">
        <v>0</v>
      </c>
      <c r="D54" s="334">
        <v>0</v>
      </c>
      <c r="E54" s="334">
        <v>1</v>
      </c>
      <c r="F54" s="334">
        <v>976748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3378143.7536999998</v>
      </c>
      <c r="E57" s="334">
        <v>44</v>
      </c>
      <c r="F57" s="334">
        <v>953308.85358999996</v>
      </c>
    </row>
    <row r="58" spans="1:6">
      <c r="A58" s="348" t="s">
        <v>49</v>
      </c>
      <c r="B58" s="348" t="s">
        <v>51</v>
      </c>
      <c r="C58" s="334">
        <v>26</v>
      </c>
      <c r="D58" s="334">
        <v>750644.26444000006</v>
      </c>
      <c r="E58" s="334">
        <v>31</v>
      </c>
      <c r="F58" s="334">
        <v>454940.43852000003</v>
      </c>
    </row>
    <row r="59" spans="1:6">
      <c r="A59" s="348" t="s">
        <v>49</v>
      </c>
      <c r="B59" s="348" t="s">
        <v>52</v>
      </c>
      <c r="C59" s="334">
        <v>31</v>
      </c>
      <c r="D59" s="334">
        <v>1202248.0748999999</v>
      </c>
      <c r="E59" s="334">
        <v>57</v>
      </c>
      <c r="F59" s="334">
        <v>1479294.3418000001</v>
      </c>
    </row>
    <row r="60" spans="1:6">
      <c r="A60" s="348" t="s">
        <v>49</v>
      </c>
      <c r="B60" s="348" t="s">
        <v>53</v>
      </c>
      <c r="C60" s="334">
        <v>10</v>
      </c>
      <c r="D60" s="334">
        <v>873372.27058000001</v>
      </c>
      <c r="E60" s="334">
        <v>13</v>
      </c>
      <c r="F60" s="334">
        <v>357975.45392</v>
      </c>
    </row>
    <row r="61" spans="1:6">
      <c r="A61" s="348" t="s">
        <v>49</v>
      </c>
      <c r="B61" s="348" t="s">
        <v>54</v>
      </c>
      <c r="C61" s="334">
        <v>133</v>
      </c>
      <c r="D61" s="334">
        <v>5788796.1760999998</v>
      </c>
      <c r="E61" s="334">
        <v>215</v>
      </c>
      <c r="F61" s="334">
        <v>2409542.6782999998</v>
      </c>
    </row>
    <row r="62" spans="1:6">
      <c r="A62" s="348" t="s">
        <v>49</v>
      </c>
      <c r="B62" s="348" t="s">
        <v>55</v>
      </c>
      <c r="C62" s="334">
        <v>6</v>
      </c>
      <c r="D62" s="334">
        <v>1835533.6746</v>
      </c>
      <c r="E62" s="334">
        <v>4</v>
      </c>
      <c r="F62" s="334">
        <v>18706.221652</v>
      </c>
    </row>
    <row r="63" spans="1:6">
      <c r="A63" s="348" t="s">
        <v>49</v>
      </c>
      <c r="B63" s="348" t="s">
        <v>29</v>
      </c>
      <c r="C63" s="334">
        <v>74</v>
      </c>
      <c r="D63" s="334">
        <v>5215189.9094000002</v>
      </c>
      <c r="E63" s="334">
        <v>80</v>
      </c>
      <c r="F63" s="334">
        <v>2507214.21</v>
      </c>
    </row>
    <row r="64" spans="1:6">
      <c r="A64" s="348" t="s">
        <v>56</v>
      </c>
      <c r="B64" s="348" t="s">
        <v>57</v>
      </c>
      <c r="C64" s="334">
        <v>0</v>
      </c>
      <c r="D64" s="334">
        <v>0</v>
      </c>
      <c r="E64" s="334">
        <v>0</v>
      </c>
      <c r="F64" s="334">
        <v>0</v>
      </c>
    </row>
    <row r="65" spans="1:6">
      <c r="A65" s="348" t="s">
        <v>56</v>
      </c>
      <c r="B65" s="348" t="s">
        <v>29</v>
      </c>
      <c r="C65" s="334">
        <v>2</v>
      </c>
      <c r="D65" s="334">
        <v>19644.772687000001</v>
      </c>
      <c r="E65" s="334">
        <v>3</v>
      </c>
      <c r="F65" s="334">
        <v>34977.467146000003</v>
      </c>
    </row>
    <row r="66" spans="1:6">
      <c r="A66" s="348" t="s">
        <v>56</v>
      </c>
      <c r="B66" s="348" t="s">
        <v>58</v>
      </c>
      <c r="C66" s="334">
        <v>0</v>
      </c>
      <c r="D66" s="334">
        <v>0</v>
      </c>
      <c r="E66" s="334">
        <v>7</v>
      </c>
      <c r="F66" s="334">
        <v>273297.98488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18066224</v>
      </c>
      <c r="E73" s="475">
        <v>22320366.686956245</v>
      </c>
    </row>
    <row r="74" spans="1:6">
      <c r="A74" s="348" t="s">
        <v>64</v>
      </c>
      <c r="B74" s="348" t="s">
        <v>667</v>
      </c>
      <c r="C74" s="1294" t="s">
        <v>669</v>
      </c>
      <c r="D74" s="475">
        <v>546447.01172440499</v>
      </c>
      <c r="E74" s="475">
        <v>638536.87298092176</v>
      </c>
    </row>
    <row r="75" spans="1:6">
      <c r="A75" s="348" t="s">
        <v>65</v>
      </c>
      <c r="B75" s="348" t="s">
        <v>666</v>
      </c>
      <c r="C75" s="1294" t="s">
        <v>670</v>
      </c>
      <c r="D75" s="475">
        <v>16099238</v>
      </c>
      <c r="E75" s="475">
        <v>20503053.887634981</v>
      </c>
    </row>
    <row r="76" spans="1:6">
      <c r="A76" s="348" t="s">
        <v>65</v>
      </c>
      <c r="B76" s="348" t="s">
        <v>667</v>
      </c>
      <c r="C76" s="1294" t="s">
        <v>671</v>
      </c>
      <c r="D76" s="475">
        <v>57633.011724405049</v>
      </c>
      <c r="E76" s="475">
        <v>76936.251390934602</v>
      </c>
    </row>
    <row r="77" spans="1:6">
      <c r="A77" s="348" t="s">
        <v>66</v>
      </c>
      <c r="B77" s="348" t="s">
        <v>666</v>
      </c>
      <c r="C77" s="1294" t="s">
        <v>672</v>
      </c>
      <c r="D77" s="475">
        <v>75572292</v>
      </c>
      <c r="E77" s="475">
        <v>79204438.441423938</v>
      </c>
    </row>
    <row r="78" spans="1:6">
      <c r="A78" s="341" t="s">
        <v>66</v>
      </c>
      <c r="B78" s="341" t="s">
        <v>667</v>
      </c>
      <c r="C78" s="341" t="s">
        <v>673</v>
      </c>
      <c r="D78" s="1295">
        <v>8497808</v>
      </c>
      <c r="E78" s="1295">
        <v>8673368.7746430263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160341.9765511899</v>
      </c>
      <c r="C83" s="475">
        <v>160341.9765511899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716.7014153550831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45</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32296.461738150814</v>
      </c>
      <c r="C3" s="43" t="s">
        <v>170</v>
      </c>
      <c r="D3" s="43"/>
      <c r="E3" s="154"/>
      <c r="F3" s="43"/>
      <c r="G3" s="43"/>
      <c r="H3" s="43"/>
      <c r="I3" s="43"/>
      <c r="J3" s="43"/>
      <c r="K3" s="96"/>
    </row>
    <row r="4" spans="1:11">
      <c r="A4" s="383" t="s">
        <v>171</v>
      </c>
      <c r="B4" s="49">
        <f>IF(ISERROR('SEAP template'!B78+'SEAP template'!C78),0,'SEAP template'!B78+'SEAP template'!C78)</f>
        <v>716.7014153550831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0.21609571624044591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976.74800000000005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976.74800000000005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0.21609571624044591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211.07105864642307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20926.271326000002</v>
      </c>
      <c r="C5" s="17">
        <f>IF(ISERROR('Eigen informatie GS &amp; warmtenet'!B57),0,'Eigen informatie GS &amp; warmtenet'!B57)</f>
        <v>0</v>
      </c>
      <c r="D5" s="30">
        <f>(SUM(HH_hh_gas_kWh,HH_rest_gas_kWh)/1000)*0.902</f>
        <v>82233.704768710013</v>
      </c>
      <c r="E5" s="17">
        <f>B46*B57</f>
        <v>2187.5967433343062</v>
      </c>
      <c r="F5" s="17">
        <f>B51*B62</f>
        <v>6370.3417379776483</v>
      </c>
      <c r="G5" s="18"/>
      <c r="H5" s="17"/>
      <c r="I5" s="17"/>
      <c r="J5" s="17">
        <f>B50*B61+C50*C61</f>
        <v>0</v>
      </c>
      <c r="K5" s="17"/>
      <c r="L5" s="17"/>
      <c r="M5" s="17"/>
      <c r="N5" s="17">
        <f>B48*B59+C48*C59</f>
        <v>2531.1892408515746</v>
      </c>
      <c r="O5" s="17">
        <f>B69*B70*B71</f>
        <v>82.856666666666683</v>
      </c>
      <c r="P5" s="17">
        <f>B77*B78*B79/1000-B77*B78*B79/1000/B80</f>
        <v>400.4</v>
      </c>
    </row>
    <row r="6" spans="1:16">
      <c r="A6" s="16" t="s">
        <v>624</v>
      </c>
      <c r="B6" s="788">
        <f>kWh_PV_kleiner_dan_10kW</f>
        <v>716.7014153550831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21642.972741355086</v>
      </c>
      <c r="C8" s="21">
        <f>C5</f>
        <v>0</v>
      </c>
      <c r="D8" s="21">
        <f>D5</f>
        <v>82233.704768710013</v>
      </c>
      <c r="E8" s="21">
        <f>E5</f>
        <v>2187.5967433343062</v>
      </c>
      <c r="F8" s="21">
        <f>F5</f>
        <v>6370.3417379776483</v>
      </c>
      <c r="G8" s="21"/>
      <c r="H8" s="21"/>
      <c r="I8" s="21"/>
      <c r="J8" s="21">
        <f>J5</f>
        <v>0</v>
      </c>
      <c r="K8" s="21"/>
      <c r="L8" s="21">
        <f>L5</f>
        <v>0</v>
      </c>
      <c r="M8" s="21">
        <f>M5</f>
        <v>0</v>
      </c>
      <c r="N8" s="21">
        <f>N5</f>
        <v>2531.1892408515746</v>
      </c>
      <c r="O8" s="21">
        <f>O5</f>
        <v>82.856666666666683</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0.21609571624044591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4676.9536961155745</v>
      </c>
      <c r="C12" s="23">
        <f ca="1">C10*C8</f>
        <v>0</v>
      </c>
      <c r="D12" s="23">
        <f>D8*D10</f>
        <v>16611.208363279424</v>
      </c>
      <c r="E12" s="23">
        <f>E10*E8</f>
        <v>496.58446073688754</v>
      </c>
      <c r="F12" s="23">
        <f>F10*F8</f>
        <v>1700.8812440400322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5374</v>
      </c>
      <c r="C28" s="36"/>
      <c r="D28" s="228"/>
    </row>
    <row r="29" spans="1:7" s="15" customFormat="1">
      <c r="A29" s="230" t="s">
        <v>699</v>
      </c>
      <c r="B29" s="37">
        <f>SUM(HH_hh_gas_aantal,HH_rest_gas_aantal)</f>
        <v>4185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4185</v>
      </c>
      <c r="C32" s="167">
        <f>IF(ISERROR(B32/SUM($B$32,$B$34,$B$35,$B$36,$B$38,$B$39)*100),0,B32/SUM($B$32,$B$34,$B$35,$B$36,$B$38,$B$39)*100)</f>
        <v>78.180459555389504</v>
      </c>
      <c r="D32" s="233"/>
      <c r="G32" s="15"/>
    </row>
    <row r="33" spans="1:7">
      <c r="A33" s="171" t="s">
        <v>72</v>
      </c>
      <c r="B33" s="34" t="s">
        <v>111</v>
      </c>
      <c r="C33" s="167"/>
      <c r="D33" s="233"/>
      <c r="G33" s="15"/>
    </row>
    <row r="34" spans="1:7">
      <c r="A34" s="171" t="s">
        <v>73</v>
      </c>
      <c r="B34" s="33">
        <f>IF((($B$28-$B$32-$B$39-$B$77-$B$38)*C20/100)&lt;0,0,($B$28-$B$32-$B$39-$B$77-$B$38)*C20/100)</f>
        <v>96.719762845849786</v>
      </c>
      <c r="C34" s="167">
        <f>IF(ISERROR(B34/SUM($B$32,$B$34,$B$35,$B$36,$B$38,$B$39)*100),0,B34/SUM($B$32,$B$34,$B$35,$B$36,$B$38,$B$39)*100)</f>
        <v>1.8068328571987629</v>
      </c>
      <c r="D34" s="233"/>
      <c r="G34" s="15"/>
    </row>
    <row r="35" spans="1:7">
      <c r="A35" s="171" t="s">
        <v>74</v>
      </c>
      <c r="B35" s="33">
        <f>IF((($B$28-$B$32-$B$39-$B$77-$B$38)*C21/100)&lt;0,0,($B$28-$B$32-$B$39-$B$77-$B$38)*C21/100)</f>
        <v>770.17588932806302</v>
      </c>
      <c r="C35" s="167">
        <f>IF(ISERROR(B35/SUM($B$32,$B$34,$B$35,$B$36,$B$38,$B$39)*100),0,B35/SUM($B$32,$B$34,$B$35,$B$36,$B$38,$B$39)*100)</f>
        <v>14.387743122138296</v>
      </c>
      <c r="D35" s="233"/>
      <c r="G35" s="15"/>
    </row>
    <row r="36" spans="1:7">
      <c r="A36" s="171" t="s">
        <v>75</v>
      </c>
      <c r="B36" s="33">
        <f>IF((($B$28-$B$32-$B$39-$B$77-$B$38)*C22/100)&lt;0,0,($B$28-$B$32-$B$39-$B$77-$B$38)*C22/100)</f>
        <v>39.404347826086948</v>
      </c>
      <c r="C36" s="167">
        <f>IF(ISERROR(B36/SUM($B$32,$B$34,$B$35,$B$36,$B$38,$B$39)*100),0,B36/SUM($B$32,$B$34,$B$35,$B$36,$B$38,$B$39)*100)</f>
        <v>0.73611708996986636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261.70000000000005</v>
      </c>
      <c r="C39" s="167">
        <f>IF(ISERROR(B39/SUM($B$32,$B$34,$B$35,$B$36,$B$38,$B$39)*100),0,B39/SUM($B$32,$B$34,$B$35,$B$36,$B$38,$B$39)*100)</f>
        <v>4.8888473753035688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4185</v>
      </c>
      <c r="C44" s="34" t="s">
        <v>111</v>
      </c>
      <c r="D44" s="174"/>
    </row>
    <row r="45" spans="1:7">
      <c r="A45" s="171" t="s">
        <v>72</v>
      </c>
      <c r="B45" s="33" t="str">
        <f t="shared" si="0"/>
        <v>-</v>
      </c>
      <c r="C45" s="34" t="s">
        <v>111</v>
      </c>
      <c r="D45" s="174"/>
    </row>
    <row r="46" spans="1:7">
      <c r="A46" s="171" t="s">
        <v>73</v>
      </c>
      <c r="B46" s="33">
        <f t="shared" si="0"/>
        <v>96.719762845849786</v>
      </c>
      <c r="C46" s="34" t="s">
        <v>111</v>
      </c>
      <c r="D46" s="174"/>
    </row>
    <row r="47" spans="1:7">
      <c r="A47" s="171" t="s">
        <v>74</v>
      </c>
      <c r="B47" s="33">
        <f t="shared" si="0"/>
        <v>770.17588932806302</v>
      </c>
      <c r="C47" s="34" t="s">
        <v>111</v>
      </c>
      <c r="D47" s="174"/>
    </row>
    <row r="48" spans="1:7">
      <c r="A48" s="171" t="s">
        <v>75</v>
      </c>
      <c r="B48" s="33">
        <f t="shared" si="0"/>
        <v>39.404347826086948</v>
      </c>
      <c r="C48" s="33">
        <f>B48*10</f>
        <v>394.04347826086951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261.70000000000005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8180.9821977819993</v>
      </c>
      <c r="C5" s="17">
        <f>IF(ISERROR('Eigen informatie GS &amp; warmtenet'!B58),0,'Eigen informatie GS &amp; warmtenet'!B58)</f>
        <v>0</v>
      </c>
      <c r="D5" s="30">
        <f>SUM(D6:D12)</f>
        <v>17177.62316759544</v>
      </c>
      <c r="E5" s="17">
        <f>SUM(E6:E12)</f>
        <v>135.74751887123335</v>
      </c>
      <c r="F5" s="17">
        <f>SUM(F6:F12)</f>
        <v>2018.2691713847003</v>
      </c>
      <c r="G5" s="18"/>
      <c r="H5" s="17"/>
      <c r="I5" s="17"/>
      <c r="J5" s="17">
        <f>SUM(J6:J12)</f>
        <v>0</v>
      </c>
      <c r="K5" s="17"/>
      <c r="L5" s="17"/>
      <c r="M5" s="17"/>
      <c r="N5" s="17">
        <f>SUM(N6:N12)</f>
        <v>982.1508235432749</v>
      </c>
      <c r="O5" s="17">
        <f>B38*B39*B40</f>
        <v>0</v>
      </c>
      <c r="P5" s="17">
        <f>B46*B47*B48/1000-B46*B47*B48/1000/B49</f>
        <v>0</v>
      </c>
      <c r="R5" s="32"/>
    </row>
    <row r="6" spans="1:18">
      <c r="A6" s="32" t="s">
        <v>54</v>
      </c>
      <c r="B6" s="37">
        <f>B26</f>
        <v>2409.5426782999998</v>
      </c>
      <c r="C6" s="33"/>
      <c r="D6" s="37">
        <f>IF(ISERROR(TER_kantoor_gas_kWh/1000),0,TER_kantoor_gas_kWh/1000)*0.902</f>
        <v>5221.4941508421998</v>
      </c>
      <c r="E6" s="33">
        <f>$C$26*'E Balans VL '!I12/100/3.6*1000000</f>
        <v>31.543881785136424</v>
      </c>
      <c r="F6" s="33">
        <f>$C$26*('E Balans VL '!L12+'E Balans VL '!N12)/100/3.6*1000000</f>
        <v>614.40848368257264</v>
      </c>
      <c r="G6" s="34"/>
      <c r="H6" s="33"/>
      <c r="I6" s="33"/>
      <c r="J6" s="33">
        <f>$C$26*('E Balans VL '!D12+'E Balans VL '!E12)/100/3.6*1000000</f>
        <v>0</v>
      </c>
      <c r="K6" s="33"/>
      <c r="L6" s="33"/>
      <c r="M6" s="33"/>
      <c r="N6" s="33">
        <f>$C$26*'E Balans VL '!Y12/100/3.6*1000000</f>
        <v>2.4176566842073006</v>
      </c>
      <c r="O6" s="33"/>
      <c r="P6" s="33"/>
      <c r="R6" s="32"/>
    </row>
    <row r="7" spans="1:18">
      <c r="A7" s="32" t="s">
        <v>53</v>
      </c>
      <c r="B7" s="37">
        <f t="shared" ref="B7:B12" si="0">B27</f>
        <v>357.97545392000001</v>
      </c>
      <c r="C7" s="33"/>
      <c r="D7" s="37">
        <f>IF(ISERROR(TER_horeca_gas_kWh/1000),0,TER_horeca_gas_kWh/1000)*0.902</f>
        <v>787.78178806315998</v>
      </c>
      <c r="E7" s="33">
        <f>$C$27*'E Balans VL '!I9/100/3.6*1000000</f>
        <v>11.846810033111813</v>
      </c>
      <c r="F7" s="33">
        <f>$C$27*('E Balans VL '!L9+'E Balans VL '!N9)/100/3.6*1000000</f>
        <v>153.92807325748137</v>
      </c>
      <c r="G7" s="34"/>
      <c r="H7" s="33"/>
      <c r="I7" s="33"/>
      <c r="J7" s="33">
        <f>$C$27*('E Balans VL '!D9+'E Balans VL '!E9)/100/3.6*1000000</f>
        <v>0</v>
      </c>
      <c r="K7" s="33"/>
      <c r="L7" s="33"/>
      <c r="M7" s="33"/>
      <c r="N7" s="33">
        <f>$C$27*'E Balans VL '!Y9/100/3.6*1000000</f>
        <v>8.6169890132609089E-2</v>
      </c>
      <c r="O7" s="33"/>
      <c r="P7" s="33"/>
      <c r="R7" s="32"/>
    </row>
    <row r="8" spans="1:18">
      <c r="A8" s="6" t="s">
        <v>52</v>
      </c>
      <c r="B8" s="37">
        <f t="shared" si="0"/>
        <v>1479.2943418</v>
      </c>
      <c r="C8" s="33"/>
      <c r="D8" s="37">
        <f>IF(ISERROR(TER_handel_gas_kWh/1000),0,TER_handel_gas_kWh/1000)*0.902</f>
        <v>1084.4277635598</v>
      </c>
      <c r="E8" s="33">
        <f>$C$28*'E Balans VL '!I13/100/3.6*1000000</f>
        <v>46.688789721681019</v>
      </c>
      <c r="F8" s="33">
        <f>$C$28*('E Balans VL '!L13+'E Balans VL '!N13)/100/3.6*1000000</f>
        <v>290.11566918308898</v>
      </c>
      <c r="G8" s="34"/>
      <c r="H8" s="33"/>
      <c r="I8" s="33"/>
      <c r="J8" s="33">
        <f>$C$28*('E Balans VL '!D13+'E Balans VL '!E13)/100/3.6*1000000</f>
        <v>0</v>
      </c>
      <c r="K8" s="33"/>
      <c r="L8" s="33"/>
      <c r="M8" s="33"/>
      <c r="N8" s="33">
        <f>$C$28*'E Balans VL '!Y13/100/3.6*1000000</f>
        <v>1.7556351822459586</v>
      </c>
      <c r="O8" s="33"/>
      <c r="P8" s="33"/>
      <c r="R8" s="32"/>
    </row>
    <row r="9" spans="1:18">
      <c r="A9" s="32" t="s">
        <v>51</v>
      </c>
      <c r="B9" s="37">
        <f t="shared" si="0"/>
        <v>454.94043852000004</v>
      </c>
      <c r="C9" s="33"/>
      <c r="D9" s="37">
        <f>IF(ISERROR(TER_gezond_gas_kWh/1000),0,TER_gezond_gas_kWh/1000)*0.902</f>
        <v>677.08112652488001</v>
      </c>
      <c r="E9" s="33">
        <f>$C$29*'E Balans VL '!I10/100/3.6*1000000</f>
        <v>5.8245685117787438E-2</v>
      </c>
      <c r="F9" s="33">
        <f>$C$29*('E Balans VL '!L10+'E Balans VL '!N10)/100/3.6*1000000</f>
        <v>94.783161644977994</v>
      </c>
      <c r="G9" s="34"/>
      <c r="H9" s="33"/>
      <c r="I9" s="33"/>
      <c r="J9" s="33">
        <f>$C$29*('E Balans VL '!D10+'E Balans VL '!E10)/100/3.6*1000000</f>
        <v>0</v>
      </c>
      <c r="K9" s="33"/>
      <c r="L9" s="33"/>
      <c r="M9" s="33"/>
      <c r="N9" s="33">
        <f>$C$29*'E Balans VL '!Y10/100/3.6*1000000</f>
        <v>5.3434904835381518</v>
      </c>
      <c r="O9" s="33"/>
      <c r="P9" s="33"/>
      <c r="R9" s="32"/>
    </row>
    <row r="10" spans="1:18">
      <c r="A10" s="32" t="s">
        <v>50</v>
      </c>
      <c r="B10" s="37">
        <f t="shared" si="0"/>
        <v>953.3088535899999</v>
      </c>
      <c r="C10" s="33"/>
      <c r="D10" s="37">
        <f>IF(ISERROR(TER_ander_gas_kWh/1000),0,TER_ander_gas_kWh/1000)*0.902</f>
        <v>3047.0856658374</v>
      </c>
      <c r="E10" s="33">
        <f>$C$30*'E Balans VL '!I14/100/3.6*1000000</f>
        <v>1.4335523303623354</v>
      </c>
      <c r="F10" s="33">
        <f>$C$30*('E Balans VL '!L14+'E Balans VL '!N14)/100/3.6*1000000</f>
        <v>210.45986534597188</v>
      </c>
      <c r="G10" s="34"/>
      <c r="H10" s="33"/>
      <c r="I10" s="33"/>
      <c r="J10" s="33">
        <f>$C$30*('E Balans VL '!D14+'E Balans VL '!E14)/100/3.6*1000000</f>
        <v>0</v>
      </c>
      <c r="K10" s="33"/>
      <c r="L10" s="33"/>
      <c r="M10" s="33"/>
      <c r="N10" s="33">
        <f>$C$30*'E Balans VL '!Y14/100/3.6*1000000</f>
        <v>751.27153189587227</v>
      </c>
      <c r="O10" s="33"/>
      <c r="P10" s="33"/>
      <c r="R10" s="32"/>
    </row>
    <row r="11" spans="1:18">
      <c r="A11" s="32" t="s">
        <v>55</v>
      </c>
      <c r="B11" s="37">
        <f t="shared" si="0"/>
        <v>18.706221652</v>
      </c>
      <c r="C11" s="33"/>
      <c r="D11" s="37">
        <f>IF(ISERROR(TER_onderwijs_gas_kWh/1000),0,TER_onderwijs_gas_kWh/1000)*0.902</f>
        <v>1655.6513744892002</v>
      </c>
      <c r="E11" s="33">
        <f>$C$31*'E Balans VL '!I11/100/3.6*1000000</f>
        <v>3.2943223905127897E-2</v>
      </c>
      <c r="F11" s="33">
        <f>$C$31*('E Balans VL '!L11+'E Balans VL '!N11)/100/3.6*1000000</f>
        <v>8.6370010252493561</v>
      </c>
      <c r="G11" s="34"/>
      <c r="H11" s="33"/>
      <c r="I11" s="33"/>
      <c r="J11" s="33">
        <f>$C$31*('E Balans VL '!D11+'E Balans VL '!E11)/100/3.6*1000000</f>
        <v>0</v>
      </c>
      <c r="K11" s="33"/>
      <c r="L11" s="33"/>
      <c r="M11" s="33"/>
      <c r="N11" s="33">
        <f>$C$31*'E Balans VL '!Y11/100/3.6*1000000</f>
        <v>3.484994962187573E-2</v>
      </c>
      <c r="O11" s="33"/>
      <c r="P11" s="33"/>
      <c r="R11" s="32"/>
    </row>
    <row r="12" spans="1:18">
      <c r="A12" s="32" t="s">
        <v>260</v>
      </c>
      <c r="B12" s="37">
        <f t="shared" si="0"/>
        <v>2507.2142100000001</v>
      </c>
      <c r="C12" s="33"/>
      <c r="D12" s="37">
        <f>IF(ISERROR(TER_rest_gas_kWh/1000),0,TER_rest_gas_kWh/1000)*0.902</f>
        <v>4704.1012982787997</v>
      </c>
      <c r="E12" s="33">
        <f>$C$32*'E Balans VL '!I8/100/3.6*1000000</f>
        <v>44.143296091918877</v>
      </c>
      <c r="F12" s="33">
        <f>$C$32*('E Balans VL '!L8+'E Balans VL '!N8)/100/3.6*1000000</f>
        <v>645.9369172453579</v>
      </c>
      <c r="G12" s="34"/>
      <c r="H12" s="33"/>
      <c r="I12" s="33"/>
      <c r="J12" s="33">
        <f>$C$32*('E Balans VL '!D8+'E Balans VL '!E8)/100/3.6*1000000</f>
        <v>0</v>
      </c>
      <c r="K12" s="33"/>
      <c r="L12" s="33"/>
      <c r="M12" s="33"/>
      <c r="N12" s="33">
        <f>$C$32*'E Balans VL '!Y8/100/3.6*1000000</f>
        <v>221.24148945765668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8180.9821977819993</v>
      </c>
      <c r="C16" s="21">
        <f t="shared" ca="1" si="1"/>
        <v>0</v>
      </c>
      <c r="D16" s="21">
        <f t="shared" ca="1" si="1"/>
        <v>17177.62316759544</v>
      </c>
      <c r="E16" s="21">
        <f t="shared" si="1"/>
        <v>135.74751887123335</v>
      </c>
      <c r="F16" s="21">
        <f t="shared" ca="1" si="1"/>
        <v>2018.2691713847003</v>
      </c>
      <c r="G16" s="21">
        <f t="shared" si="1"/>
        <v>0</v>
      </c>
      <c r="H16" s="21">
        <f t="shared" si="1"/>
        <v>0</v>
      </c>
      <c r="I16" s="21">
        <f t="shared" si="1"/>
        <v>0</v>
      </c>
      <c r="J16" s="21">
        <f t="shared" si="1"/>
        <v>0</v>
      </c>
      <c r="K16" s="21">
        <f t="shared" si="1"/>
        <v>0</v>
      </c>
      <c r="L16" s="21">
        <f t="shared" ca="1" si="1"/>
        <v>0</v>
      </c>
      <c r="M16" s="21">
        <f t="shared" si="1"/>
        <v>0</v>
      </c>
      <c r="N16" s="21">
        <f t="shared" ca="1" si="1"/>
        <v>982.1508235432749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0.21609571624044591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1767.8752075800385</v>
      </c>
      <c r="C20" s="23">
        <f t="shared" ref="C20:P20" ca="1" si="2">C16*C18</f>
        <v>0</v>
      </c>
      <c r="D20" s="23">
        <f t="shared" ca="1" si="2"/>
        <v>3469.8798798542794</v>
      </c>
      <c r="E20" s="23">
        <f t="shared" si="2"/>
        <v>30.814686783769972</v>
      </c>
      <c r="F20" s="23">
        <f t="shared" ca="1" si="2"/>
        <v>538.87786875971494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2409.5426782999998</v>
      </c>
      <c r="C26" s="39">
        <f>IF(ISERROR(B26*3.6/1000000/'E Balans VL '!Z12*100),0,B26*3.6/1000000/'E Balans VL '!Z12*100)</f>
        <v>5.1614276070001831E-2</v>
      </c>
      <c r="D26" s="237" t="s">
        <v>660</v>
      </c>
      <c r="F26" s="6"/>
    </row>
    <row r="27" spans="1:18">
      <c r="A27" s="231" t="s">
        <v>53</v>
      </c>
      <c r="B27" s="33">
        <f>IF(ISERROR(TER_horeca_ele_kWh/1000),0,TER_horeca_ele_kWh/1000)</f>
        <v>357.97545392000001</v>
      </c>
      <c r="C27" s="39">
        <f>IF(ISERROR(B27*3.6/1000000/'E Balans VL '!Z9*100),0,B27*3.6/1000000/'E Balans VL '!Z9*100)</f>
        <v>2.8726285867103053E-2</v>
      </c>
      <c r="D27" s="237" t="s">
        <v>660</v>
      </c>
      <c r="F27" s="6"/>
    </row>
    <row r="28" spans="1:18">
      <c r="A28" s="171" t="s">
        <v>52</v>
      </c>
      <c r="B28" s="33">
        <f>IF(ISERROR(TER_handel_ele_kWh/1000),0,TER_handel_ele_kWh/1000)</f>
        <v>1479.2943418</v>
      </c>
      <c r="C28" s="39">
        <f>IF(ISERROR(B28*3.6/1000000/'E Balans VL '!Z13*100),0,B28*3.6/1000000/'E Balans VL '!Z13*100)</f>
        <v>4.363069818919036E-2</v>
      </c>
      <c r="D28" s="237" t="s">
        <v>660</v>
      </c>
      <c r="F28" s="6"/>
    </row>
    <row r="29" spans="1:18">
      <c r="A29" s="231" t="s">
        <v>51</v>
      </c>
      <c r="B29" s="33">
        <f>IF(ISERROR(TER_gezond_ele_kWh/1000),0,TER_gezond_ele_kWh/1000)</f>
        <v>454.94043852000004</v>
      </c>
      <c r="C29" s="39">
        <f>IF(ISERROR(B29*3.6/1000000/'E Balans VL '!Z10*100),0,B29*3.6/1000000/'E Balans VL '!Z10*100)</f>
        <v>4.8575441423380154E-2</v>
      </c>
      <c r="D29" s="237" t="s">
        <v>660</v>
      </c>
      <c r="F29" s="6"/>
    </row>
    <row r="30" spans="1:18">
      <c r="A30" s="231" t="s">
        <v>50</v>
      </c>
      <c r="B30" s="33">
        <f>IF(ISERROR(TER_ander_ele_kWh/1000),0,TER_ander_ele_kWh/1000)</f>
        <v>953.3088535899999</v>
      </c>
      <c r="C30" s="39">
        <f>IF(ISERROR(B30*3.6/1000000/'E Balans VL '!Z14*100),0,B30*3.6/1000000/'E Balans VL '!Z14*100)</f>
        <v>7.2007161204520692E-2</v>
      </c>
      <c r="D30" s="237" t="s">
        <v>660</v>
      </c>
      <c r="F30" s="6"/>
    </row>
    <row r="31" spans="1:18">
      <c r="A31" s="231" t="s">
        <v>55</v>
      </c>
      <c r="B31" s="33">
        <f>IF(ISERROR(TER_onderwijs_ele_kWh/1000),0,TER_onderwijs_ele_kWh/1000)</f>
        <v>18.706221652</v>
      </c>
      <c r="C31" s="39">
        <f>IF(ISERROR(B31*3.6/1000000/'E Balans VL '!Z11*100),0,B31*3.6/1000000/'E Balans VL '!Z11*100)</f>
        <v>3.7774106134598568E-3</v>
      </c>
      <c r="D31" s="237" t="s">
        <v>660</v>
      </c>
    </row>
    <row r="32" spans="1:18">
      <c r="A32" s="231" t="s">
        <v>260</v>
      </c>
      <c r="B32" s="33">
        <f>IF(ISERROR(TER_rest_ele_kWh/1000),0,TER_rest_ele_kWh/1000)</f>
        <v>2507.2142100000001</v>
      </c>
      <c r="C32" s="39">
        <f>IF(ISERROR(B32*3.6/1000000/'E Balans VL '!Z8*100),0,B32*3.6/1000000/'E Balans VL '!Z8*100)</f>
        <v>2.0788297071500983E-2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580.66550900799996</v>
      </c>
      <c r="C5" s="17">
        <f>IF(ISERROR('Eigen informatie GS &amp; warmtenet'!B59),0,'Eigen informatie GS &amp; warmtenet'!B59)</f>
        <v>0</v>
      </c>
      <c r="D5" s="30">
        <f>SUM(D6:D15)</f>
        <v>802.20590753269994</v>
      </c>
      <c r="E5" s="17">
        <f>SUM(E6:E15)</f>
        <v>105.78125883707597</v>
      </c>
      <c r="F5" s="17">
        <f>SUM(F6:F15)</f>
        <v>385.42817573104287</v>
      </c>
      <c r="G5" s="18"/>
      <c r="H5" s="17"/>
      <c r="I5" s="17"/>
      <c r="J5" s="17">
        <f>SUM(J6:J15)</f>
        <v>1.0346681698008267</v>
      </c>
      <c r="K5" s="17"/>
      <c r="L5" s="17"/>
      <c r="M5" s="17"/>
      <c r="N5" s="17">
        <f>SUM(N6:N15)</f>
        <v>147.31155352806564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76.42107176799999</v>
      </c>
      <c r="C8" s="33"/>
      <c r="D8" s="37">
        <f>IF( ISERROR(IND_metaal_Gas_kWH/1000),0,IND_metaal_Gas_kWH/1000)*0.902</f>
        <v>0</v>
      </c>
      <c r="E8" s="33">
        <f>C30*'E Balans VL '!I18/100/3.6*1000000</f>
        <v>2.7498613516266066</v>
      </c>
      <c r="F8" s="33">
        <f>C30*'E Balans VL '!L18/100/3.6*1000000+C30*'E Balans VL '!N18/100/3.6*1000000</f>
        <v>33.370604736471755</v>
      </c>
      <c r="G8" s="34"/>
      <c r="H8" s="33"/>
      <c r="I8" s="33"/>
      <c r="J8" s="40">
        <f>C30*'E Balans VL '!D18/100/3.6*1000000+C30*'E Balans VL '!E18/100/3.6*1000000</f>
        <v>0</v>
      </c>
      <c r="K8" s="33"/>
      <c r="L8" s="33"/>
      <c r="M8" s="33"/>
      <c r="N8" s="33">
        <f>C30*'E Balans VL '!Y18/100/3.6*1000000</f>
        <v>3.8301721833910265</v>
      </c>
      <c r="O8" s="33"/>
      <c r="P8" s="33"/>
      <c r="R8" s="32"/>
    </row>
    <row r="9" spans="1:18">
      <c r="A9" s="6" t="s">
        <v>33</v>
      </c>
      <c r="B9" s="37">
        <f t="shared" si="0"/>
        <v>376.61973974</v>
      </c>
      <c r="C9" s="33"/>
      <c r="D9" s="37">
        <f>IF( ISERROR(IND_andere_gas_kWh/1000),0,IND_andere_gas_kWh/1000)*0.902</f>
        <v>456.54415972308004</v>
      </c>
      <c r="E9" s="33">
        <f>C31*'E Balans VL '!I19/100/3.6*1000000</f>
        <v>96.104836321364743</v>
      </c>
      <c r="F9" s="33">
        <f>C31*'E Balans VL '!L19/100/3.6*1000000+C31*'E Balans VL '!N19/100/3.6*1000000</f>
        <v>324.2412880759868</v>
      </c>
      <c r="G9" s="34"/>
      <c r="H9" s="33"/>
      <c r="I9" s="33"/>
      <c r="J9" s="40">
        <f>C31*'E Balans VL '!D19/100/3.6*1000000+C31*'E Balans VL '!E19/100/3.6*1000000</f>
        <v>0</v>
      </c>
      <c r="K9" s="33"/>
      <c r="L9" s="33"/>
      <c r="M9" s="33"/>
      <c r="N9" s="33">
        <f>C31*'E Balans VL '!Y19/100/3.6*1000000</f>
        <v>117.78189049574536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127.6246975</v>
      </c>
      <c r="C15" s="33"/>
      <c r="D15" s="37">
        <f>IF( ISERROR(IND_rest_gas_kWh/1000),0,IND_rest_gas_kWh/1000)*0.902</f>
        <v>345.66174780961995</v>
      </c>
      <c r="E15" s="33">
        <f>C37*'E Balans VL '!I15/100/3.6*1000000</f>
        <v>6.9265611640846156</v>
      </c>
      <c r="F15" s="33">
        <f>C37*'E Balans VL '!L15/100/3.6*1000000+C37*'E Balans VL '!N15/100/3.6*1000000</f>
        <v>27.816282918584331</v>
      </c>
      <c r="G15" s="34"/>
      <c r="H15" s="33"/>
      <c r="I15" s="33"/>
      <c r="J15" s="40">
        <f>C37*'E Balans VL '!D15/100/3.6*1000000+C37*'E Balans VL '!E15/100/3.6*1000000</f>
        <v>1.0346681698008267</v>
      </c>
      <c r="K15" s="33"/>
      <c r="L15" s="33"/>
      <c r="M15" s="33"/>
      <c r="N15" s="33">
        <f>C37*'E Balans VL '!Y15/100/3.6*1000000</f>
        <v>25.699490848929244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580.66550900799996</v>
      </c>
      <c r="C18" s="21">
        <f>C5+C16</f>
        <v>0</v>
      </c>
      <c r="D18" s="21">
        <f>MAX((D5+D16),0)</f>
        <v>802.20590753269994</v>
      </c>
      <c r="E18" s="21">
        <f>MAX((E5+E16),0)</f>
        <v>105.78125883707597</v>
      </c>
      <c r="F18" s="21">
        <f>MAX((F5+F16),0)</f>
        <v>385.42817573104287</v>
      </c>
      <c r="G18" s="21"/>
      <c r="H18" s="21"/>
      <c r="I18" s="21"/>
      <c r="J18" s="21">
        <f>MAX((J5+J16),0)</f>
        <v>1.0346681698008267</v>
      </c>
      <c r="K18" s="21"/>
      <c r="L18" s="21">
        <f>MAX((L5+L16),0)</f>
        <v>0</v>
      </c>
      <c r="M18" s="21"/>
      <c r="N18" s="21">
        <f>MAX((N5+N16),0)</f>
        <v>147.31155352806564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0.21609571624044591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125.47932906520684</v>
      </c>
      <c r="C22" s="23">
        <f ca="1">C18*C20</f>
        <v>0</v>
      </c>
      <c r="D22" s="23">
        <f>D18*D20</f>
        <v>162.04559332160539</v>
      </c>
      <c r="E22" s="23">
        <f>E18*E20</f>
        <v>24.012345756016245</v>
      </c>
      <c r="F22" s="23">
        <f>F18*F20</f>
        <v>102.90932292018846</v>
      </c>
      <c r="G22" s="23"/>
      <c r="H22" s="23"/>
      <c r="I22" s="23"/>
      <c r="J22" s="23">
        <f>J18*J20</f>
        <v>0.36627253210949262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76.42107176799999</v>
      </c>
      <c r="C30" s="39">
        <f>IF(ISERROR(B30*3.6/1000000/'E Balans VL '!Z18*100),0,B30*3.6/1000000/'E Balans VL '!Z18*100)</f>
        <v>1.6191986683042059E-2</v>
      </c>
      <c r="D30" s="237" t="s">
        <v>660</v>
      </c>
    </row>
    <row r="31" spans="1:18">
      <c r="A31" s="6" t="s">
        <v>33</v>
      </c>
      <c r="B31" s="37">
        <f>IF( ISERROR(IND_ander_ele_kWh/1000),0,IND_ander_ele_kWh/1000)</f>
        <v>376.61973974</v>
      </c>
      <c r="C31" s="39">
        <f>IF(ISERROR(B31*3.6/1000000/'E Balans VL '!Z19*100),0,B31*3.6/1000000/'E Balans VL '!Z19*100)</f>
        <v>1.5852780022969231E-2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127.6246975</v>
      </c>
      <c r="C37" s="39">
        <f>IF(ISERROR(B37*3.6/1000000/'E Balans VL '!Z15*100),0,B37*3.6/1000000/'E Balans VL '!Z15*100)</f>
        <v>1.030363601465409E-3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71.480301447999992</v>
      </c>
      <c r="C5" s="17">
        <f>'Eigen informatie GS &amp; warmtenet'!B60</f>
        <v>0</v>
      </c>
      <c r="D5" s="30">
        <f>IF(ISERROR(SUM(LB_lb_gas_kWh,LB_rest_gas_kWh)/1000),0,SUM(LB_lb_gas_kWh,LB_rest_gas_kWh)/1000)*0.902</f>
        <v>40.820605517537999</v>
      </c>
      <c r="E5" s="17">
        <f>B17*'E Balans VL '!I25/3.6*1000000/100</f>
        <v>1.8432025217171333</v>
      </c>
      <c r="F5" s="17">
        <f>B17*('E Balans VL '!L25/3.6*1000000+'E Balans VL '!N25/3.6*1000000)/100</f>
        <v>261.27411455458173</v>
      </c>
      <c r="G5" s="18"/>
      <c r="H5" s="17"/>
      <c r="I5" s="17"/>
      <c r="J5" s="17">
        <f>('E Balans VL '!D25+'E Balans VL '!E25)/3.6*1000000*landbouw!B17/100</f>
        <v>10.29053388717508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71.480301447999992</v>
      </c>
      <c r="C8" s="21">
        <f>C5+C6</f>
        <v>0</v>
      </c>
      <c r="D8" s="21">
        <f>MAX((D5+D6),0)</f>
        <v>40.820605517537999</v>
      </c>
      <c r="E8" s="21">
        <f>MAX((E5+E6),0)</f>
        <v>1.8432025217171333</v>
      </c>
      <c r="F8" s="21">
        <f>MAX((F5+F6),0)</f>
        <v>261.27411455458173</v>
      </c>
      <c r="G8" s="21"/>
      <c r="H8" s="21"/>
      <c r="I8" s="21"/>
      <c r="J8" s="21">
        <f>MAX((J5+J6),0)</f>
        <v>10.29053388717508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0.21609571624044591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15.44658693848854</v>
      </c>
      <c r="C12" s="23">
        <f ca="1">C8*C10</f>
        <v>0</v>
      </c>
      <c r="D12" s="23">
        <f>D8*D10</f>
        <v>8.2457623145426755</v>
      </c>
      <c r="E12" s="23">
        <f>E8*E10</f>
        <v>0.41840697242978925</v>
      </c>
      <c r="F12" s="23">
        <f>F8*F10</f>
        <v>69.760188586073326</v>
      </c>
      <c r="G12" s="23"/>
      <c r="H12" s="23"/>
      <c r="I12" s="23"/>
      <c r="J12" s="23">
        <f>J8*J10</f>
        <v>3.6428489960599779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1.0079195979068124E-2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0.996</v>
      </c>
      <c r="C26" s="247">
        <f>B26*'GWP N2O_CH4'!B5</f>
        <v>20.916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8.4809999999999997E-2</v>
      </c>
      <c r="C27" s="247">
        <f>B27*'GWP N2O_CH4'!B5</f>
        <v>1.78101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5.1693026244634104E-3</v>
      </c>
      <c r="C28" s="247">
        <f>B28*'GWP N2O_CH4'!B4</f>
        <v>1.6024838135836572</v>
      </c>
      <c r="D28" s="50"/>
    </row>
    <row r="29" spans="1:4">
      <c r="A29" s="41" t="s">
        <v>277</v>
      </c>
      <c r="B29" s="247">
        <f>B34*'ha_N2O bodem landbouw'!B4</f>
        <v>0.63483706766504922</v>
      </c>
      <c r="C29" s="247">
        <f>B29*'GWP N2O_CH4'!B4</f>
        <v>196.79949097616526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1.4287283827442039E-4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9.2575523583826672E-5</v>
      </c>
      <c r="C5" s="463" t="s">
        <v>211</v>
      </c>
      <c r="D5" s="448">
        <f>SUM(D6:D11)</f>
        <v>2.1067993099118477E-4</v>
      </c>
      <c r="E5" s="448">
        <f>SUM(E6:E11)</f>
        <v>9.4338306402178777E-4</v>
      </c>
      <c r="F5" s="461" t="s">
        <v>211</v>
      </c>
      <c r="G5" s="448">
        <f>SUM(G6:G11)</f>
        <v>0.28917644842643681</v>
      </c>
      <c r="H5" s="448">
        <f>SUM(H6:H11)</f>
        <v>5.8176973986232963E-2</v>
      </c>
      <c r="I5" s="463" t="s">
        <v>211</v>
      </c>
      <c r="J5" s="463" t="s">
        <v>211</v>
      </c>
      <c r="K5" s="463" t="s">
        <v>211</v>
      </c>
      <c r="L5" s="463" t="s">
        <v>211</v>
      </c>
      <c r="M5" s="448">
        <f>SUM(M6:M11)</f>
        <v>1.0853620683344311E-2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1.5240790749031511E-5</v>
      </c>
      <c r="C6" s="449"/>
      <c r="D6" s="892">
        <f>vkm_2011_GW_PW*SUMIFS(TableVerdeelsleutelVkm[CNG],TableVerdeelsleutelVkm[Voertuigtype],"Lichte voertuigen")*SUMIFS(TableECFTransport[EnergieConsumptieFactor (PJ per km)],TableECFTransport[Index],CONCATENATE($A6,"_CNG_CNG"))</f>
        <v>3.0283718184161983E-5</v>
      </c>
      <c r="E6" s="892">
        <f>vkm_2011_GW_PW*SUMIFS(TableVerdeelsleutelVkm[LPG],TableVerdeelsleutelVkm[Voertuigtype],"Lichte voertuigen")*SUMIFS(TableECFTransport[EnergieConsumptieFactor (PJ per km)],TableECFTransport[Index],CONCATENATE($A6,"_LPG_LPG"))</f>
        <v>1.1917728695383973E-4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2.8336269626458865E-2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8.1987135779724787E-3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1.1384638135468429E-3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5.236163290510105E-3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1.6915043977362237E-6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1.6498349355584572E-4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1.3581427838869736E-5</v>
      </c>
      <c r="C8" s="449"/>
      <c r="D8" s="451">
        <f>vkm_2011_NGW_PW*SUMIFS(TableVerdeelsleutelVkm[CNG],TableVerdeelsleutelVkm[Voertuigtype],"Lichte voertuigen")*SUMIFS(TableECFTransport[EnergieConsumptieFactor (PJ per km)],TableECFTransport[Index],CONCATENATE($A8,"_CNG_CNG"))</f>
        <v>4.7783309085896701E-5</v>
      </c>
      <c r="E8" s="451">
        <f>vkm_2011_NGW_PW*SUMIFS(TableVerdeelsleutelVkm[LPG],TableVerdeelsleutelVkm[Voertuigtype],"Lichte voertuigen")*SUMIFS(TableECFTransport[EnergieConsumptieFactor (PJ per km)],TableECFTransport[Index],CONCATENATE($A8,"_LPG_LPG"))</f>
        <v>1.7390789568282023E-4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3.8612441570521343E-2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1.254381834186331E-2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1.5924744093856777E-3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7.0489454242459533E-4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2.1535125958580115E-7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2.2209777779675172E-5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6.3753304995925431E-5</v>
      </c>
      <c r="C10" s="449"/>
      <c r="D10" s="451">
        <f>vkm_2011_SW_PW*SUMIFS(TableVerdeelsleutelVkm[CNG],TableVerdeelsleutelVkm[Voertuigtype],"Lichte voertuigen")*SUMIFS(TableECFTransport[EnergieConsumptieFactor (PJ per km)],TableECFTransport[Index],CONCATENATE($A10,"_CNG_CNG"))</f>
        <v>1.3261290372112609E-4</v>
      </c>
      <c r="E10" s="451">
        <f>vkm_2011_SW_PW*SUMIFS(TableVerdeelsleutelVkm[LPG],TableVerdeelsleutelVkm[Voertuigtype],"Lichte voertuigen")*SUMIFS(TableECFTransport[EnergieConsumptieFactor (PJ per km)],TableECFTransport[Index],CONCATENATE($A10,"_LPG_LPG"))</f>
        <v>6.5029788138512784E-4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0.13850598225943872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3.7405462978745432E-2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5.4846800735148761E-3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7.7780697137083174E-2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2.70722319944204E-5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2.4508091155613938E-3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25.715423217729629</v>
      </c>
      <c r="C14" s="21"/>
      <c r="D14" s="21">
        <f t="shared" ref="D14:M14" si="0">((D5)*10^9/3600)+D12</f>
        <v>58.522203053106885</v>
      </c>
      <c r="E14" s="21">
        <f t="shared" si="0"/>
        <v>262.05085111716323</v>
      </c>
      <c r="F14" s="21"/>
      <c r="G14" s="21">
        <f t="shared" si="0"/>
        <v>80326.791229565773</v>
      </c>
      <c r="H14" s="21">
        <f t="shared" si="0"/>
        <v>16160.270551731379</v>
      </c>
      <c r="I14" s="21"/>
      <c r="J14" s="21"/>
      <c r="K14" s="21"/>
      <c r="L14" s="21"/>
      <c r="M14" s="21">
        <f t="shared" si="0"/>
        <v>3014.894634262309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0.21609571624044591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5.5569927986614767</v>
      </c>
      <c r="C18" s="23"/>
      <c r="D18" s="23">
        <f t="shared" ref="D18:M18" si="1">D14*D16</f>
        <v>11.821485016727591</v>
      </c>
      <c r="E18" s="23">
        <f t="shared" si="1"/>
        <v>59.485543203596059</v>
      </c>
      <c r="F18" s="23"/>
      <c r="G18" s="23">
        <f t="shared" si="1"/>
        <v>21447.253258294062</v>
      </c>
      <c r="H18" s="23">
        <f t="shared" si="1"/>
        <v>4023.9073673811135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2.0844890659818178E-3</v>
      </c>
      <c r="H50" s="321">
        <f t="shared" si="2"/>
        <v>0</v>
      </c>
      <c r="I50" s="321">
        <f t="shared" si="2"/>
        <v>0</v>
      </c>
      <c r="J50" s="321">
        <f t="shared" si="2"/>
        <v>0</v>
      </c>
      <c r="K50" s="321">
        <f t="shared" si="2"/>
        <v>0</v>
      </c>
      <c r="L50" s="321">
        <f t="shared" si="2"/>
        <v>0</v>
      </c>
      <c r="M50" s="321">
        <f t="shared" si="2"/>
        <v>6.465618744515468E-5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2.0844890659818178E-3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6.465618744515468E-5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579.02474055050493</v>
      </c>
      <c r="H54" s="21">
        <f t="shared" si="3"/>
        <v>0</v>
      </c>
      <c r="I54" s="21">
        <f t="shared" si="3"/>
        <v>0</v>
      </c>
      <c r="J54" s="21">
        <f t="shared" si="3"/>
        <v>0</v>
      </c>
      <c r="K54" s="21">
        <f t="shared" si="3"/>
        <v>0</v>
      </c>
      <c r="L54" s="21">
        <f t="shared" si="3"/>
        <v>0</v>
      </c>
      <c r="M54" s="21">
        <f t="shared" si="3"/>
        <v>17.960052068098523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0.21609571624044591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154.59960572698483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9157.7301977819989</v>
      </c>
      <c r="D10" s="1012">
        <f ca="1">tertiair!C16</f>
        <v>0</v>
      </c>
      <c r="E10" s="1012">
        <f ca="1">tertiair!D16</f>
        <v>17177.62316759544</v>
      </c>
      <c r="F10" s="1012">
        <f>tertiair!E16</f>
        <v>135.74751887123335</v>
      </c>
      <c r="G10" s="1012">
        <f ca="1">tertiair!F16</f>
        <v>2018.2691713847003</v>
      </c>
      <c r="H10" s="1012">
        <f>tertiair!G16</f>
        <v>0</v>
      </c>
      <c r="I10" s="1012">
        <f>tertiair!H16</f>
        <v>0</v>
      </c>
      <c r="J10" s="1012">
        <f>tertiair!I16</f>
        <v>0</v>
      </c>
      <c r="K10" s="1012">
        <f>tertiair!J16</f>
        <v>0</v>
      </c>
      <c r="L10" s="1012">
        <f>tertiair!K16</f>
        <v>0</v>
      </c>
      <c r="M10" s="1012">
        <f ca="1">tertiair!L16</f>
        <v>0</v>
      </c>
      <c r="N10" s="1012">
        <f>tertiair!M16</f>
        <v>0</v>
      </c>
      <c r="O10" s="1012">
        <f ca="1">tertiair!N16</f>
        <v>982.1508235432749</v>
      </c>
      <c r="P10" s="1012">
        <f>tertiair!O16</f>
        <v>0</v>
      </c>
      <c r="Q10" s="1013">
        <f>tertiair!P16</f>
        <v>0</v>
      </c>
      <c r="R10" s="700">
        <f ca="1">SUM(C10:Q10)</f>
        <v>29471.520879176649</v>
      </c>
      <c r="S10" s="67"/>
    </row>
    <row r="11" spans="1:19" s="473" customFormat="1">
      <c r="A11" s="809" t="s">
        <v>225</v>
      </c>
      <c r="B11" s="814"/>
      <c r="C11" s="1012">
        <f>huishoudens!B8</f>
        <v>21642.972741355086</v>
      </c>
      <c r="D11" s="1012">
        <f>huishoudens!C8</f>
        <v>0</v>
      </c>
      <c r="E11" s="1012">
        <f>huishoudens!D8</f>
        <v>82233.704768710013</v>
      </c>
      <c r="F11" s="1012">
        <f>huishoudens!E8</f>
        <v>2187.5967433343062</v>
      </c>
      <c r="G11" s="1012">
        <f>huishoudens!F8</f>
        <v>6370.3417379776483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2531.1892408515746</v>
      </c>
      <c r="P11" s="1012">
        <f>huishoudens!O8</f>
        <v>82.856666666666683</v>
      </c>
      <c r="Q11" s="1013">
        <f>huishoudens!P8</f>
        <v>400.4</v>
      </c>
      <c r="R11" s="700">
        <f>SUM(C11:Q11)</f>
        <v>115449.06189889529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580.66550900799996</v>
      </c>
      <c r="D13" s="1012">
        <f>industrie!C18</f>
        <v>0</v>
      </c>
      <c r="E13" s="1012">
        <f>industrie!D18</f>
        <v>802.20590753269994</v>
      </c>
      <c r="F13" s="1012">
        <f>industrie!E18</f>
        <v>105.78125883707597</v>
      </c>
      <c r="G13" s="1012">
        <f>industrie!F18</f>
        <v>385.42817573104287</v>
      </c>
      <c r="H13" s="1012">
        <f>industrie!G18</f>
        <v>0</v>
      </c>
      <c r="I13" s="1012">
        <f>industrie!H18</f>
        <v>0</v>
      </c>
      <c r="J13" s="1012">
        <f>industrie!I18</f>
        <v>0</v>
      </c>
      <c r="K13" s="1012">
        <f>industrie!J18</f>
        <v>1.0346681698008267</v>
      </c>
      <c r="L13" s="1012">
        <f>industrie!K18</f>
        <v>0</v>
      </c>
      <c r="M13" s="1012">
        <f>industrie!L18</f>
        <v>0</v>
      </c>
      <c r="N13" s="1012">
        <f>industrie!M18</f>
        <v>0</v>
      </c>
      <c r="O13" s="1012">
        <f>industrie!N18</f>
        <v>147.31155352806564</v>
      </c>
      <c r="P13" s="1012">
        <f>industrie!O18</f>
        <v>0</v>
      </c>
      <c r="Q13" s="1013">
        <f>industrie!P18</f>
        <v>0</v>
      </c>
      <c r="R13" s="700">
        <f>SUM(C13:Q13)</f>
        <v>2022.4270728066854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31381.368448145084</v>
      </c>
      <c r="D16" s="732">
        <f t="shared" ref="D16:R16" ca="1" si="0">SUM(D9:D15)</f>
        <v>0</v>
      </c>
      <c r="E16" s="732">
        <f t="shared" ca="1" si="0"/>
        <v>100213.53384383816</v>
      </c>
      <c r="F16" s="732">
        <f t="shared" si="0"/>
        <v>2429.1255210426157</v>
      </c>
      <c r="G16" s="732">
        <f t="shared" ca="1" si="0"/>
        <v>8774.0390850933927</v>
      </c>
      <c r="H16" s="732">
        <f t="shared" si="0"/>
        <v>0</v>
      </c>
      <c r="I16" s="732">
        <f t="shared" si="0"/>
        <v>0</v>
      </c>
      <c r="J16" s="732">
        <f t="shared" si="0"/>
        <v>0</v>
      </c>
      <c r="K16" s="732">
        <f t="shared" si="0"/>
        <v>1.0346681698008267</v>
      </c>
      <c r="L16" s="732">
        <f t="shared" si="0"/>
        <v>0</v>
      </c>
      <c r="M16" s="732">
        <f t="shared" ca="1" si="0"/>
        <v>0</v>
      </c>
      <c r="N16" s="732">
        <f t="shared" si="0"/>
        <v>0</v>
      </c>
      <c r="O16" s="732">
        <f t="shared" ca="1" si="0"/>
        <v>3660.6516179229152</v>
      </c>
      <c r="P16" s="732">
        <f t="shared" si="0"/>
        <v>82.856666666666683</v>
      </c>
      <c r="Q16" s="732">
        <f t="shared" si="0"/>
        <v>400.4</v>
      </c>
      <c r="R16" s="732">
        <f t="shared" ca="1" si="0"/>
        <v>146943.00985087862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579.02474055050493</v>
      </c>
      <c r="I19" s="1012">
        <f>transport!H54</f>
        <v>0</v>
      </c>
      <c r="J19" s="1012">
        <f>transport!I54</f>
        <v>0</v>
      </c>
      <c r="K19" s="1012">
        <f>transport!J54</f>
        <v>0</v>
      </c>
      <c r="L19" s="1012">
        <f>transport!K54</f>
        <v>0</v>
      </c>
      <c r="M19" s="1012">
        <f>transport!L54</f>
        <v>0</v>
      </c>
      <c r="N19" s="1012">
        <f>transport!M54</f>
        <v>17.960052068098523</v>
      </c>
      <c r="O19" s="1012">
        <f>transport!N54</f>
        <v>0</v>
      </c>
      <c r="P19" s="1012">
        <f>transport!O54</f>
        <v>0</v>
      </c>
      <c r="Q19" s="1013">
        <f>transport!P54</f>
        <v>0</v>
      </c>
      <c r="R19" s="700">
        <f>SUM(C19:Q19)</f>
        <v>596.98479261860348</v>
      </c>
      <c r="S19" s="67"/>
    </row>
    <row r="20" spans="1:19" s="473" customFormat="1">
      <c r="A20" s="809" t="s">
        <v>307</v>
      </c>
      <c r="B20" s="814"/>
      <c r="C20" s="1012">
        <f>transport!B14</f>
        <v>25.715423217729629</v>
      </c>
      <c r="D20" s="1012">
        <f>transport!C14</f>
        <v>0</v>
      </c>
      <c r="E20" s="1012">
        <f>transport!D14</f>
        <v>58.522203053106885</v>
      </c>
      <c r="F20" s="1012">
        <f>transport!E14</f>
        <v>262.05085111716323</v>
      </c>
      <c r="G20" s="1012">
        <f>transport!F14</f>
        <v>0</v>
      </c>
      <c r="H20" s="1012">
        <f>transport!G14</f>
        <v>80326.791229565773</v>
      </c>
      <c r="I20" s="1012">
        <f>transport!H14</f>
        <v>16160.270551731379</v>
      </c>
      <c r="J20" s="1012">
        <f>transport!I14</f>
        <v>0</v>
      </c>
      <c r="K20" s="1012">
        <f>transport!J14</f>
        <v>0</v>
      </c>
      <c r="L20" s="1012">
        <f>transport!K14</f>
        <v>0</v>
      </c>
      <c r="M20" s="1012">
        <f>transport!L14</f>
        <v>0</v>
      </c>
      <c r="N20" s="1012">
        <f>transport!M14</f>
        <v>3014.894634262309</v>
      </c>
      <c r="O20" s="1012">
        <f>transport!N14</f>
        <v>0</v>
      </c>
      <c r="P20" s="1012">
        <f>transport!O14</f>
        <v>0</v>
      </c>
      <c r="Q20" s="1013">
        <f>transport!P14</f>
        <v>0</v>
      </c>
      <c r="R20" s="700">
        <f>SUM(C20:Q20)</f>
        <v>99848.244892947463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25.715423217729629</v>
      </c>
      <c r="D22" s="812">
        <f t="shared" ref="D22:R22" si="1">SUM(D18:D21)</f>
        <v>0</v>
      </c>
      <c r="E22" s="812">
        <f t="shared" si="1"/>
        <v>58.522203053106885</v>
      </c>
      <c r="F22" s="812">
        <f t="shared" si="1"/>
        <v>262.05085111716323</v>
      </c>
      <c r="G22" s="812">
        <f t="shared" si="1"/>
        <v>0</v>
      </c>
      <c r="H22" s="812">
        <f t="shared" si="1"/>
        <v>80905.81597011628</v>
      </c>
      <c r="I22" s="812">
        <f t="shared" si="1"/>
        <v>16160.270551731379</v>
      </c>
      <c r="J22" s="812">
        <f t="shared" si="1"/>
        <v>0</v>
      </c>
      <c r="K22" s="812">
        <f t="shared" si="1"/>
        <v>0</v>
      </c>
      <c r="L22" s="812">
        <f t="shared" si="1"/>
        <v>0</v>
      </c>
      <c r="M22" s="812">
        <f t="shared" si="1"/>
        <v>0</v>
      </c>
      <c r="N22" s="812">
        <f t="shared" si="1"/>
        <v>3032.8546863304073</v>
      </c>
      <c r="O22" s="812">
        <f t="shared" si="1"/>
        <v>0</v>
      </c>
      <c r="P22" s="812">
        <f t="shared" si="1"/>
        <v>0</v>
      </c>
      <c r="Q22" s="812">
        <f t="shared" si="1"/>
        <v>0</v>
      </c>
      <c r="R22" s="812">
        <f t="shared" si="1"/>
        <v>100445.22968556607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71.480301447999992</v>
      </c>
      <c r="D24" s="1012">
        <f>+landbouw!C8</f>
        <v>0</v>
      </c>
      <c r="E24" s="1012">
        <f>+landbouw!D8</f>
        <v>40.820605517537999</v>
      </c>
      <c r="F24" s="1012">
        <f>+landbouw!E8</f>
        <v>1.8432025217171333</v>
      </c>
      <c r="G24" s="1012">
        <f>+landbouw!F8</f>
        <v>261.27411455458173</v>
      </c>
      <c r="H24" s="1012">
        <f>+landbouw!G8</f>
        <v>0</v>
      </c>
      <c r="I24" s="1012">
        <f>+landbouw!H8</f>
        <v>0</v>
      </c>
      <c r="J24" s="1012">
        <f>+landbouw!I8</f>
        <v>0</v>
      </c>
      <c r="K24" s="1012">
        <f>+landbouw!J8</f>
        <v>10.29053388717508</v>
      </c>
      <c r="L24" s="1012">
        <f>+landbouw!K8</f>
        <v>0</v>
      </c>
      <c r="M24" s="1012">
        <f>+landbouw!L8</f>
        <v>0</v>
      </c>
      <c r="N24" s="1012">
        <f>+landbouw!M8</f>
        <v>0</v>
      </c>
      <c r="O24" s="1012">
        <f>+landbouw!N8</f>
        <v>0</v>
      </c>
      <c r="P24" s="1012">
        <f>+landbouw!O8</f>
        <v>0</v>
      </c>
      <c r="Q24" s="1013">
        <f>+landbouw!P8</f>
        <v>0</v>
      </c>
      <c r="R24" s="700">
        <f>SUM(C24:Q24)</f>
        <v>385.70875792901194</v>
      </c>
      <c r="S24" s="67"/>
    </row>
    <row r="25" spans="1:19" s="473" customFormat="1" ht="15" thickBot="1">
      <c r="A25" s="831" t="s">
        <v>848</v>
      </c>
      <c r="B25" s="1015"/>
      <c r="C25" s="1016">
        <f>IF(Onbekend_ele_kWh="---",0,Onbekend_ele_kWh)/1000+IF(REST_rest_ele_kWh="---",0,REST_rest_ele_kWh)/1000</f>
        <v>817.89756534000003</v>
      </c>
      <c r="D25" s="1016"/>
      <c r="E25" s="1016">
        <f>IF(onbekend_gas_kWh="---",0,onbekend_gas_kWh)/1000+IF(REST_rest_gas_kWh="---",0,REST_rest_gas_kWh)/1000</f>
        <v>2240.1517979999999</v>
      </c>
      <c r="F25" s="1016"/>
      <c r="G25" s="1016"/>
      <c r="H25" s="1016"/>
      <c r="I25" s="1016"/>
      <c r="J25" s="1016"/>
      <c r="K25" s="1016"/>
      <c r="L25" s="1016"/>
      <c r="M25" s="1016"/>
      <c r="N25" s="1016"/>
      <c r="O25" s="1016"/>
      <c r="P25" s="1016"/>
      <c r="Q25" s="1017"/>
      <c r="R25" s="700">
        <f>SUM(C25:Q25)</f>
        <v>3058.0493633400001</v>
      </c>
      <c r="S25" s="67"/>
    </row>
    <row r="26" spans="1:19" s="473" customFormat="1" ht="15.75" thickBot="1">
      <c r="A26" s="705" t="s">
        <v>849</v>
      </c>
      <c r="B26" s="817"/>
      <c r="C26" s="812">
        <f>SUM(C24:C25)</f>
        <v>889.37786678800001</v>
      </c>
      <c r="D26" s="812">
        <f t="shared" ref="D26:R26" si="2">SUM(D24:D25)</f>
        <v>0</v>
      </c>
      <c r="E26" s="812">
        <f t="shared" si="2"/>
        <v>2280.9724035175377</v>
      </c>
      <c r="F26" s="812">
        <f t="shared" si="2"/>
        <v>1.8432025217171333</v>
      </c>
      <c r="G26" s="812">
        <f t="shared" si="2"/>
        <v>261.27411455458173</v>
      </c>
      <c r="H26" s="812">
        <f t="shared" si="2"/>
        <v>0</v>
      </c>
      <c r="I26" s="812">
        <f t="shared" si="2"/>
        <v>0</v>
      </c>
      <c r="J26" s="812">
        <f t="shared" si="2"/>
        <v>0</v>
      </c>
      <c r="K26" s="812">
        <f t="shared" si="2"/>
        <v>10.29053388717508</v>
      </c>
      <c r="L26" s="812">
        <f t="shared" si="2"/>
        <v>0</v>
      </c>
      <c r="M26" s="812">
        <f t="shared" si="2"/>
        <v>0</v>
      </c>
      <c r="N26" s="812">
        <f t="shared" si="2"/>
        <v>0</v>
      </c>
      <c r="O26" s="812">
        <f t="shared" si="2"/>
        <v>0</v>
      </c>
      <c r="P26" s="812">
        <f t="shared" si="2"/>
        <v>0</v>
      </c>
      <c r="Q26" s="812">
        <f t="shared" si="2"/>
        <v>0</v>
      </c>
      <c r="R26" s="812">
        <f t="shared" si="2"/>
        <v>3443.758121269012</v>
      </c>
      <c r="S26" s="67"/>
    </row>
    <row r="27" spans="1:19" s="473" customFormat="1" ht="17.25" thickTop="1" thickBot="1">
      <c r="A27" s="706" t="s">
        <v>116</v>
      </c>
      <c r="B27" s="805"/>
      <c r="C27" s="707">
        <f ca="1">C22+C16+C26</f>
        <v>32296.461738150814</v>
      </c>
      <c r="D27" s="707">
        <f t="shared" ref="D27:R27" ca="1" si="3">D22+D16+D26</f>
        <v>0</v>
      </c>
      <c r="E27" s="707">
        <f t="shared" ca="1" si="3"/>
        <v>102553.02845040879</v>
      </c>
      <c r="F27" s="707">
        <f t="shared" si="3"/>
        <v>2693.0195746814961</v>
      </c>
      <c r="G27" s="707">
        <f t="shared" ca="1" si="3"/>
        <v>9035.3131996479751</v>
      </c>
      <c r="H27" s="707">
        <f t="shared" si="3"/>
        <v>80905.81597011628</v>
      </c>
      <c r="I27" s="707">
        <f t="shared" si="3"/>
        <v>16160.270551731379</v>
      </c>
      <c r="J27" s="707">
        <f t="shared" si="3"/>
        <v>0</v>
      </c>
      <c r="K27" s="707">
        <f t="shared" si="3"/>
        <v>11.325202056975908</v>
      </c>
      <c r="L27" s="707">
        <f t="shared" si="3"/>
        <v>0</v>
      </c>
      <c r="M27" s="707">
        <f t="shared" ca="1" si="3"/>
        <v>0</v>
      </c>
      <c r="N27" s="707">
        <f t="shared" si="3"/>
        <v>3032.8546863304073</v>
      </c>
      <c r="O27" s="707">
        <f t="shared" ca="1" si="3"/>
        <v>3660.6516179229152</v>
      </c>
      <c r="P27" s="707">
        <f t="shared" si="3"/>
        <v>82.856666666666683</v>
      </c>
      <c r="Q27" s="707">
        <f t="shared" si="3"/>
        <v>400.4</v>
      </c>
      <c r="R27" s="707">
        <f t="shared" ca="1" si="3"/>
        <v>250831.99765771368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1978.9462662264616</v>
      </c>
      <c r="D40" s="1012">
        <f ca="1">tertiair!C20</f>
        <v>0</v>
      </c>
      <c r="E40" s="1012">
        <f ca="1">tertiair!D20</f>
        <v>3469.8798798542794</v>
      </c>
      <c r="F40" s="1012">
        <f>tertiair!E20</f>
        <v>30.814686783769972</v>
      </c>
      <c r="G40" s="1012">
        <f ca="1">tertiair!F20</f>
        <v>538.87786875971494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6018.5187016242262</v>
      </c>
    </row>
    <row r="41" spans="1:18">
      <c r="A41" s="822" t="s">
        <v>225</v>
      </c>
      <c r="B41" s="829"/>
      <c r="C41" s="1012">
        <f ca="1">huishoudens!B12</f>
        <v>4676.9536961155745</v>
      </c>
      <c r="D41" s="1012">
        <f ca="1">huishoudens!C12</f>
        <v>0</v>
      </c>
      <c r="E41" s="1012">
        <f>huishoudens!D12</f>
        <v>16611.208363279424</v>
      </c>
      <c r="F41" s="1012">
        <f>huishoudens!E12</f>
        <v>496.58446073688754</v>
      </c>
      <c r="G41" s="1012">
        <f>huishoudens!F12</f>
        <v>1700.8812440400322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23485.627764171921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125.47932906520684</v>
      </c>
      <c r="D43" s="1012">
        <f ca="1">industrie!C22</f>
        <v>0</v>
      </c>
      <c r="E43" s="1012">
        <f>industrie!D22</f>
        <v>162.04559332160539</v>
      </c>
      <c r="F43" s="1012">
        <f>industrie!E22</f>
        <v>24.012345756016245</v>
      </c>
      <c r="G43" s="1012">
        <f>industrie!F22</f>
        <v>102.90932292018846</v>
      </c>
      <c r="H43" s="1012">
        <f>industrie!G22</f>
        <v>0</v>
      </c>
      <c r="I43" s="1012">
        <f>industrie!H22</f>
        <v>0</v>
      </c>
      <c r="J43" s="1012">
        <f>industrie!I22</f>
        <v>0</v>
      </c>
      <c r="K43" s="1012">
        <f>industrie!J22</f>
        <v>0.36627253210949262</v>
      </c>
      <c r="L43" s="1012">
        <f>industrie!K22</f>
        <v>0</v>
      </c>
      <c r="M43" s="1012">
        <f>industrie!L22</f>
        <v>0</v>
      </c>
      <c r="N43" s="1012">
        <f>industrie!M22</f>
        <v>0</v>
      </c>
      <c r="O43" s="1012">
        <f>industrie!N22</f>
        <v>0</v>
      </c>
      <c r="P43" s="1012">
        <f>industrie!O22</f>
        <v>0</v>
      </c>
      <c r="Q43" s="774">
        <f>industrie!P22</f>
        <v>0</v>
      </c>
      <c r="R43" s="849">
        <f t="shared" ca="1" si="4"/>
        <v>414.81286359512649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6781.3792914072428</v>
      </c>
      <c r="D46" s="732">
        <f t="shared" ref="D46:Q46" ca="1" si="5">SUM(D39:D45)</f>
        <v>0</v>
      </c>
      <c r="E46" s="732">
        <f t="shared" ca="1" si="5"/>
        <v>20243.133836455308</v>
      </c>
      <c r="F46" s="732">
        <f t="shared" si="5"/>
        <v>551.4114932766737</v>
      </c>
      <c r="G46" s="732">
        <f t="shared" ca="1" si="5"/>
        <v>2342.6684357199356</v>
      </c>
      <c r="H46" s="732">
        <f t="shared" si="5"/>
        <v>0</v>
      </c>
      <c r="I46" s="732">
        <f t="shared" si="5"/>
        <v>0</v>
      </c>
      <c r="J46" s="732">
        <f t="shared" si="5"/>
        <v>0</v>
      </c>
      <c r="K46" s="732">
        <f t="shared" si="5"/>
        <v>0.36627253210949262</v>
      </c>
      <c r="L46" s="732">
        <f t="shared" si="5"/>
        <v>0</v>
      </c>
      <c r="M46" s="732">
        <f t="shared" ca="1" si="5"/>
        <v>0</v>
      </c>
      <c r="N46" s="732">
        <f t="shared" si="5"/>
        <v>0</v>
      </c>
      <c r="O46" s="732">
        <f t="shared" ca="1" si="5"/>
        <v>0</v>
      </c>
      <c r="P46" s="732">
        <f t="shared" si="5"/>
        <v>0</v>
      </c>
      <c r="Q46" s="732">
        <f t="shared" si="5"/>
        <v>0</v>
      </c>
      <c r="R46" s="732">
        <f ca="1">SUM(R39:R45)</f>
        <v>29918.959329391273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154.59960572698483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154.59960572698483</v>
      </c>
    </row>
    <row r="50" spans="1:18">
      <c r="A50" s="825" t="s">
        <v>307</v>
      </c>
      <c r="B50" s="835"/>
      <c r="C50" s="703">
        <f ca="1">transport!B18</f>
        <v>5.5569927986614767</v>
      </c>
      <c r="D50" s="703">
        <f>transport!C18</f>
        <v>0</v>
      </c>
      <c r="E50" s="703">
        <f>transport!D18</f>
        <v>11.821485016727591</v>
      </c>
      <c r="F50" s="703">
        <f>transport!E18</f>
        <v>59.485543203596059</v>
      </c>
      <c r="G50" s="703">
        <f>transport!F18</f>
        <v>0</v>
      </c>
      <c r="H50" s="703">
        <f>transport!G18</f>
        <v>21447.253258294062</v>
      </c>
      <c r="I50" s="703">
        <f>transport!H18</f>
        <v>4023.9073673811135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25548.024646694161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5.5569927986614767</v>
      </c>
      <c r="D52" s="732">
        <f t="shared" ref="D52:Q52" ca="1" si="6">SUM(D48:D51)</f>
        <v>0</v>
      </c>
      <c r="E52" s="732">
        <f t="shared" si="6"/>
        <v>11.821485016727591</v>
      </c>
      <c r="F52" s="732">
        <f t="shared" si="6"/>
        <v>59.485543203596059</v>
      </c>
      <c r="G52" s="732">
        <f t="shared" si="6"/>
        <v>0</v>
      </c>
      <c r="H52" s="732">
        <f t="shared" si="6"/>
        <v>21601.852864021046</v>
      </c>
      <c r="I52" s="732">
        <f t="shared" si="6"/>
        <v>4023.9073673811135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25702.624252421145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15.44658693848854</v>
      </c>
      <c r="D54" s="703">
        <f ca="1">+landbouw!C12</f>
        <v>0</v>
      </c>
      <c r="E54" s="703">
        <f>+landbouw!D12</f>
        <v>8.2457623145426755</v>
      </c>
      <c r="F54" s="703">
        <f>+landbouw!E12</f>
        <v>0.41840697242978925</v>
      </c>
      <c r="G54" s="703">
        <f>+landbouw!F12</f>
        <v>69.760188586073326</v>
      </c>
      <c r="H54" s="703">
        <f>+landbouw!G12</f>
        <v>0</v>
      </c>
      <c r="I54" s="703">
        <f>+landbouw!H12</f>
        <v>0</v>
      </c>
      <c r="J54" s="703">
        <f>+landbouw!I12</f>
        <v>0</v>
      </c>
      <c r="K54" s="703">
        <f>+landbouw!J12</f>
        <v>3.6428489960599779</v>
      </c>
      <c r="L54" s="703">
        <f>+landbouw!K12</f>
        <v>0</v>
      </c>
      <c r="M54" s="703">
        <f>+landbouw!L12</f>
        <v>0</v>
      </c>
      <c r="N54" s="703">
        <f>+landbouw!M12</f>
        <v>0</v>
      </c>
      <c r="O54" s="703">
        <f>+landbouw!N12</f>
        <v>0</v>
      </c>
      <c r="P54" s="703">
        <f>+landbouw!O12</f>
        <v>0</v>
      </c>
      <c r="Q54" s="704">
        <f>+landbouw!P12</f>
        <v>0</v>
      </c>
      <c r="R54" s="731">
        <f ca="1">SUM(C54:Q54)</f>
        <v>97.513793807594311</v>
      </c>
    </row>
    <row r="55" spans="1:18" ht="15" thickBot="1">
      <c r="A55" s="825" t="s">
        <v>848</v>
      </c>
      <c r="B55" s="835"/>
      <c r="C55" s="703">
        <f ca="1">C25*'EF ele_warmte'!B12</f>
        <v>176.74416019346421</v>
      </c>
      <c r="D55" s="703"/>
      <c r="E55" s="703">
        <f>E25*EF_CO2_aardgas</f>
        <v>452.510663196</v>
      </c>
      <c r="F55" s="703"/>
      <c r="G55" s="703"/>
      <c r="H55" s="703"/>
      <c r="I55" s="703"/>
      <c r="J55" s="703"/>
      <c r="K55" s="703"/>
      <c r="L55" s="703"/>
      <c r="M55" s="703"/>
      <c r="N55" s="703"/>
      <c r="O55" s="703"/>
      <c r="P55" s="703"/>
      <c r="Q55" s="704"/>
      <c r="R55" s="731">
        <f ca="1">SUM(C55:Q55)</f>
        <v>629.25482338946426</v>
      </c>
    </row>
    <row r="56" spans="1:18" ht="15.75" thickBot="1">
      <c r="A56" s="823" t="s">
        <v>849</v>
      </c>
      <c r="B56" s="836"/>
      <c r="C56" s="732">
        <f ca="1">SUM(C54:C55)</f>
        <v>192.19074713195275</v>
      </c>
      <c r="D56" s="732">
        <f t="shared" ref="D56:Q56" ca="1" si="7">SUM(D54:D55)</f>
        <v>0</v>
      </c>
      <c r="E56" s="732">
        <f t="shared" si="7"/>
        <v>460.75642551054267</v>
      </c>
      <c r="F56" s="732">
        <f t="shared" si="7"/>
        <v>0.41840697242978925</v>
      </c>
      <c r="G56" s="732">
        <f t="shared" si="7"/>
        <v>69.760188586073326</v>
      </c>
      <c r="H56" s="732">
        <f t="shared" si="7"/>
        <v>0</v>
      </c>
      <c r="I56" s="732">
        <f t="shared" si="7"/>
        <v>0</v>
      </c>
      <c r="J56" s="732">
        <f t="shared" si="7"/>
        <v>0</v>
      </c>
      <c r="K56" s="732">
        <f t="shared" si="7"/>
        <v>3.6428489960599779</v>
      </c>
      <c r="L56" s="732">
        <f t="shared" si="7"/>
        <v>0</v>
      </c>
      <c r="M56" s="732">
        <f t="shared" si="7"/>
        <v>0</v>
      </c>
      <c r="N56" s="732">
        <f t="shared" si="7"/>
        <v>0</v>
      </c>
      <c r="O56" s="732">
        <f t="shared" si="7"/>
        <v>0</v>
      </c>
      <c r="P56" s="732">
        <f t="shared" si="7"/>
        <v>0</v>
      </c>
      <c r="Q56" s="733">
        <f t="shared" si="7"/>
        <v>0</v>
      </c>
      <c r="R56" s="734">
        <f ca="1">SUM(R54:R55)</f>
        <v>726.76861719705857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6979.1270313378573</v>
      </c>
      <c r="D61" s="740">
        <f t="shared" ref="D61:Q61" ca="1" si="8">D46+D52+D56</f>
        <v>0</v>
      </c>
      <c r="E61" s="740">
        <f t="shared" ca="1" si="8"/>
        <v>20715.711746982579</v>
      </c>
      <c r="F61" s="740">
        <f t="shared" si="8"/>
        <v>611.31544345269958</v>
      </c>
      <c r="G61" s="740">
        <f t="shared" ca="1" si="8"/>
        <v>2412.4286243060087</v>
      </c>
      <c r="H61" s="740">
        <f t="shared" si="8"/>
        <v>21601.852864021046</v>
      </c>
      <c r="I61" s="740">
        <f t="shared" si="8"/>
        <v>4023.9073673811135</v>
      </c>
      <c r="J61" s="740">
        <f t="shared" si="8"/>
        <v>0</v>
      </c>
      <c r="K61" s="740">
        <f t="shared" si="8"/>
        <v>4.0091215281694703</v>
      </c>
      <c r="L61" s="740">
        <f t="shared" si="8"/>
        <v>0</v>
      </c>
      <c r="M61" s="740">
        <f t="shared" ca="1" si="8"/>
        <v>0</v>
      </c>
      <c r="N61" s="740">
        <f t="shared" si="8"/>
        <v>0</v>
      </c>
      <c r="O61" s="740">
        <f t="shared" ca="1" si="8"/>
        <v>0</v>
      </c>
      <c r="P61" s="740">
        <f t="shared" si="8"/>
        <v>0</v>
      </c>
      <c r="Q61" s="740">
        <f t="shared" si="8"/>
        <v>0</v>
      </c>
      <c r="R61" s="740">
        <f ca="1">R46+R52+R56</f>
        <v>56348.352199009474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0.21609571624044593</v>
      </c>
      <c r="D63" s="781">
        <f t="shared" ca="1" si="9"/>
        <v>0</v>
      </c>
      <c r="E63" s="1023">
        <f t="shared" ca="1" si="9"/>
        <v>0.20200000000000004</v>
      </c>
      <c r="F63" s="781">
        <f t="shared" si="9"/>
        <v>0.22699999999999998</v>
      </c>
      <c r="G63" s="781">
        <f t="shared" ca="1" si="9"/>
        <v>0.2669999999999999</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716.7014153550831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716.7014153550831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716.7014153550831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716.7014153550831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21642.972741355086</v>
      </c>
      <c r="C4" s="477">
        <f>huishoudens!C8</f>
        <v>0</v>
      </c>
      <c r="D4" s="477">
        <f>huishoudens!D8</f>
        <v>82233.704768710013</v>
      </c>
      <c r="E4" s="477">
        <f>huishoudens!E8</f>
        <v>2187.5967433343062</v>
      </c>
      <c r="F4" s="477">
        <f>huishoudens!F8</f>
        <v>6370.3417379776483</v>
      </c>
      <c r="G4" s="477">
        <f>huishoudens!G8</f>
        <v>0</v>
      </c>
      <c r="H4" s="477">
        <f>huishoudens!H8</f>
        <v>0</v>
      </c>
      <c r="I4" s="477">
        <f>huishoudens!I8</f>
        <v>0</v>
      </c>
      <c r="J4" s="477">
        <f>huishoudens!J8</f>
        <v>0</v>
      </c>
      <c r="K4" s="477">
        <f>huishoudens!K8</f>
        <v>0</v>
      </c>
      <c r="L4" s="477">
        <f>huishoudens!L8</f>
        <v>0</v>
      </c>
      <c r="M4" s="477">
        <f>huishoudens!M8</f>
        <v>0</v>
      </c>
      <c r="N4" s="477">
        <f>huishoudens!N8</f>
        <v>2531.1892408515746</v>
      </c>
      <c r="O4" s="477">
        <f>huishoudens!O8</f>
        <v>82.856666666666683</v>
      </c>
      <c r="P4" s="478">
        <f>huishoudens!P8</f>
        <v>400.4</v>
      </c>
      <c r="Q4" s="479">
        <f>SUM(B4:P4)</f>
        <v>115449.06189889529</v>
      </c>
    </row>
    <row r="5" spans="1:17">
      <c r="A5" s="476" t="s">
        <v>156</v>
      </c>
      <c r="B5" s="477">
        <f ca="1">tertiair!B16</f>
        <v>8180.9821977819993</v>
      </c>
      <c r="C5" s="477">
        <f ca="1">tertiair!C16</f>
        <v>0</v>
      </c>
      <c r="D5" s="477">
        <f ca="1">tertiair!D16</f>
        <v>17177.62316759544</v>
      </c>
      <c r="E5" s="477">
        <f>tertiair!E16</f>
        <v>135.74751887123335</v>
      </c>
      <c r="F5" s="477">
        <f ca="1">tertiair!F16</f>
        <v>2018.2691713847003</v>
      </c>
      <c r="G5" s="477">
        <f>tertiair!G16</f>
        <v>0</v>
      </c>
      <c r="H5" s="477">
        <f>tertiair!H16</f>
        <v>0</v>
      </c>
      <c r="I5" s="477">
        <f>tertiair!I16</f>
        <v>0</v>
      </c>
      <c r="J5" s="477">
        <f>tertiair!J16</f>
        <v>0</v>
      </c>
      <c r="K5" s="477">
        <f>tertiair!K16</f>
        <v>0</v>
      </c>
      <c r="L5" s="477">
        <f ca="1">tertiair!L16</f>
        <v>0</v>
      </c>
      <c r="M5" s="477">
        <f>tertiair!M16</f>
        <v>0</v>
      </c>
      <c r="N5" s="477">
        <f ca="1">tertiair!N16</f>
        <v>982.1508235432749</v>
      </c>
      <c r="O5" s="477">
        <f>tertiair!O16</f>
        <v>0</v>
      </c>
      <c r="P5" s="478">
        <f>tertiair!P16</f>
        <v>0</v>
      </c>
      <c r="Q5" s="476">
        <f t="shared" ref="Q5:Q14" ca="1" si="0">SUM(B5:P5)</f>
        <v>28494.772879176649</v>
      </c>
    </row>
    <row r="6" spans="1:17">
      <c r="A6" s="476" t="s">
        <v>194</v>
      </c>
      <c r="B6" s="477">
        <f>'openbare verlichting'!B8</f>
        <v>976.74800000000005</v>
      </c>
      <c r="C6" s="477"/>
      <c r="D6" s="477"/>
      <c r="E6" s="477"/>
      <c r="F6" s="477"/>
      <c r="G6" s="477"/>
      <c r="H6" s="477"/>
      <c r="I6" s="477"/>
      <c r="J6" s="477"/>
      <c r="K6" s="477"/>
      <c r="L6" s="477"/>
      <c r="M6" s="477"/>
      <c r="N6" s="477"/>
      <c r="O6" s="477"/>
      <c r="P6" s="478"/>
      <c r="Q6" s="476">
        <f t="shared" si="0"/>
        <v>976.74800000000005</v>
      </c>
    </row>
    <row r="7" spans="1:17">
      <c r="A7" s="476" t="s">
        <v>112</v>
      </c>
      <c r="B7" s="477">
        <f>landbouw!B8</f>
        <v>71.480301447999992</v>
      </c>
      <c r="C7" s="477">
        <f>landbouw!C8</f>
        <v>0</v>
      </c>
      <c r="D7" s="477">
        <f>landbouw!D8</f>
        <v>40.820605517537999</v>
      </c>
      <c r="E7" s="477">
        <f>landbouw!E8</f>
        <v>1.8432025217171333</v>
      </c>
      <c r="F7" s="477">
        <f>landbouw!F8</f>
        <v>261.27411455458173</v>
      </c>
      <c r="G7" s="477">
        <f>landbouw!G8</f>
        <v>0</v>
      </c>
      <c r="H7" s="477">
        <f>landbouw!H8</f>
        <v>0</v>
      </c>
      <c r="I7" s="477">
        <f>landbouw!I8</f>
        <v>0</v>
      </c>
      <c r="J7" s="477">
        <f>landbouw!J8</f>
        <v>10.29053388717508</v>
      </c>
      <c r="K7" s="477">
        <f>landbouw!K8</f>
        <v>0</v>
      </c>
      <c r="L7" s="477">
        <f>landbouw!L8</f>
        <v>0</v>
      </c>
      <c r="M7" s="477">
        <f>landbouw!M8</f>
        <v>0</v>
      </c>
      <c r="N7" s="477">
        <f>landbouw!N8</f>
        <v>0</v>
      </c>
      <c r="O7" s="477">
        <f>landbouw!O8</f>
        <v>0</v>
      </c>
      <c r="P7" s="478">
        <f>landbouw!P8</f>
        <v>0</v>
      </c>
      <c r="Q7" s="476">
        <f t="shared" si="0"/>
        <v>385.70875792901194</v>
      </c>
    </row>
    <row r="8" spans="1:17">
      <c r="A8" s="476" t="s">
        <v>638</v>
      </c>
      <c r="B8" s="477">
        <f>industrie!B18</f>
        <v>580.66550900799996</v>
      </c>
      <c r="C8" s="477">
        <f>industrie!C18</f>
        <v>0</v>
      </c>
      <c r="D8" s="477">
        <f>industrie!D18</f>
        <v>802.20590753269994</v>
      </c>
      <c r="E8" s="477">
        <f>industrie!E18</f>
        <v>105.78125883707597</v>
      </c>
      <c r="F8" s="477">
        <f>industrie!F18</f>
        <v>385.42817573104287</v>
      </c>
      <c r="G8" s="477">
        <f>industrie!G18</f>
        <v>0</v>
      </c>
      <c r="H8" s="477">
        <f>industrie!H18</f>
        <v>0</v>
      </c>
      <c r="I8" s="477">
        <f>industrie!I18</f>
        <v>0</v>
      </c>
      <c r="J8" s="477">
        <f>industrie!J18</f>
        <v>1.0346681698008267</v>
      </c>
      <c r="K8" s="477">
        <f>industrie!K18</f>
        <v>0</v>
      </c>
      <c r="L8" s="477">
        <f>industrie!L18</f>
        <v>0</v>
      </c>
      <c r="M8" s="477">
        <f>industrie!M18</f>
        <v>0</v>
      </c>
      <c r="N8" s="477">
        <f>industrie!N18</f>
        <v>147.31155352806564</v>
      </c>
      <c r="O8" s="477">
        <f>industrie!O18</f>
        <v>0</v>
      </c>
      <c r="P8" s="478">
        <f>industrie!P18</f>
        <v>0</v>
      </c>
      <c r="Q8" s="476">
        <f t="shared" si="0"/>
        <v>2022.4270728066854</v>
      </c>
    </row>
    <row r="9" spans="1:17" s="482" customFormat="1">
      <c r="A9" s="480" t="s">
        <v>564</v>
      </c>
      <c r="B9" s="481">
        <f>transport!B14</f>
        <v>25.715423217729629</v>
      </c>
      <c r="C9" s="481">
        <f>transport!C14</f>
        <v>0</v>
      </c>
      <c r="D9" s="481">
        <f>transport!D14</f>
        <v>58.522203053106885</v>
      </c>
      <c r="E9" s="481">
        <f>transport!E14</f>
        <v>262.05085111716323</v>
      </c>
      <c r="F9" s="481">
        <f>transport!F14</f>
        <v>0</v>
      </c>
      <c r="G9" s="481">
        <f>transport!G14</f>
        <v>80326.791229565773</v>
      </c>
      <c r="H9" s="481">
        <f>transport!H14</f>
        <v>16160.270551731379</v>
      </c>
      <c r="I9" s="481">
        <f>transport!I14</f>
        <v>0</v>
      </c>
      <c r="J9" s="481">
        <f>transport!J14</f>
        <v>0</v>
      </c>
      <c r="K9" s="481">
        <f>transport!K14</f>
        <v>0</v>
      </c>
      <c r="L9" s="481">
        <f>transport!L14</f>
        <v>0</v>
      </c>
      <c r="M9" s="481">
        <f>transport!M14</f>
        <v>3014.894634262309</v>
      </c>
      <c r="N9" s="481">
        <f>transport!N14</f>
        <v>0</v>
      </c>
      <c r="O9" s="481">
        <f>transport!O14</f>
        <v>0</v>
      </c>
      <c r="P9" s="481">
        <f>transport!P14</f>
        <v>0</v>
      </c>
      <c r="Q9" s="480">
        <f>SUM(B9:P9)</f>
        <v>99848.244892947463</v>
      </c>
    </row>
    <row r="10" spans="1:17">
      <c r="A10" s="476" t="s">
        <v>554</v>
      </c>
      <c r="B10" s="477">
        <f>transport!B54</f>
        <v>0</v>
      </c>
      <c r="C10" s="477">
        <f>transport!C54</f>
        <v>0</v>
      </c>
      <c r="D10" s="477">
        <f>transport!D54</f>
        <v>0</v>
      </c>
      <c r="E10" s="477">
        <f>transport!E54</f>
        <v>0</v>
      </c>
      <c r="F10" s="477">
        <f>transport!F54</f>
        <v>0</v>
      </c>
      <c r="G10" s="477">
        <f>transport!G54</f>
        <v>579.02474055050493</v>
      </c>
      <c r="H10" s="477">
        <f>transport!H54</f>
        <v>0</v>
      </c>
      <c r="I10" s="477">
        <f>transport!I54</f>
        <v>0</v>
      </c>
      <c r="J10" s="477">
        <f>transport!J54</f>
        <v>0</v>
      </c>
      <c r="K10" s="477">
        <f>transport!K54</f>
        <v>0</v>
      </c>
      <c r="L10" s="477">
        <f>transport!L54</f>
        <v>0</v>
      </c>
      <c r="M10" s="477">
        <f>transport!M54</f>
        <v>17.960052068098523</v>
      </c>
      <c r="N10" s="477">
        <f>transport!N54</f>
        <v>0</v>
      </c>
      <c r="O10" s="477">
        <f>transport!O54</f>
        <v>0</v>
      </c>
      <c r="P10" s="478">
        <f>transport!P54</f>
        <v>0</v>
      </c>
      <c r="Q10" s="476">
        <f t="shared" si="0"/>
        <v>596.98479261860348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817.89756534000003</v>
      </c>
      <c r="C14" s="484"/>
      <c r="D14" s="484">
        <f>'SEAP template'!E25</f>
        <v>2240.1517979999999</v>
      </c>
      <c r="E14" s="484"/>
      <c r="F14" s="484"/>
      <c r="G14" s="484"/>
      <c r="H14" s="484"/>
      <c r="I14" s="484"/>
      <c r="J14" s="484"/>
      <c r="K14" s="484"/>
      <c r="L14" s="484"/>
      <c r="M14" s="484"/>
      <c r="N14" s="484"/>
      <c r="O14" s="484"/>
      <c r="P14" s="485"/>
      <c r="Q14" s="476">
        <f t="shared" si="0"/>
        <v>3058.0493633400001</v>
      </c>
    </row>
    <row r="15" spans="1:17" s="486" customFormat="1">
      <c r="A15" s="1038" t="s">
        <v>558</v>
      </c>
      <c r="B15" s="978">
        <f ca="1">SUM(B4:B14)</f>
        <v>32296.461738150814</v>
      </c>
      <c r="C15" s="978">
        <f t="shared" ref="C15:Q15" ca="1" si="1">SUM(C4:C14)</f>
        <v>0</v>
      </c>
      <c r="D15" s="978">
        <f t="shared" ca="1" si="1"/>
        <v>102553.0284504088</v>
      </c>
      <c r="E15" s="978">
        <f t="shared" si="1"/>
        <v>2693.0195746814961</v>
      </c>
      <c r="F15" s="978">
        <f t="shared" ca="1" si="1"/>
        <v>9035.3131996479751</v>
      </c>
      <c r="G15" s="978">
        <f t="shared" si="1"/>
        <v>80905.81597011628</v>
      </c>
      <c r="H15" s="978">
        <f t="shared" si="1"/>
        <v>16160.270551731379</v>
      </c>
      <c r="I15" s="978">
        <f t="shared" si="1"/>
        <v>0</v>
      </c>
      <c r="J15" s="978">
        <f t="shared" si="1"/>
        <v>11.325202056975908</v>
      </c>
      <c r="K15" s="978">
        <f t="shared" si="1"/>
        <v>0</v>
      </c>
      <c r="L15" s="978">
        <f t="shared" ca="1" si="1"/>
        <v>0</v>
      </c>
      <c r="M15" s="978">
        <f t="shared" si="1"/>
        <v>3032.8546863304073</v>
      </c>
      <c r="N15" s="978">
        <f t="shared" ca="1" si="1"/>
        <v>3660.6516179229152</v>
      </c>
      <c r="O15" s="978">
        <f t="shared" si="1"/>
        <v>82.856666666666683</v>
      </c>
      <c r="P15" s="978">
        <f t="shared" si="1"/>
        <v>400.4</v>
      </c>
      <c r="Q15" s="978">
        <f t="shared" ca="1" si="1"/>
        <v>250831.99765771368</v>
      </c>
    </row>
    <row r="17" spans="1:17">
      <c r="A17" s="487" t="s">
        <v>559</v>
      </c>
      <c r="B17" s="786">
        <f ca="1">huishoudens!B10</f>
        <v>0.21609571624044591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4676.9536961155745</v>
      </c>
      <c r="C22" s="477">
        <f t="shared" ref="C22:C32" ca="1" si="3">C4*$C$17</f>
        <v>0</v>
      </c>
      <c r="D22" s="477">
        <f t="shared" ref="D22:D32" si="4">D4*$D$17</f>
        <v>16611.208363279424</v>
      </c>
      <c r="E22" s="477">
        <f t="shared" ref="E22:E32" si="5">E4*$E$17</f>
        <v>496.58446073688754</v>
      </c>
      <c r="F22" s="477">
        <f t="shared" ref="F22:F32" si="6">F4*$F$17</f>
        <v>1700.8812440400322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23485.627764171921</v>
      </c>
    </row>
    <row r="23" spans="1:17">
      <c r="A23" s="476" t="s">
        <v>156</v>
      </c>
      <c r="B23" s="477">
        <f t="shared" ca="1" si="2"/>
        <v>1767.8752075800385</v>
      </c>
      <c r="C23" s="477">
        <f t="shared" ca="1" si="3"/>
        <v>0</v>
      </c>
      <c r="D23" s="477">
        <f t="shared" ca="1" si="4"/>
        <v>3469.8798798542794</v>
      </c>
      <c r="E23" s="477">
        <f t="shared" si="5"/>
        <v>30.814686783769972</v>
      </c>
      <c r="F23" s="477">
        <f t="shared" ca="1" si="6"/>
        <v>538.87786875971494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5807.4476429778033</v>
      </c>
    </row>
    <row r="24" spans="1:17">
      <c r="A24" s="476" t="s">
        <v>194</v>
      </c>
      <c r="B24" s="477">
        <f t="shared" ca="1" si="2"/>
        <v>211.07105864642307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211.07105864642307</v>
      </c>
    </row>
    <row r="25" spans="1:17">
      <c r="A25" s="476" t="s">
        <v>112</v>
      </c>
      <c r="B25" s="477">
        <f t="shared" ca="1" si="2"/>
        <v>15.44658693848854</v>
      </c>
      <c r="C25" s="477">
        <f t="shared" ca="1" si="3"/>
        <v>0</v>
      </c>
      <c r="D25" s="477">
        <f t="shared" si="4"/>
        <v>8.2457623145426755</v>
      </c>
      <c r="E25" s="477">
        <f t="shared" si="5"/>
        <v>0.41840697242978925</v>
      </c>
      <c r="F25" s="477">
        <f t="shared" si="6"/>
        <v>69.760188586073326</v>
      </c>
      <c r="G25" s="477">
        <f t="shared" si="7"/>
        <v>0</v>
      </c>
      <c r="H25" s="477">
        <f t="shared" si="8"/>
        <v>0</v>
      </c>
      <c r="I25" s="477">
        <f t="shared" si="9"/>
        <v>0</v>
      </c>
      <c r="J25" s="477">
        <f t="shared" si="10"/>
        <v>3.6428489960599779</v>
      </c>
      <c r="K25" s="477">
        <f t="shared" si="11"/>
        <v>0</v>
      </c>
      <c r="L25" s="477">
        <f t="shared" si="12"/>
        <v>0</v>
      </c>
      <c r="M25" s="477">
        <f t="shared" si="13"/>
        <v>0</v>
      </c>
      <c r="N25" s="477">
        <f t="shared" si="14"/>
        <v>0</v>
      </c>
      <c r="O25" s="477">
        <f t="shared" si="15"/>
        <v>0</v>
      </c>
      <c r="P25" s="478">
        <f t="shared" si="16"/>
        <v>0</v>
      </c>
      <c r="Q25" s="476">
        <f t="shared" ca="1" si="17"/>
        <v>97.513793807594311</v>
      </c>
    </row>
    <row r="26" spans="1:17">
      <c r="A26" s="476" t="s">
        <v>638</v>
      </c>
      <c r="B26" s="477">
        <f t="shared" ca="1" si="2"/>
        <v>125.47932906520684</v>
      </c>
      <c r="C26" s="477">
        <f t="shared" ca="1" si="3"/>
        <v>0</v>
      </c>
      <c r="D26" s="477">
        <f t="shared" si="4"/>
        <v>162.04559332160539</v>
      </c>
      <c r="E26" s="477">
        <f t="shared" si="5"/>
        <v>24.012345756016245</v>
      </c>
      <c r="F26" s="477">
        <f t="shared" si="6"/>
        <v>102.90932292018846</v>
      </c>
      <c r="G26" s="477">
        <f t="shared" si="7"/>
        <v>0</v>
      </c>
      <c r="H26" s="477">
        <f t="shared" si="8"/>
        <v>0</v>
      </c>
      <c r="I26" s="477">
        <f t="shared" si="9"/>
        <v>0</v>
      </c>
      <c r="J26" s="477">
        <f t="shared" si="10"/>
        <v>0.36627253210949262</v>
      </c>
      <c r="K26" s="477">
        <f t="shared" si="11"/>
        <v>0</v>
      </c>
      <c r="L26" s="477">
        <f t="shared" si="12"/>
        <v>0</v>
      </c>
      <c r="M26" s="477">
        <f t="shared" si="13"/>
        <v>0</v>
      </c>
      <c r="N26" s="477">
        <f t="shared" si="14"/>
        <v>0</v>
      </c>
      <c r="O26" s="477">
        <f t="shared" si="15"/>
        <v>0</v>
      </c>
      <c r="P26" s="478">
        <f t="shared" si="16"/>
        <v>0</v>
      </c>
      <c r="Q26" s="476">
        <f t="shared" ca="1" si="17"/>
        <v>414.81286359512649</v>
      </c>
    </row>
    <row r="27" spans="1:17" s="482" customFormat="1">
      <c r="A27" s="480" t="s">
        <v>564</v>
      </c>
      <c r="B27" s="780">
        <f t="shared" ca="1" si="2"/>
        <v>5.5569927986614767</v>
      </c>
      <c r="C27" s="481">
        <f t="shared" ca="1" si="3"/>
        <v>0</v>
      </c>
      <c r="D27" s="481">
        <f t="shared" si="4"/>
        <v>11.821485016727591</v>
      </c>
      <c r="E27" s="481">
        <f t="shared" si="5"/>
        <v>59.485543203596059</v>
      </c>
      <c r="F27" s="481">
        <f t="shared" si="6"/>
        <v>0</v>
      </c>
      <c r="G27" s="481">
        <f t="shared" si="7"/>
        <v>21447.253258294062</v>
      </c>
      <c r="H27" s="481">
        <f t="shared" si="8"/>
        <v>4023.9073673811135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25548.024646694161</v>
      </c>
    </row>
    <row r="28" spans="1:17">
      <c r="A28" s="476" t="s">
        <v>554</v>
      </c>
      <c r="B28" s="477">
        <f t="shared" ca="1" si="2"/>
        <v>0</v>
      </c>
      <c r="C28" s="477">
        <f t="shared" ca="1" si="3"/>
        <v>0</v>
      </c>
      <c r="D28" s="477">
        <f t="shared" si="4"/>
        <v>0</v>
      </c>
      <c r="E28" s="477">
        <f t="shared" si="5"/>
        <v>0</v>
      </c>
      <c r="F28" s="477">
        <f t="shared" si="6"/>
        <v>0</v>
      </c>
      <c r="G28" s="477">
        <f t="shared" si="7"/>
        <v>154.59960572698483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154.59960572698483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176.74416019346421</v>
      </c>
      <c r="C32" s="477">
        <f t="shared" ca="1" si="3"/>
        <v>0</v>
      </c>
      <c r="D32" s="477">
        <f t="shared" si="4"/>
        <v>452.510663196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629.25482338946426</v>
      </c>
    </row>
    <row r="33" spans="1:17" s="486" customFormat="1">
      <c r="A33" s="1038" t="s">
        <v>558</v>
      </c>
      <c r="B33" s="978">
        <f ca="1">SUM(B22:B32)</f>
        <v>6979.1270313378573</v>
      </c>
      <c r="C33" s="978">
        <f t="shared" ref="C33:Q33" ca="1" si="18">SUM(C22:C32)</f>
        <v>0</v>
      </c>
      <c r="D33" s="978">
        <f t="shared" ca="1" si="18"/>
        <v>20715.711746982579</v>
      </c>
      <c r="E33" s="978">
        <f t="shared" si="18"/>
        <v>611.31544345269958</v>
      </c>
      <c r="F33" s="978">
        <f t="shared" ca="1" si="18"/>
        <v>2412.4286243060087</v>
      </c>
      <c r="G33" s="978">
        <f t="shared" si="18"/>
        <v>21601.852864021046</v>
      </c>
      <c r="H33" s="978">
        <f t="shared" si="18"/>
        <v>4023.9073673811135</v>
      </c>
      <c r="I33" s="978">
        <f t="shared" si="18"/>
        <v>0</v>
      </c>
      <c r="J33" s="978">
        <f t="shared" si="18"/>
        <v>4.0091215281694703</v>
      </c>
      <c r="K33" s="978">
        <f t="shared" si="18"/>
        <v>0</v>
      </c>
      <c r="L33" s="978">
        <f t="shared" ca="1" si="18"/>
        <v>0</v>
      </c>
      <c r="M33" s="978">
        <f t="shared" si="18"/>
        <v>0</v>
      </c>
      <c r="N33" s="978">
        <f t="shared" ca="1" si="18"/>
        <v>0</v>
      </c>
      <c r="O33" s="978">
        <f t="shared" si="18"/>
        <v>0</v>
      </c>
      <c r="P33" s="978">
        <f t="shared" si="18"/>
        <v>0</v>
      </c>
      <c r="Q33" s="978">
        <f t="shared" ca="1" si="18"/>
        <v>56348.352199009481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716.7014153550831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716.7014153550831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0.21609571624044591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0.21609571624044591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2019-08-12T08:23:35Z</dcterms:modified>
</cp:coreProperties>
</file>