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H22" i="14"/>
  <c r="H27" s="1"/>
  <c r="R22"/>
  <c r="R2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K13" i="14"/>
  <c r="K16" s="1"/>
  <c r="K27" s="1"/>
  <c r="E8" i="48"/>
  <c r="E26" s="1"/>
  <c r="E33" s="1"/>
  <c r="F13" i="14"/>
  <c r="G27" i="48"/>
  <c r="G33" s="1"/>
  <c r="G15"/>
  <c r="Q9"/>
  <c r="J33"/>
  <c r="F16" i="14"/>
  <c r="F27" s="1"/>
  <c r="F46"/>
  <c r="F61"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<sst xmlns="http://schemas.openxmlformats.org/spreadsheetml/2006/main" count="2392" uniqueCount="890">
  <si>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</si>
  <si>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</si>
  <si>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</si>
  <si>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</si>
  <si>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</si>
  <si>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</si>
  <si>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</si>
  <si>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</si>
  <si>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</si>
  <si>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</si>
  <si>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</si>
  <si>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</si>
  <si>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</si>
  <si>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</si>
  <si>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</si>
  <si>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</si>
  <si>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</si>
  <si>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</si>
  <si>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</si>
  <si>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</si>
  <si>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</si>
  <si>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</si>
  <si>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</si>
  <si>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</si>
  <si>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</si>
  <si>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</si>
  <si>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</si>
  <si>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</si>
  <si>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</si>
  <si>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</si>
  <si>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</si>
  <si>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</si>
  <si>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</si>
  <si>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</si>
  <si>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</si>
  <si>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</si>
  <si>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</si>
  <si>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</si>
  <si>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</si>
  <si>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</si>
  <si>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</si>
  <si>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</si>
  <si>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</si>
  <si>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</si>
  <si>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</si>
  <si>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</si>
  <si>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</si>
  <si>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</si>
  <si>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</si>
  <si>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</si>
  <si>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</si>
  <si>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</si>
  <si>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</si>
  <si>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</si>
  <si>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</si>
  <si>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</si>
  <si>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</si>
  <si>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</si>
  <si>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</si>
  <si>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</si>
  <si>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</si>
  <si>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</si>
  <si>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</si>
  <si>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</si>
  <si>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</si>
  <si>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</si>
  <si>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</si>
  <si>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</si>
  <si>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</si>
  <si>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</si>
  <si>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</si>
  <si>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</si>
  <si>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</si>
  <si>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</si>
  <si>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</si>
  <si>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</si>
  <si>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</si>
  <si>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</si>
  <si>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</si>
  <si>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</si>
  <si>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</si>
  <si>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</si>
  <si>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</si>
  <si>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</si>
  <si>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</si>
  <si>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</si>
  <si>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</si>
  <si>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</si>
  <si>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</si>
  <si>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</si>
  <si>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</si>
  <si>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</si>
  <si>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</si>
  <si>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</si>
  <si>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</si>
  <si>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</si>
  <si>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</si>
  <si>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</si>
  <si>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</si>
  <si>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</si>
  <si>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</si>
  <si>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</si>
  <si>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</si>
  <si>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</si>
  <si>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</si>
  <si>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</si>
  <si>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</si>
  <si>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</si>
  <si>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</si>
  <si>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</si>
  <si>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</si>
  <si>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</si>
  <si>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</si>
  <si>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</si>
  <si>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</si>
  <si>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</si>
  <si>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</si>
  <si>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</si>
  <si>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</si>
  <si>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</si>
  <si>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</si>
  <si>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</si>
  <si>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</si>
  <si>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</si>
  <si>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</si>
  <si>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</si>
  <si>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</si>
  <si>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</si>
  <si>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</si>
  <si>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</si>
  <si>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</si>
  <si>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</si>
  <si>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</si>
  <si>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</si>
  <si>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</si>
  <si>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</si>
  <si>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</si>
  <si>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</si>
  <si>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</si>
  <si>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</si>
  <si>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</si>
  <si>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</si>
  <si>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</si>
  <si>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</si>
  <si>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</si>
  <si>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</si>
  <si>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</si>
  <si>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</si>
  <si>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</si>
  <si>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</si>
  <si>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</si>
  <si>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</si>
  <si>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</si>
  <si>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</si>
  <si>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</si>
  <si>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</si>
  <si>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</si>
  <si>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</si>
  <si>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</si>
  <si>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</si>
  <si>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</si>
  <si>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</si>
  <si>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</si>
  <si>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</si>
  <si>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</si>
  <si>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</si>
  <si>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</si>
  <si>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</si>
  <si>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</si>
  <si>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</si>
  <si>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</si>
  <si>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</si>
  <si>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</si>
  <si>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</si>
  <si>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</si>
  <si>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</si>
  <si>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</si>
  <si>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</si>
  <si>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</si>
  <si>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</si>
  <si>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</si>
  <si>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</si>
  <si>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</si>
  <si>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</si>
  <si>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</si>
  <si>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</si>
  <si>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</si>
  <si>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</si>
  <si>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</si>
  <si>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</si>
  <si>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</si>
  <si>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</si>
  <si>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</si>
  <si>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</si>
  <si>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</si>
  <si>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</si>
  <si>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</si>
  <si>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</si>
  <si>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</si>
  <si>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</si>
  <si>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</si>
  <si>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</si>
  <si>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</si>
  <si>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</si>
  <si>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</si>
  <si>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</si>
  <si>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</si>
  <si>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</si>
  <si>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</si>
  <si>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</si>
  <si>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</si>
  <si>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</si>
  <si>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</si>
  <si>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</si>
  <si>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</si>
  <si>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</si>
  <si>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</si>
  <si>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</si>
  <si>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</si>
  <si>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</si>
  <si>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</si>
  <si>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</si>
  <si>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</si>
  <si>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</si>
  <si>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</si>
  <si>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</si>
  <si>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</si>
  <si>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</si>
  <si>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</si>
  <si>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</si>
  <si>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</si>
  <si>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</si>
  <si>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</si>
  <si>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</si>
  <si>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</si>
  <si>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</si>
  <si>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</si>
  <si>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</si>
  <si>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</si>
  <si>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</si>
  <si>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</si>
  <si>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</si>
  <si>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</si>
  <si>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</si>
  <si>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</si>
  <si>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</si>
  <si>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</si>
  <si>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</si>
  <si>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</si>
  <si>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</si>
  <si>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</si>
  <si>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</si>
  <si>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</si>
  <si>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</si>
  <si>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</si>
  <si>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</si>
  <si>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</si>
  <si>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</si>
  <si>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</si>
  <si>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</si>
  <si>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</si>
  <si>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</si>
  <si>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</si>
  <si>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</si>
  <si>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</si>
  <si>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</si>
  <si>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</si>
  <si>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</si>
  <si>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</si>
  <si>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</si>
  <si>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</si>
  <si>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</si>
  <si>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</si>
  <si>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</si>
  <si>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</si>
  <si>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</si>
  <si>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</si>
  <si>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</si>
  <si>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</si>
  <si>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</si>
  <si>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</si>
  <si>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</si>
  <si>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</si>
  <si>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</si>
  <si>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</si>
  <si>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</si>
  <si>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</si>
  <si>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</si>
  <si>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</si>
  <si>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</si>
  <si>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</si>
  <si>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</si>
  <si>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</si>
  <si>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</si>
  <si>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</si>
  <si>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</si>
  <si>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</si>
  <si>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</si>
  <si>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</si>
  <si>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</si>
  <si>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</si>
  <si>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</si>
  <si>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</si>
  <si>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</si>
  <si>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</si>
  <si>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</si>
  <si>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</si>
  <si>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</si>
  <si>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</si>
  <si>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</si>
  <si>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</si>
  <si>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</si>
  <si>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</si>
  <si>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</si>
  <si>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</si>
  <si>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</si>
  <si>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</si>
  <si>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</si>
  <si>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</si>
  <si>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</si>
  <si>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</si>
  <si>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</si>
  <si>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</si>
  <si>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</si>
  <si>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</si>
  <si>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</si>
  <si>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</si>
  <si>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</si>
  <si>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</si>
  <si>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</si>
  <si>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</si>
  <si>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</si>
  <si>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</si>
  <si>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</si>
  <si>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</si>
  <si>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</si>
  <si>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</si>
  <si>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</si>
  <si>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</si>
  <si>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</si>
  <si>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</si>
  <si>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</si>
  <si>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</si>
  <si>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</si>
  <si>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</si>
  <si>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</si>
  <si>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</si>
  <si>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</si>
  <si>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</si>
  <si>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</si>
  <si>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</si>
  <si>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</si>
  <si>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</si>
  <si>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</si>
  <si>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</si>
  <si>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</si>
  <si>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</si>
  <si>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</si>
  <si>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</si>
  <si>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</si>
  <si>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</si>
  <si>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</si>
  <si>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</si>
  <si>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</si>
  <si>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</si>
  <si>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</si>
  <si>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</si>
  <si>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</si>
  <si>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</si>
  <si>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</si>
  <si>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</si>
  <si>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</si>
  <si>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</si>
  <si>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</si>
  <si>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</si>
  <si>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</si>
  <si>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</si>
  <si>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</si>
  <si>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</si>
  <si>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</si>
  <si>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</si>
  <si>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</si>
  <si>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</si>
  <si>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</si>
  <si>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</si>
  <si>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</si>
  <si>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</si>
  <si>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</si>
  <si>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</si>
  <si>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</si>
  <si>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</si>
  <si>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</si>
  <si>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</si>
  <si>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</si>
  <si>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</si>
  <si>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</si>
  <si>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</si>
  <si>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</si>
  <si>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</si>
  <si>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</si>
  <si>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</si>
  <si>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</si>
  <si>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</si>
  <si>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</si>
  <si>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</si>
  <si>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</si>
  <si>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</si>
  <si>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</si>
  <si>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</si>
  <si>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</si>
  <si>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</si>
  <si>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</si>
  <si>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</si>
  <si>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</si>
  <si>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</si>
  <si>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</si>
  <si>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</si>
  <si>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</si>
  <si>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</si>
  <si>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</si>
  <si>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</si>
  <si>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</si>
  <si>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</si>
  <si>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</si>
  <si>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</si>
  <si>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</si>
  <si>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</si>
  <si>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</si>
  <si>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</si>
  <si>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</si>
  <si>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</si>
  <si>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</si>
  <si>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</si>
  <si>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</si>
  <si>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</si>
  <si>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</si>
  <si>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</si>
  <si>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</si>
  <si>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</si>
  <si>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</si>
  <si>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</si>
  <si>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</si>
  <si>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</si>
  <si>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</si>
  <si>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</si>
  <si>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</si>
  <si>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</si>
  <si>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</si>
  <si>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</si>
  <si>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</si>
  <si>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</si>
  <si>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</si>
  <si>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</si>
  <si>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</si>
  <si>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</si>
  <si>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</si>
  <si>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</si>
  <si>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</si>
  <si>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</si>
  <si>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</si>
  <si>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</si>
  <si>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</si>
  <si>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</si>
  <si>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</si>
  <si>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</si>
  <si>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</si>
  <si>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</si>
  <si>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</si>
  <si>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</si>
  <si>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</si>
  <si>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</si>
  <si>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</si>
  <si>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</si>
  <si>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</si>
  <si>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</si>
  <si>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</si>
  <si>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</si>
  <si>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</si>
  <si>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</si>
  <si>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</si>
  <si>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</si>
  <si>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</si>
  <si>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</si>
  <si>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</si>
  <si>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</si>
  <si>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</si>
  <si>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</si>
  <si>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</si>
  <si>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</si>
  <si>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</si>
  <si>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</si>
  <si>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</si>
  <si>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</si>
  <si>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</si>
  <si>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</si>
  <si>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</si>
  <si>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</si>
  <si>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</si>
  <si>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</si>
  <si>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</si>
  <si>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</si>
  <si>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</si>
  <si>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</si>
  <si>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</si>
  <si>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</si>
  <si>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</si>
  <si>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</si>
  <si>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</si>
  <si>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</si>
  <si>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</si>
  <si>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</si>
  <si>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</si>
  <si>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</si>
  <si>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</si>
  <si>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</si>
  <si>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</si>
  <si>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</si>
  <si>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</si>
  <si>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</si>
  <si>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</si>
  <si>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</si>
  <si>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</si>
  <si>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</si>
  <si>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</si>
  <si>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</si>
  <si>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</si>
  <si>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</si>
  <si>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</si>
  <si>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</si>
  <si>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</si>
  <si>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</si>
  <si>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</si>
  <si>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</si>
  <si>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</si>
  <si>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</si>
  <si>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</si>
  <si>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</si>
  <si>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</si>
  <si>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</si>
  <si>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</si>
  <si>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</si>
  <si>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</si>
  <si>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</si>
  <si>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</si>
  <si>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</si>
  <si>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</si>
  <si>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</si>
  <si>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</si>
  <si>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</si>
  <si>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</si>
  <si>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</si>
  <si>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</si>
  <si>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</si>
  <si>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</si>
  <si>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</si>
  <si>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</si>
  <si>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</si>
  <si>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</si>
  <si>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</si>
  <si>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</si>
  <si>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</si>
  <si>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</si>
  <si>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</si>
  <si>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</si>
  <si>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</si>
  <si>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</si>
  <si>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</si>
  <si>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</si>
  <si>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</si>
  <si>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</si>
  <si>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</si>
  <si>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</si>
  <si>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</si>
  <si>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</si>
  <si>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</si>
  <si>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</si>
  <si>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</si>
  <si>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</si>
  <si>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</si>
  <si>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</si>
  <si>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</si>
  <si>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</si>
  <si>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</si>
  <si>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</si>
  <si>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</si>
  <si>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</si>
  <si>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</si>
  <si>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</si>
  <si>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</si>
  <si>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</si>
  <si>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</si>
  <si>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</si>
  <si>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</si>
  <si>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</si>
  <si>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</si>
  <si>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</si>
  <si>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</si>
  <si>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</si>
  <si>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</si>
  <si>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</si>
  <si>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</si>
  <si>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</si>
  <si>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</si>
  <si>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</si>
  <si>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</si>
  <si>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</si>
  <si>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</si>
  <si>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</si>
  <si>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</si>
  <si>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</si>
  <si>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</si>
  <si>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</si>
  <si>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</si>
  <si>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</si>
  <si>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</si>
  <si>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</si>
  <si>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</si>
  <si>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</si>
  <si>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</si>
  <si>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</si>
  <si>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</si>
  <si>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</si>
  <si>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</si>
  <si>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</si>
  <si>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</si>
  <si>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</si>
  <si>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</si>
  <si>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</si>
  <si>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</si>
  <si>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</si>
  <si>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</si>
  <si>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</si>
  <si>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</si>
  <si>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</si>
  <si>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</si>
  <si>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</si>
  <si>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</si>
  <si>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</si>
  <si>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</si>
  <si>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</si>
  <si>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</si>
  <si>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</si>
  <si>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</si>
  <si>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</si>
  <si>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</si>
  <si>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</si>
  <si>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</si>
  <si>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</si>
  <si>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</si>
  <si>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</si>
  <si>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</si>
  <si>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</si>
  <si>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</si>
  <si>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</si>
  <si>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</si>
  <si>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</si>
  <si>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</si>
  <si>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</si>
  <si>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</si>
  <si>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</si>
  <si>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</si>
  <si>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</si>
  <si>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</si>
  <si>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</si>
  <si>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</si>
  <si>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</si>
  <si>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</si>
  <si>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</si>
  <si>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</si>
  <si>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</si>
  <si>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</si>
  <si>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</si>
  <si>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</si>
  <si>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</si>
  <si>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</si>
  <si>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</si>
  <si>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</si>
  <si>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</si>
  <si>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</si>
  <si>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</si>
  <si>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</si>
  <si>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</si>
  <si>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</si>
  <si>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</si>
  <si>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</si>
  <si>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</si>
  <si>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</si>
  <si>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</si>
  <si>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</si>
  <si>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</si>
  <si>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</si>
  <si>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</si>
  <si>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</si>
  <si>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</si>
  <si>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</si>
  <si>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</si>
  <si>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</si>
  <si>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</si>
  <si>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</si>
  <si>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</si>
  <si>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</si>
  <si>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</si>
  <si>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</si>
  <si>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</si>
  <si>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</si>
  <si>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</si>
  <si>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</si>
  <si>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</si>
  <si>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</si>
  <si>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</si>
  <si>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</si>
  <si>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</si>
  <si>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</si>
  <si>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</si>
  <si>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</si>
  <si>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</si>
  <si>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</si>
  <si>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</si>
  <si>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</si>
  <si>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</si>
  <si>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</si>
  <si>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</si>
  <si>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</si>
  <si>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</si>
  <si>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</si>
  <si>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</si>
  <si>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</si>
  <si>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</si>
  <si>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</si>
  <si>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</si>
  <si>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</si>
  <si>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</si>
  <si>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</si>
  <si>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</si>
  <si>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</si>
  <si>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</si>
  <si>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</si>
  <si>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</si>
  <si>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</si>
  <si>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</si>
  <si>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</si>
  <si>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</si>
  <si>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</si>
  <si>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</si>
  <si>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</si>
  <si>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</si>
  <si>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</si>
  <si>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</si>
  <si>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</si>
  <si>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</si>
  <si>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</si>
  <si>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</si>
  <si>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</si>
  <si>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</si>
  <si>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</si>
  <si>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</si>
  <si>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</si>
  <si>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</si>
  <si>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</si>
  <si>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</si>
  <si>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</si>
  <si>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</si>
  <si>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</si>
  <si>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</si>
  <si>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</si>
  <si>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</si>
  <si>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</si>
  <si>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</si>
  <si>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</si>
  <si>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</si>
  <si>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</si>
  <si>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</si>
  <si>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</si>
  <si>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</si>
  <si>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</si>
  <si>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</si>
  <si>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</si>
  <si>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</si>
  <si>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</si>
  <si>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</si>
  <si>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</si>
  <si>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</si>
  <si>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</si>
  <si>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</si>
  <si>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</si>
  <si>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</si>
  <si>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</si>
  <si>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</si>
  <si>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</si>
  <si>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</si>
  <si>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</si>
  <si>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</si>
  <si>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</si>
  <si>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</si>
  <si>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</si>
  <si>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</si>
  <si>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</si>
  <si>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</si>
  <si>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</si>
  <si>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</si>
  <si>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</si>
  <si>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</si>
  <si>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</si>
  <si>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</si>
  <si>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</si>
  <si>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</si>
  <si>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</si>
  <si>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</si>
  <si>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</si>
  <si>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</si>
  <si>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</si>
  <si>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</si>
  <si>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</si>
  <si>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</si>
  <si>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</si>
  <si>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</si>
  <si>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</si>
  <si>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</si>
  <si>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</si>
  <si>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</si>
  <si>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</si>
  <si>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</si>
  <si>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</si>
  <si>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</si>
  <si>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</si>
  <si>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</si>
  <si>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</si>
  <si>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</si>
  <si>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</si>
  <si>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</si>
  <si>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</si>
  <si>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</si>
  <si>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</si>
  <si>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</si>
  <si>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</si>
  <si>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</si>
  <si>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</si>
  <si>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</si>
  <si>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</si>
  <si>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</si>
  <si>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</si>
  <si>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</si>
  <si>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</si>
  <si>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</si>
  <si>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</si>
  <si>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</si>
  <si>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</si>
  <si>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</si>
  <si>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</si>
  <si>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</si>
  <si>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</si>
  <si>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</si>
  <si>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</si>
  <si>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</si>
  <si>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</si>
  <si>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</si>
  <si>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</si>
  <si>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</si>
  <si>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</si>
  <si>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</si>
  <si>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</si>
  <si>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</si>
  <si>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</si>
  <si>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</si>
  <si>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</si>
  <si>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</si>
  <si>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</si>
  <si>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</si>
  <si>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</si>
  <si>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</si>
  <si>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</si>
  <si>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</si>
  <si>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</si>
  <si>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</si>
  <si>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</si>
  <si>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</si>
  <si>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</si>
  <si>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</si>
  <si>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</si>
  <si>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</si>
  <si>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</si>
  <si>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</si>
  <si>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23101</t>
  </si>
  <si>
    <t>SINT-GENESIUS-RODE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</si>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</sst>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178194.89105738906</c:v>
                </c:pt>
                <c:pt idx="1">
                  <c:v>55545.557448091298</c:v>
                </c:pt>
                <c:pt idx="2">
                  <c:v>1155.116</c:v>
                </c:pt>
                <c:pt idx="3">
                  <c:v>357.14700438477701</c:v>
                </c:pt>
                <c:pt idx="4">
                  <c:v>6143.4879931104879</c:v>
                </c:pt>
                <c:pt idx="5">
                  <c:v>86653.98440019392</c:v>
                </c:pt>
                <c:pt idx="6">
                  <c:v>1817.7226584307834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178194.89105738906</c:v>
                </c:pt>
                <c:pt idx="1">
                  <c:v>55545.557448091298</c:v>
                </c:pt>
                <c:pt idx="2">
                  <c:v>1155.116</c:v>
                </c:pt>
                <c:pt idx="3">
                  <c:v>357.14700438477701</c:v>
                </c:pt>
                <c:pt idx="4">
                  <c:v>6143.4879931104879</c:v>
                </c:pt>
                <c:pt idx="5">
                  <c:v>86653.98440019392</c:v>
                </c:pt>
                <c:pt idx="6">
                  <c:v>1817.7226584307834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35829.676202211122</c:v>
                </c:pt>
                <c:pt idx="2">
                  <c:v>11370.525300787864</c:v>
                </c:pt>
                <c:pt idx="3">
                  <c:v>249.66423774071009</c:v>
                </c:pt>
                <c:pt idx="4">
                  <c:v>89.324956063777591</c:v>
                </c:pt>
                <c:pt idx="5">
                  <c:v>1257.4721216434891</c:v>
                </c:pt>
                <c:pt idx="6">
                  <c:v>22083.078671193485</c:v>
                </c:pt>
                <c:pt idx="7">
                  <c:v>470.73092947937283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988992"/>
      </c:barChart>
      <c:catAx>
        <c:axId val="18382336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35829.676202211122</c:v>
                </c:pt>
                <c:pt idx="2">
                  <c:v>11370.525300787864</c:v>
                </c:pt>
                <c:pt idx="3">
                  <c:v>249.66423774071009</c:v>
                </c:pt>
                <c:pt idx="4">
                  <c:v>89.324956063777591</c:v>
                </c:pt>
                <c:pt idx="5">
                  <c:v>1257.4721216434891</c:v>
                </c:pt>
                <c:pt idx="6">
                  <c:v>22083.078671193485</c:v>
                </c:pt>
                <c:pt idx="7">
                  <c:v>470.73092947937283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0.21613780584868542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0.21613780584868542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6871</v>
      </c>
      <c r="C9" s="342">
        <v>7165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421.76</v>
      </c>
    </row>
    <row r="15" spans="1:6">
      <c r="A15" s="348" t="s">
        <v>184</v>
      </c>
      <c r="B15" s="334">
        <v>3</v>
      </c>
    </row>
    <row r="16" spans="1:6">
      <c r="A16" s="348" t="s">
        <v>6</v>
      </c>
      <c r="B16" s="334">
        <v>74</v>
      </c>
    </row>
    <row r="17" spans="1:6">
      <c r="A17" s="348" t="s">
        <v>7</v>
      </c>
      <c r="B17" s="334">
        <v>126</v>
      </c>
    </row>
    <row r="18" spans="1:6">
      <c r="A18" s="348" t="s">
        <v>8</v>
      </c>
      <c r="B18" s="334">
        <v>154</v>
      </c>
    </row>
    <row r="19" spans="1:6">
      <c r="A19" s="348" t="s">
        <v>9</v>
      </c>
      <c r="B19" s="334">
        <v>128</v>
      </c>
    </row>
    <row r="20" spans="1:6">
      <c r="A20" s="348" t="s">
        <v>10</v>
      </c>
      <c r="B20" s="334">
        <v>169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884</v>
      </c>
      <c r="B29" s="355">
        <v>168</v>
      </c>
      <c r="C29" s="356"/>
      <c r="D29" s="356"/>
      <c r="E29" s="356"/>
      <c r="F29" s="356"/>
    </row>
    <row r="30" spans="1:6">
      <c r="A30" s="355" t="s">
        <v>885</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8347</v>
      </c>
    </row>
    <row r="39" spans="1:6">
      <c r="A39" s="348" t="s">
        <v>30</v>
      </c>
      <c r="B39" s="348" t="s">
        <v>31</v>
      </c>
      <c r="C39" s="334">
        <v>5358</v>
      </c>
      <c r="D39" s="334">
        <v>139433136.56</v>
      </c>
      <c r="E39" s="334">
        <v>6748</v>
      </c>
      <c r="F39" s="334">
        <v>33113093.842</v>
      </c>
    </row>
    <row r="40" spans="1:6">
      <c r="A40" s="348" t="s">
        <v>30</v>
      </c>
      <c r="B40" s="348" t="s">
        <v>29</v>
      </c>
      <c r="C40" s="334">
        <v>0</v>
      </c>
      <c r="D40" s="334">
        <v>0</v>
      </c>
      <c r="E40" s="334">
        <v>0</v>
      </c>
      <c r="F40" s="334">
        <v>0</v>
      </c>
    </row>
    <row r="41" spans="1:6">
      <c r="A41" s="348" t="s">
        <v>32</v>
      </c>
      <c r="B41" s="348" t="s">
        <v>33</v>
      </c>
      <c r="C41" s="334">
        <v>43</v>
      </c>
      <c r="D41" s="334">
        <v>1607356.0743</v>
      </c>
      <c r="E41" s="334">
        <v>87</v>
      </c>
      <c r="F41" s="334">
        <v>1503604.6055000001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76038.986854999996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136833.73509</v>
      </c>
      <c r="E47" s="334">
        <v>3</v>
      </c>
      <c r="F47" s="334">
        <v>13287.902726</v>
      </c>
    </row>
    <row r="48" spans="1:6">
      <c r="A48" s="348" t="s">
        <v>32</v>
      </c>
      <c r="B48" s="348" t="s">
        <v>29</v>
      </c>
      <c r="C48" s="334">
        <v>26</v>
      </c>
      <c r="D48" s="334">
        <v>593044.88341999997</v>
      </c>
      <c r="E48" s="334">
        <v>25</v>
      </c>
      <c r="F48" s="334">
        <v>154381.42408999999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4</v>
      </c>
      <c r="D52" s="334">
        <v>60837.939450999998</v>
      </c>
      <c r="E52" s="334">
        <v>5</v>
      </c>
      <c r="F52" s="334">
        <v>62647.658752000003</v>
      </c>
    </row>
    <row r="53" spans="1:6">
      <c r="A53" s="348" t="s">
        <v>44</v>
      </c>
      <c r="B53" s="348" t="s">
        <v>45</v>
      </c>
      <c r="C53" s="334">
        <v>186</v>
      </c>
      <c r="D53" s="334">
        <v>7017551.5038999999</v>
      </c>
      <c r="E53" s="334">
        <v>287</v>
      </c>
      <c r="F53" s="334">
        <v>1755574.453</v>
      </c>
    </row>
    <row r="54" spans="1:6">
      <c r="A54" s="348" t="s">
        <v>46</v>
      </c>
      <c r="B54" s="348" t="s">
        <v>47</v>
      </c>
      <c r="C54" s="334">
        <v>0</v>
      </c>
      <c r="D54" s="334">
        <v>0</v>
      </c>
      <c r="E54" s="334">
        <v>1</v>
      </c>
      <c r="F54" s="334">
        <v>1155116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4203585.4420999996</v>
      </c>
      <c r="E57" s="334">
        <v>123</v>
      </c>
      <c r="F57" s="334">
        <v>2164377.8393000001</v>
      </c>
    </row>
    <row r="58" spans="1:6">
      <c r="A58" s="348" t="s">
        <v>49</v>
      </c>
      <c r="B58" s="348" t="s">
        <v>51</v>
      </c>
      <c r="C58" s="334">
        <v>44</v>
      </c>
      <c r="D58" s="334">
        <v>1860042.7579000001</v>
      </c>
      <c r="E58" s="334">
        <v>50</v>
      </c>
      <c r="F58" s="334">
        <v>459350.01020999998</v>
      </c>
    </row>
    <row r="59" spans="1:6">
      <c r="A59" s="348" t="s">
        <v>49</v>
      </c>
      <c r="B59" s="348" t="s">
        <v>52</v>
      </c>
      <c r="C59" s="334">
        <v>107</v>
      </c>
      <c r="D59" s="334">
        <v>3600980.8015000001</v>
      </c>
      <c r="E59" s="334">
        <v>188</v>
      </c>
      <c r="F59" s="334">
        <v>3968279.1853</v>
      </c>
    </row>
    <row r="60" spans="1:6">
      <c r="A60" s="348" t="s">
        <v>49</v>
      </c>
      <c r="B60" s="348" t="s">
        <v>53</v>
      </c>
      <c r="C60" s="334">
        <v>18</v>
      </c>
      <c r="D60" s="334">
        <v>971931.53087000002</v>
      </c>
      <c r="E60" s="334">
        <v>20</v>
      </c>
      <c r="F60" s="334">
        <v>362241.36431999999</v>
      </c>
    </row>
    <row r="61" spans="1:6">
      <c r="A61" s="348" t="s">
        <v>49</v>
      </c>
      <c r="B61" s="348" t="s">
        <v>54</v>
      </c>
      <c r="C61" s="334">
        <v>305</v>
      </c>
      <c r="D61" s="334">
        <v>19428861.107000001</v>
      </c>
      <c r="E61" s="334">
        <v>434</v>
      </c>
      <c r="F61" s="334">
        <v>6770099.4216</v>
      </c>
    </row>
    <row r="62" spans="1:6">
      <c r="A62" s="348" t="s">
        <v>49</v>
      </c>
      <c r="B62" s="348" t="s">
        <v>55</v>
      </c>
      <c r="C62" s="334">
        <v>13</v>
      </c>
      <c r="D62" s="334">
        <v>2342804.1291</v>
      </c>
      <c r="E62" s="334">
        <v>14</v>
      </c>
      <c r="F62" s="334">
        <v>1604243.7538000001</v>
      </c>
    </row>
    <row r="63" spans="1:6">
      <c r="A63" s="348" t="s">
        <v>49</v>
      </c>
      <c r="B63" s="348" t="s">
        <v>29</v>
      </c>
      <c r="C63" s="334">
        <v>91</v>
      </c>
      <c r="D63" s="334">
        <v>3543727.4386</v>
      </c>
      <c r="E63" s="334">
        <v>91</v>
      </c>
      <c r="F63" s="334">
        <v>1360164.4846999999</v>
      </c>
    </row>
    <row r="64" spans="1:6">
      <c r="A64" s="348" t="s">
        <v>56</v>
      </c>
      <c r="B64" s="348" t="s">
        <v>57</v>
      </c>
      <c r="C64" s="334">
        <v>0</v>
      </c>
      <c r="D64" s="334">
        <v>0</v>
      </c>
      <c r="E64" s="334">
        <v>0</v>
      </c>
      <c r="F64" s="334">
        <v>0</v>
      </c>
    </row>
    <row r="65" spans="1:6">
      <c r="A65" s="348" t="s">
        <v>56</v>
      </c>
      <c r="B65" s="348" t="s">
        <v>29</v>
      </c>
      <c r="C65" s="334">
        <v>4</v>
      </c>
      <c r="D65" s="334">
        <v>91269.963505000007</v>
      </c>
      <c r="E65" s="334">
        <v>2</v>
      </c>
      <c r="F65" s="334">
        <v>11576.706074</v>
      </c>
    </row>
    <row r="66" spans="1:6">
      <c r="A66" s="348" t="s">
        <v>56</v>
      </c>
      <c r="B66" s="348" t="s">
        <v>58</v>
      </c>
      <c r="C66" s="334">
        <v>0</v>
      </c>
      <c r="D66" s="334">
        <v>0</v>
      </c>
      <c r="E66" s="334">
        <v>9</v>
      </c>
      <c r="F66" s="334">
        <v>186236.36488000001</v>
      </c>
    </row>
    <row r="67" spans="1:6">
      <c r="A67" s="355" t="s">
        <v>56</v>
      </c>
      <c r="B67" s="355" t="s">
        <v>59</v>
      </c>
      <c r="C67" s="334">
        <v>0</v>
      </c>
      <c r="D67" s="334">
        <v>0</v>
      </c>
      <c r="E67" s="334">
        <v>0</v>
      </c>
      <c r="F67" s="334">
        <v>0</v>
      </c>
    </row>
    <row r="68" spans="1:6">
      <c r="A68" s="341" t="s">
        <v>56</v>
      </c>
      <c r="B68" s="341" t="s">
        <v>60</v>
      </c>
      <c r="C68" s="334">
        <v>0</v>
      </c>
      <c r="D68" s="334">
        <v>0</v>
      </c>
      <c r="E68" s="334">
        <v>3</v>
      </c>
      <c r="F68" s="334">
        <v>7638.3588514000003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42652918</v>
      </c>
      <c r="E73" s="475">
        <v>43765817.854659125</v>
      </c>
    </row>
    <row r="74" spans="1:6">
      <c r="A74" s="348" t="s">
        <v>64</v>
      </c>
      <c r="B74" s="348" t="s">
        <v>667</v>
      </c>
      <c r="C74" s="1294" t="s">
        <v>669</v>
      </c>
      <c r="D74" s="475">
        <v>301105.23755915766</v>
      </c>
      <c r="E74" s="475">
        <v>306408.12029838748</v>
      </c>
    </row>
    <row r="75" spans="1:6">
      <c r="A75" s="348" t="s">
        <v>65</v>
      </c>
      <c r="B75" s="348" t="s">
        <v>666</v>
      </c>
      <c r="C75" s="1294" t="s">
        <v>670</v>
      </c>
      <c r="D75" s="475">
        <v>62630281</v>
      </c>
      <c r="E75" s="475">
        <v>63801533.070832357</v>
      </c>
    </row>
    <row r="76" spans="1:6">
      <c r="A76" s="348" t="s">
        <v>65</v>
      </c>
      <c r="B76" s="348" t="s">
        <v>667</v>
      </c>
      <c r="C76" s="1294" t="s">
        <v>671</v>
      </c>
      <c r="D76" s="475">
        <v>1071537.2375591577</v>
      </c>
      <c r="E76" s="475">
        <v>1070800.2338129107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488215.52488168475</v>
      </c>
      <c r="C83" s="475">
        <v>488215.52488168475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946.98335162586613</v>
      </c>
    </row>
    <row r="92" spans="1:6">
      <c r="A92" s="341" t="s">
        <v>69</v>
      </c>
      <c r="B92" s="342">
        <v>273.93682934773312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5</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45</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55494.155847769529</v>
      </c>
      <c r="C3" s="43" t="s">
        <v>170</v>
      </c>
      <c r="D3" s="43"/>
      <c r="E3" s="154"/>
      <c r="F3" s="43"/>
      <c r="G3" s="43"/>
      <c r="H3" s="43"/>
      <c r="I3" s="43"/>
      <c r="J3" s="43"/>
      <c r="K3" s="96"/>
    </row>
    <row r="4" spans="1:11">
      <c r="A4" s="383" t="s">
        <v>171</v>
      </c>
      <c r="B4" s="49">
        <f>IF(ISERROR('SEAP template'!B78+'SEAP template'!C78),0,'SEAP template'!B78+'SEAP template'!C78)</f>
        <v>1220.9201809735991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0.21613780584868542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1155.116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1155.116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0.21613780584868542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249.66423774071009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33113.093842000002</v>
      </c>
      <c r="C5" s="17">
        <f>IF(ISERROR('Eigen informatie GS &amp; warmtenet'!B57),0,'Eigen informatie GS &amp; warmtenet'!B57)</f>
        <v>0</v>
      </c>
      <c r="D5" s="30">
        <f>(SUM(HH_hh_gas_kWh,HH_rest_gas_kWh)/1000)*0.902</f>
        <v>125768.68917712002</v>
      </c>
      <c r="E5" s="17">
        <f>B46*B57</f>
        <v>977.36783504154528</v>
      </c>
      <c r="F5" s="17">
        <f>B51*B62</f>
        <v>10639.955573825102</v>
      </c>
      <c r="G5" s="18"/>
      <c r="H5" s="17"/>
      <c r="I5" s="17"/>
      <c r="J5" s="17">
        <f>B50*B61+C50*C61</f>
        <v>0</v>
      </c>
      <c r="K5" s="17"/>
      <c r="L5" s="17"/>
      <c r="M5" s="17"/>
      <c r="N5" s="17">
        <f>B48*B59+C48*C59</f>
        <v>6476.8412777765061</v>
      </c>
      <c r="O5" s="17">
        <f>B69*B70*B71</f>
        <v>81.293333333333337</v>
      </c>
      <c r="P5" s="17">
        <f>B77*B78*B79/1000-B77*B78*B79/1000/B80</f>
        <v>190.66666666666669</v>
      </c>
    </row>
    <row r="6" spans="1:16">
      <c r="A6" s="16" t="s">
        <v>624</v>
      </c>
      <c r="B6" s="788">
        <f>kWh_PV_kleiner_dan_10kW</f>
        <v>946.98335162586613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34060.077193625868</v>
      </c>
      <c r="C8" s="21">
        <f>C5</f>
        <v>0</v>
      </c>
      <c r="D8" s="21">
        <f>D5</f>
        <v>125768.68917712002</v>
      </c>
      <c r="E8" s="21">
        <f>E5</f>
        <v>977.36783504154528</v>
      </c>
      <c r="F8" s="21">
        <f>F5</f>
        <v>10639.955573825102</v>
      </c>
      <c r="G8" s="21"/>
      <c r="H8" s="21"/>
      <c r="I8" s="21"/>
      <c r="J8" s="21">
        <f>J5</f>
        <v>0</v>
      </c>
      <c r="K8" s="21"/>
      <c r="L8" s="21">
        <f>L5</f>
        <v>0</v>
      </c>
      <c r="M8" s="21">
        <f>M5</f>
        <v>0</v>
      </c>
      <c r="N8" s="21">
        <f>N5</f>
        <v>6476.8412777765061</v>
      </c>
      <c r="O8" s="21">
        <f>O5</f>
        <v>81.293333333333337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0.21613780584868542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7361.670351667146</v>
      </c>
      <c r="C12" s="23">
        <f ca="1">C10*C8</f>
        <v>0</v>
      </c>
      <c r="D12" s="23">
        <f>D8*D10</f>
        <v>25405.275213778245</v>
      </c>
      <c r="E12" s="23">
        <f>E10*E8</f>
        <v>221.86249855443077</v>
      </c>
      <c r="F12" s="23">
        <f>F10*F8</f>
        <v>2840.8681382113023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6871</v>
      </c>
      <c r="C28" s="36"/>
      <c r="D28" s="228"/>
    </row>
    <row r="29" spans="1:7" s="15" customFormat="1">
      <c r="A29" s="230" t="s">
        <v>699</v>
      </c>
      <c r="B29" s="37">
        <f>SUM(HH_hh_gas_aantal,HH_rest_gas_aantal)</f>
        <v>5358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5358</v>
      </c>
      <c r="C32" s="167">
        <f>IF(ISERROR(B32/SUM($B$32,$B$34,$B$35,$B$36,$B$38,$B$39)*100),0,B32/SUM($B$32,$B$34,$B$35,$B$36,$B$38,$B$39)*100)</f>
        <v>78.093572365544389</v>
      </c>
      <c r="D32" s="233"/>
      <c r="G32" s="15"/>
    </row>
    <row r="33" spans="1:7">
      <c r="A33" s="171" t="s">
        <v>72</v>
      </c>
      <c r="B33" s="34" t="s">
        <v>111</v>
      </c>
      <c r="C33" s="167"/>
      <c r="D33" s="233"/>
      <c r="G33" s="15"/>
    </row>
    <row r="34" spans="1:7">
      <c r="A34" s="171" t="s">
        <v>73</v>
      </c>
      <c r="B34" s="33">
        <f>IF((($B$28-$B$32-$B$39-$B$77-$B$38)*C20/100)&lt;0,0,($B$28-$B$32-$B$39-$B$77-$B$38)*C20/100)</f>
        <v>43.212162162162166</v>
      </c>
      <c r="C34" s="167">
        <f>IF(ISERROR(B34/SUM($B$32,$B$34,$B$35,$B$36,$B$38,$B$39)*100),0,B34/SUM($B$32,$B$34,$B$35,$B$36,$B$38,$B$39)*100)</f>
        <v>0.62982308937709031</v>
      </c>
      <c r="D34" s="233"/>
      <c r="G34" s="15"/>
    </row>
    <row r="35" spans="1:7">
      <c r="A35" s="171" t="s">
        <v>74</v>
      </c>
      <c r="B35" s="33">
        <f>IF((($B$28-$B$32-$B$39-$B$77-$B$38)*C21/100)&lt;0,0,($B$28-$B$32-$B$39-$B$77-$B$38)*C21/100)</f>
        <v>921.85945945945946</v>
      </c>
      <c r="C35" s="167">
        <f>IF(ISERROR(B35/SUM($B$32,$B$34,$B$35,$B$36,$B$38,$B$39)*100),0,B35/SUM($B$32,$B$34,$B$35,$B$36,$B$38,$B$39)*100)</f>
        <v>13.436225906711257</v>
      </c>
      <c r="D35" s="233"/>
      <c r="G35" s="15"/>
    </row>
    <row r="36" spans="1:7">
      <c r="A36" s="171" t="s">
        <v>75</v>
      </c>
      <c r="B36" s="33">
        <f>IF((($B$28-$B$32-$B$39-$B$77-$B$38)*C22/100)&lt;0,0,($B$28-$B$32-$B$39-$B$77-$B$38)*C22/100)</f>
        <v>100.82837837837839</v>
      </c>
      <c r="C36" s="167">
        <f>IF(ISERROR(B36/SUM($B$32,$B$34,$B$35,$B$36,$B$38,$B$39)*100),0,B36/SUM($B$32,$B$34,$B$35,$B$36,$B$38,$B$39)*100)</f>
        <v>1.469587208546544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437.09999999999991</v>
      </c>
      <c r="C39" s="167">
        <f>IF(ISERROR(B39/SUM($B$32,$B$34,$B$35,$B$36,$B$38,$B$39)*100),0,B39/SUM($B$32,$B$34,$B$35,$B$36,$B$38,$B$39)*100)</f>
        <v>6.3707914298207244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5358</v>
      </c>
      <c r="C44" s="34" t="s">
        <v>111</v>
      </c>
      <c r="D44" s="174"/>
    </row>
    <row r="45" spans="1:7">
      <c r="A45" s="171" t="s">
        <v>72</v>
      </c>
      <c r="B45" s="33" t="str">
        <f t="shared" si="0"/>
        <v>-</v>
      </c>
      <c r="C45" s="34" t="s">
        <v>111</v>
      </c>
      <c r="D45" s="174"/>
    </row>
    <row r="46" spans="1:7">
      <c r="A46" s="171" t="s">
        <v>73</v>
      </c>
      <c r="B46" s="33">
        <f t="shared" si="0"/>
        <v>43.212162162162166</v>
      </c>
      <c r="C46" s="34" t="s">
        <v>111</v>
      </c>
      <c r="D46" s="174"/>
    </row>
    <row r="47" spans="1:7">
      <c r="A47" s="171" t="s">
        <v>74</v>
      </c>
      <c r="B47" s="33">
        <f t="shared" si="0"/>
        <v>921.85945945945946</v>
      </c>
      <c r="C47" s="34" t="s">
        <v>111</v>
      </c>
      <c r="D47" s="174"/>
    </row>
    <row r="48" spans="1:7">
      <c r="A48" s="171" t="s">
        <v>75</v>
      </c>
      <c r="B48" s="33">
        <f t="shared" si="0"/>
        <v>100.82837837837839</v>
      </c>
      <c r="C48" s="33">
        <f>B48*10</f>
        <v>1008.2837837837839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437.09999999999991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16688.75605923</v>
      </c>
      <c r="C5" s="17">
        <f>IF(ISERROR('Eigen informatie GS &amp; warmtenet'!B58),0,'Eigen informatie GS &amp; warmtenet'!B58)</f>
        <v>0</v>
      </c>
      <c r="D5" s="30">
        <f>SUM(D6:D12)</f>
        <v>32428.643752777138</v>
      </c>
      <c r="E5" s="17">
        <f>SUM(E6:E12)</f>
        <v>255.94836613540448</v>
      </c>
      <c r="F5" s="17">
        <f>SUM(F6:F12)</f>
        <v>4324.9732832517484</v>
      </c>
      <c r="G5" s="18"/>
      <c r="H5" s="17"/>
      <c r="I5" s="17"/>
      <c r="J5" s="17">
        <f>SUM(J6:J12)</f>
        <v>0</v>
      </c>
      <c r="K5" s="17"/>
      <c r="L5" s="17"/>
      <c r="M5" s="17"/>
      <c r="N5" s="17">
        <f>SUM(N6:N12)</f>
        <v>1845.6726533636793</v>
      </c>
      <c r="O5" s="17">
        <f>B38*B39*B40</f>
        <v>1.5633333333333335</v>
      </c>
      <c r="P5" s="17">
        <f>B46*B47*B48/1000-B46*B47*B48/1000/B49</f>
        <v>0</v>
      </c>
      <c r="R5" s="32"/>
    </row>
    <row r="6" spans="1:18">
      <c r="A6" s="32" t="s">
        <v>54</v>
      </c>
      <c r="B6" s="37">
        <f>B26</f>
        <v>6770.0994215999999</v>
      </c>
      <c r="C6" s="33"/>
      <c r="D6" s="37">
        <f>IF(ISERROR(TER_kantoor_gas_kWh/1000),0,TER_kantoor_gas_kWh/1000)*0.902</f>
        <v>17524.832718514001</v>
      </c>
      <c r="E6" s="33">
        <f>$C$26*'E Balans VL '!I12/100/3.6*1000000</f>
        <v>88.628940981962643</v>
      </c>
      <c r="F6" s="33">
        <f>$C$26*('E Balans VL '!L12+'E Balans VL '!N12)/100/3.6*1000000</f>
        <v>1726.305392913911</v>
      </c>
      <c r="G6" s="34"/>
      <c r="H6" s="33"/>
      <c r="I6" s="33"/>
      <c r="J6" s="33">
        <f>$C$26*('E Balans VL '!D12+'E Balans VL '!E12)/100/3.6*1000000</f>
        <v>0</v>
      </c>
      <c r="K6" s="33"/>
      <c r="L6" s="33"/>
      <c r="M6" s="33"/>
      <c r="N6" s="33">
        <f>$C$26*'E Balans VL '!Y12/100/3.6*1000000</f>
        <v>6.7928973687766936</v>
      </c>
      <c r="O6" s="33"/>
      <c r="P6" s="33"/>
      <c r="R6" s="32"/>
    </row>
    <row r="7" spans="1:18">
      <c r="A7" s="32" t="s">
        <v>53</v>
      </c>
      <c r="B7" s="37">
        <f t="shared" ref="B7:B12" si="0">B27</f>
        <v>362.24136432</v>
      </c>
      <c r="C7" s="33"/>
      <c r="D7" s="37">
        <f>IF(ISERROR(TER_horeca_gas_kWh/1000),0,TER_horeca_gas_kWh/1000)*0.902</f>
        <v>876.68224084474002</v>
      </c>
      <c r="E7" s="33">
        <f>$C$27*'E Balans VL '!I9/100/3.6*1000000</f>
        <v>11.987985718689322</v>
      </c>
      <c r="F7" s="33">
        <f>$C$27*('E Balans VL '!L9+'E Balans VL '!N9)/100/3.6*1000000</f>
        <v>155.76239838053235</v>
      </c>
      <c r="G7" s="34"/>
      <c r="H7" s="33"/>
      <c r="I7" s="33"/>
      <c r="J7" s="33">
        <f>$C$27*('E Balans VL '!D9+'E Balans VL '!E9)/100/3.6*1000000</f>
        <v>0</v>
      </c>
      <c r="K7" s="33"/>
      <c r="L7" s="33"/>
      <c r="M7" s="33"/>
      <c r="N7" s="33">
        <f>$C$27*'E Balans VL '!Y9/100/3.6*1000000</f>
        <v>8.7196756713706289E-2</v>
      </c>
      <c r="O7" s="33"/>
      <c r="P7" s="33"/>
      <c r="R7" s="32"/>
    </row>
    <row r="8" spans="1:18">
      <c r="A8" s="6" t="s">
        <v>52</v>
      </c>
      <c r="B8" s="37">
        <f t="shared" si="0"/>
        <v>3968.2791852999999</v>
      </c>
      <c r="C8" s="33"/>
      <c r="D8" s="37">
        <f>IF(ISERROR(TER_handel_gas_kWh/1000),0,TER_handel_gas_kWh/1000)*0.902</f>
        <v>3248.0846829530001</v>
      </c>
      <c r="E8" s="33">
        <f>$C$28*'E Balans VL '!I13/100/3.6*1000000</f>
        <v>125.24495443817793</v>
      </c>
      <c r="F8" s="33">
        <f>$C$28*('E Balans VL '!L13+'E Balans VL '!N13)/100/3.6*1000000</f>
        <v>778.2494252954308</v>
      </c>
      <c r="G8" s="34"/>
      <c r="H8" s="33"/>
      <c r="I8" s="33"/>
      <c r="J8" s="33">
        <f>$C$28*('E Balans VL '!D13+'E Balans VL '!E13)/100/3.6*1000000</f>
        <v>0</v>
      </c>
      <c r="K8" s="33"/>
      <c r="L8" s="33"/>
      <c r="M8" s="33"/>
      <c r="N8" s="33">
        <f>$C$28*'E Balans VL '!Y13/100/3.6*1000000</f>
        <v>4.7095769610054559</v>
      </c>
      <c r="O8" s="33"/>
      <c r="P8" s="33"/>
      <c r="R8" s="32"/>
    </row>
    <row r="9" spans="1:18">
      <c r="A9" s="32" t="s">
        <v>51</v>
      </c>
      <c r="B9" s="37">
        <f t="shared" si="0"/>
        <v>459.35001020999999</v>
      </c>
      <c r="C9" s="33"/>
      <c r="D9" s="37">
        <f>IF(ISERROR(TER_gezond_gas_kWh/1000),0,TER_gezond_gas_kWh/1000)*0.902</f>
        <v>1677.7585676258002</v>
      </c>
      <c r="E9" s="33">
        <f>$C$29*'E Balans VL '!I10/100/3.6*1000000</f>
        <v>5.8810239293264968E-2</v>
      </c>
      <c r="F9" s="33">
        <f>$C$29*('E Balans VL '!L10+'E Balans VL '!N10)/100/3.6*1000000</f>
        <v>95.701860250092238</v>
      </c>
      <c r="G9" s="34"/>
      <c r="H9" s="33"/>
      <c r="I9" s="33"/>
      <c r="J9" s="33">
        <f>$C$29*('E Balans VL '!D10+'E Balans VL '!E10)/100/3.6*1000000</f>
        <v>0</v>
      </c>
      <c r="K9" s="33"/>
      <c r="L9" s="33"/>
      <c r="M9" s="33"/>
      <c r="N9" s="33">
        <f>$C$29*'E Balans VL '!Y10/100/3.6*1000000</f>
        <v>5.3952829872747889</v>
      </c>
      <c r="O9" s="33"/>
      <c r="P9" s="33"/>
      <c r="R9" s="32"/>
    </row>
    <row r="10" spans="1:18">
      <c r="A10" s="32" t="s">
        <v>50</v>
      </c>
      <c r="B10" s="37">
        <f t="shared" si="0"/>
        <v>2164.3778393000002</v>
      </c>
      <c r="C10" s="33"/>
      <c r="D10" s="37">
        <f>IF(ISERROR(TER_ander_gas_kWh/1000),0,TER_ander_gas_kWh/1000)*0.902</f>
        <v>3791.6340687741995</v>
      </c>
      <c r="E10" s="33">
        <f>$C$30*'E Balans VL '!I14/100/3.6*1000000</f>
        <v>3.2547152831201389</v>
      </c>
      <c r="F10" s="33">
        <f>$C$30*('E Balans VL '!L14+'E Balans VL '!N14)/100/3.6*1000000</f>
        <v>477.82485907006145</v>
      </c>
      <c r="G10" s="34"/>
      <c r="H10" s="33"/>
      <c r="I10" s="33"/>
      <c r="J10" s="33">
        <f>$C$30*('E Balans VL '!D14+'E Balans VL '!E14)/100/3.6*1000000</f>
        <v>0</v>
      </c>
      <c r="K10" s="33"/>
      <c r="L10" s="33"/>
      <c r="M10" s="33"/>
      <c r="N10" s="33">
        <f>$C$30*'E Balans VL '!Y14/100/3.6*1000000</f>
        <v>1705.6753945051641</v>
      </c>
      <c r="O10" s="33"/>
      <c r="P10" s="33"/>
      <c r="R10" s="32"/>
    </row>
    <row r="11" spans="1:18">
      <c r="A11" s="32" t="s">
        <v>55</v>
      </c>
      <c r="B11" s="37">
        <f t="shared" si="0"/>
        <v>1604.2437538000001</v>
      </c>
      <c r="C11" s="33"/>
      <c r="D11" s="37">
        <f>IF(ISERROR(TER_onderwijs_gas_kWh/1000),0,TER_onderwijs_gas_kWh/1000)*0.902</f>
        <v>2113.2093244481998</v>
      </c>
      <c r="E11" s="33">
        <f>$C$31*'E Balans VL '!I11/100/3.6*1000000</f>
        <v>2.825207685603675</v>
      </c>
      <c r="F11" s="33">
        <f>$C$31*('E Balans VL '!L11+'E Balans VL '!N11)/100/3.6*1000000</f>
        <v>740.70836987217376</v>
      </c>
      <c r="G11" s="34"/>
      <c r="H11" s="33"/>
      <c r="I11" s="33"/>
      <c r="J11" s="33">
        <f>$C$31*('E Balans VL '!D11+'E Balans VL '!E11)/100/3.6*1000000</f>
        <v>0</v>
      </c>
      <c r="K11" s="33"/>
      <c r="L11" s="33"/>
      <c r="M11" s="33"/>
      <c r="N11" s="33">
        <f>$C$31*'E Balans VL '!Y11/100/3.6*1000000</f>
        <v>2.9887282980612699</v>
      </c>
      <c r="O11" s="33"/>
      <c r="P11" s="33"/>
      <c r="R11" s="32"/>
    </row>
    <row r="12" spans="1:18">
      <c r="A12" s="32" t="s">
        <v>260</v>
      </c>
      <c r="B12" s="37">
        <f t="shared" si="0"/>
        <v>1360.1644847</v>
      </c>
      <c r="C12" s="33"/>
      <c r="D12" s="37">
        <f>IF(ISERROR(TER_rest_gas_kWh/1000),0,TER_rest_gas_kWh/1000)*0.902</f>
        <v>3196.4421496171999</v>
      </c>
      <c r="E12" s="33">
        <f>$C$32*'E Balans VL '!I8/100/3.6*1000000</f>
        <v>23.947751788557529</v>
      </c>
      <c r="F12" s="33">
        <f>$C$32*('E Balans VL '!L8+'E Balans VL '!N8)/100/3.6*1000000</f>
        <v>350.42097746954727</v>
      </c>
      <c r="G12" s="34"/>
      <c r="H12" s="33"/>
      <c r="I12" s="33"/>
      <c r="J12" s="33">
        <f>$C$32*('E Balans VL '!D8+'E Balans VL '!E8)/100/3.6*1000000</f>
        <v>0</v>
      </c>
      <c r="K12" s="33"/>
      <c r="L12" s="33"/>
      <c r="M12" s="33"/>
      <c r="N12" s="33">
        <f>$C$32*'E Balans VL '!Y8/100/3.6*1000000</f>
        <v>120.02357648668323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16688.75605923</v>
      </c>
      <c r="C16" s="21">
        <f t="shared" ca="1" si="1"/>
        <v>0</v>
      </c>
      <c r="D16" s="21">
        <f t="shared" ca="1" si="1"/>
        <v>32428.643752777138</v>
      </c>
      <c r="E16" s="21">
        <f t="shared" si="1"/>
        <v>255.94836613540448</v>
      </c>
      <c r="F16" s="21">
        <f t="shared" ca="1" si="1"/>
        <v>4324.9732832517484</v>
      </c>
      <c r="G16" s="21">
        <f t="shared" si="1"/>
        <v>0</v>
      </c>
      <c r="H16" s="21">
        <f t="shared" si="1"/>
        <v>0</v>
      </c>
      <c r="I16" s="21">
        <f t="shared" si="1"/>
        <v>0</v>
      </c>
      <c r="J16" s="21">
        <f t="shared" si="1"/>
        <v>0</v>
      </c>
      <c r="K16" s="21">
        <f t="shared" si="1"/>
        <v>0</v>
      </c>
      <c r="L16" s="21">
        <f t="shared" ca="1" si="1"/>
        <v>0</v>
      </c>
      <c r="M16" s="21">
        <f t="shared" si="1"/>
        <v>0</v>
      </c>
      <c r="N16" s="21">
        <f t="shared" ca="1" si="1"/>
        <v>1845.6726533636793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0.21613780584868542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3607.071116985926</v>
      </c>
      <c r="C20" s="23">
        <f t="shared" ref="C20:P20" ca="1" si="2">C16*C18</f>
        <v>0</v>
      </c>
      <c r="D20" s="23">
        <f t="shared" ca="1" si="2"/>
        <v>6550.586038060982</v>
      </c>
      <c r="E20" s="23">
        <f t="shared" si="2"/>
        <v>58.100279112736821</v>
      </c>
      <c r="F20" s="23">
        <f t="shared" ca="1" si="2"/>
        <v>1154.7678666282168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6770.0994215999999</v>
      </c>
      <c r="C26" s="39">
        <f>IF(ISERROR(B26*3.6/1000000/'E Balans VL '!Z12*100),0,B26*3.6/1000000/'E Balans VL '!Z12*100)</f>
        <v>0.14502078909611077</v>
      </c>
      <c r="D26" s="237" t="s">
        <v>660</v>
      </c>
      <c r="F26" s="6"/>
    </row>
    <row r="27" spans="1:18">
      <c r="A27" s="231" t="s">
        <v>53</v>
      </c>
      <c r="B27" s="33">
        <f>IF(ISERROR(TER_horeca_ele_kWh/1000),0,TER_horeca_ele_kWh/1000)</f>
        <v>362.24136432</v>
      </c>
      <c r="C27" s="39">
        <f>IF(ISERROR(B27*3.6/1000000/'E Balans VL '!Z9*100),0,B27*3.6/1000000/'E Balans VL '!Z9*100)</f>
        <v>2.9068610348549857E-2</v>
      </c>
      <c r="D27" s="237" t="s">
        <v>660</v>
      </c>
      <c r="F27" s="6"/>
    </row>
    <row r="28" spans="1:18">
      <c r="A28" s="171" t="s">
        <v>52</v>
      </c>
      <c r="B28" s="33">
        <f>IF(ISERROR(TER_handel_ele_kWh/1000),0,TER_handel_ele_kWh/1000)</f>
        <v>3968.2791852999999</v>
      </c>
      <c r="C28" s="39">
        <f>IF(ISERROR(B28*3.6/1000000/'E Balans VL '!Z13*100),0,B28*3.6/1000000/'E Balans VL '!Z13*100)</f>
        <v>0.11704147482481131</v>
      </c>
      <c r="D28" s="237" t="s">
        <v>660</v>
      </c>
      <c r="F28" s="6"/>
    </row>
    <row r="29" spans="1:18">
      <c r="A29" s="231" t="s">
        <v>51</v>
      </c>
      <c r="B29" s="33">
        <f>IF(ISERROR(TER_gezond_ele_kWh/1000),0,TER_gezond_ele_kWh/1000)</f>
        <v>459.35001020999999</v>
      </c>
      <c r="C29" s="39">
        <f>IF(ISERROR(B29*3.6/1000000/'E Balans VL '!Z10*100),0,B29*3.6/1000000/'E Balans VL '!Z10*100)</f>
        <v>4.9046265454821741E-2</v>
      </c>
      <c r="D29" s="237" t="s">
        <v>660</v>
      </c>
      <c r="F29" s="6"/>
    </row>
    <row r="30" spans="1:18">
      <c r="A30" s="231" t="s">
        <v>50</v>
      </c>
      <c r="B30" s="33">
        <f>IF(ISERROR(TER_ander_ele_kWh/1000),0,TER_ander_ele_kWh/1000)</f>
        <v>2164.3778393000002</v>
      </c>
      <c r="C30" s="39">
        <f>IF(ISERROR(B30*3.6/1000000/'E Balans VL '!Z14*100),0,B30*3.6/1000000/'E Balans VL '!Z14*100)</f>
        <v>0.16348395737127575</v>
      </c>
      <c r="D30" s="237" t="s">
        <v>660</v>
      </c>
      <c r="F30" s="6"/>
    </row>
    <row r="31" spans="1:18">
      <c r="A31" s="231" t="s">
        <v>55</v>
      </c>
      <c r="B31" s="33">
        <f>IF(ISERROR(TER_onderwijs_ele_kWh/1000),0,TER_onderwijs_ele_kWh/1000)</f>
        <v>1604.2437538000001</v>
      </c>
      <c r="C31" s="39">
        <f>IF(ISERROR(B31*3.6/1000000/'E Balans VL '!Z11*100),0,B31*3.6/1000000/'E Balans VL '!Z11*100)</f>
        <v>0.32395036768597801</v>
      </c>
      <c r="D31" s="237" t="s">
        <v>660</v>
      </c>
    </row>
    <row r="32" spans="1:18">
      <c r="A32" s="231" t="s">
        <v>260</v>
      </c>
      <c r="B32" s="33">
        <f>IF(ISERROR(TER_rest_ele_kWh/1000),0,TER_rest_ele_kWh/1000)</f>
        <v>1360.1644847</v>
      </c>
      <c r="C32" s="39">
        <f>IF(ISERROR(B32*3.6/1000000/'E Balans VL '!Z8*100),0,B32*3.6/1000000/'E Balans VL '!Z8*100)</f>
        <v>1.1277657593544292E-2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1747.3129191710004</v>
      </c>
      <c r="C5" s="17">
        <f>IF(ISERROR('Eigen informatie GS &amp; warmtenet'!B59),0,'Eigen informatie GS &amp; warmtenet'!B59)</f>
        <v>0</v>
      </c>
      <c r="D5" s="30">
        <f>SUM(D6:D15)</f>
        <v>2108.1856929146202</v>
      </c>
      <c r="E5" s="17">
        <f>SUM(E6:E15)</f>
        <v>394.8577020883078</v>
      </c>
      <c r="F5" s="17">
        <f>SUM(F6:F15)</f>
        <v>1361.6762890313487</v>
      </c>
      <c r="G5" s="18"/>
      <c r="H5" s="17"/>
      <c r="I5" s="17"/>
      <c r="J5" s="17">
        <f>SUM(J6:J15)</f>
        <v>2.1411402503912029</v>
      </c>
      <c r="K5" s="17"/>
      <c r="L5" s="17"/>
      <c r="M5" s="17"/>
      <c r="N5" s="17">
        <f>SUM(N6:N15)</f>
        <v>529.31424965481938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76.03898685499999</v>
      </c>
      <c r="C8" s="33"/>
      <c r="D8" s="37">
        <f>IF( ISERROR(IND_metaal_Gas_kWH/1000),0,IND_metaal_Gas_kWH/1000)*0.902</f>
        <v>0</v>
      </c>
      <c r="E8" s="33">
        <f>C30*'E Balans VL '!I18/100/3.6*1000000</f>
        <v>2.7361127805716494</v>
      </c>
      <c r="F8" s="33">
        <f>C30*'E Balans VL '!L18/100/3.6*1000000+C30*'E Balans VL '!N18/100/3.6*1000000</f>
        <v>33.203760640824946</v>
      </c>
      <c r="G8" s="34"/>
      <c r="H8" s="33"/>
      <c r="I8" s="33"/>
      <c r="J8" s="40">
        <f>C30*'E Balans VL '!D18/100/3.6*1000000+C30*'E Balans VL '!E18/100/3.6*1000000</f>
        <v>0</v>
      </c>
      <c r="K8" s="33"/>
      <c r="L8" s="33"/>
      <c r="M8" s="33"/>
      <c r="N8" s="33">
        <f>C30*'E Balans VL '!Y18/100/3.6*1000000</f>
        <v>3.8110223472056779</v>
      </c>
      <c r="O8" s="33"/>
      <c r="P8" s="33"/>
      <c r="R8" s="32"/>
    </row>
    <row r="9" spans="1:18">
      <c r="A9" s="6" t="s">
        <v>33</v>
      </c>
      <c r="B9" s="37">
        <f t="shared" si="0"/>
        <v>1503.6046055000002</v>
      </c>
      <c r="C9" s="33"/>
      <c r="D9" s="37">
        <f>IF( ISERROR(IND_andere_gas_kWh/1000),0,IND_andere_gas_kWh/1000)*0.902</f>
        <v>1449.8351790186</v>
      </c>
      <c r="E9" s="33">
        <f>C31*'E Balans VL '!I19/100/3.6*1000000</f>
        <v>383.68587531653554</v>
      </c>
      <c r="F9" s="33">
        <f>C31*'E Balans VL '!L19/100/3.6*1000000+C31*'E Balans VL '!N19/100/3.6*1000000</f>
        <v>1294.4905500196928</v>
      </c>
      <c r="G9" s="34"/>
      <c r="H9" s="33"/>
      <c r="I9" s="33"/>
      <c r="J9" s="40">
        <f>C31*'E Balans VL '!D19/100/3.6*1000000+C31*'E Balans VL '!E19/100/3.6*1000000</f>
        <v>0</v>
      </c>
      <c r="K9" s="33"/>
      <c r="L9" s="33"/>
      <c r="M9" s="33"/>
      <c r="N9" s="33">
        <f>C31*'E Balans VL '!Y19/100/3.6*1000000</f>
        <v>470.22865321971403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13.287902726</v>
      </c>
      <c r="C13" s="33"/>
      <c r="D13" s="37">
        <f>IF( ISERROR(IND_papier_gas_kWh/1000),0,IND_papier_gas_kWh/1000)*0.902</f>
        <v>123.42402905118001</v>
      </c>
      <c r="E13" s="33">
        <f>C35*'E Balans VL '!I23/100/3.6*1000000</f>
        <v>5.6987949104604654E-2</v>
      </c>
      <c r="F13" s="33">
        <f>C35*'E Balans VL '!L23/100/3.6*1000000+C35*'E Balans VL '!N23/100/3.6*1000000</f>
        <v>0.33396623852890878</v>
      </c>
      <c r="G13" s="34"/>
      <c r="H13" s="33"/>
      <c r="I13" s="33"/>
      <c r="J13" s="40">
        <f>C35*'E Balans VL '!D23/100/3.6*1000000+C35*'E Balans VL '!E23/100/3.6*1000000</f>
        <v>0.88955220635728394</v>
      </c>
      <c r="K13" s="33"/>
      <c r="L13" s="33"/>
      <c r="M13" s="33"/>
      <c r="N13" s="33">
        <f>C35*'E Balans VL '!Y23/100/3.6*1000000</f>
        <v>24.187142945149112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154.38142409</v>
      </c>
      <c r="C15" s="33"/>
      <c r="D15" s="37">
        <f>IF( ISERROR(IND_rest_gas_kWh/1000),0,IND_rest_gas_kWh/1000)*0.902</f>
        <v>534.92648484484005</v>
      </c>
      <c r="E15" s="33">
        <f>C37*'E Balans VL '!I15/100/3.6*1000000</f>
        <v>8.3787260420959768</v>
      </c>
      <c r="F15" s="33">
        <f>C37*'E Balans VL '!L15/100/3.6*1000000+C37*'E Balans VL '!N15/100/3.6*1000000</f>
        <v>33.648012132302135</v>
      </c>
      <c r="G15" s="34"/>
      <c r="H15" s="33"/>
      <c r="I15" s="33"/>
      <c r="J15" s="40">
        <f>C37*'E Balans VL '!D15/100/3.6*1000000+C37*'E Balans VL '!E15/100/3.6*1000000</f>
        <v>1.2515880440339189</v>
      </c>
      <c r="K15" s="33"/>
      <c r="L15" s="33"/>
      <c r="M15" s="33"/>
      <c r="N15" s="33">
        <f>C37*'E Balans VL '!Y15/100/3.6*1000000</f>
        <v>31.087431142750571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1747.3129191710004</v>
      </c>
      <c r="C18" s="21">
        <f>C5+C16</f>
        <v>0</v>
      </c>
      <c r="D18" s="21">
        <f>MAX((D5+D16),0)</f>
        <v>2108.1856929146202</v>
      </c>
      <c r="E18" s="21">
        <f>MAX((E5+E16),0)</f>
        <v>394.8577020883078</v>
      </c>
      <c r="F18" s="21">
        <f>MAX((F5+F16),0)</f>
        <v>1361.6762890313487</v>
      </c>
      <c r="G18" s="21"/>
      <c r="H18" s="21"/>
      <c r="I18" s="21"/>
      <c r="J18" s="21">
        <f>MAX((J5+J16),0)</f>
        <v>2.1411402503912029</v>
      </c>
      <c r="K18" s="21"/>
      <c r="L18" s="21">
        <f>MAX((L5+L16),0)</f>
        <v>0</v>
      </c>
      <c r="M18" s="21"/>
      <c r="N18" s="21">
        <f>MAX((N5+N16),0)</f>
        <v>529.31424965481938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0.21613780584868542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377.66038048068145</v>
      </c>
      <c r="C22" s="23">
        <f ca="1">C18*C20</f>
        <v>0</v>
      </c>
      <c r="D22" s="23">
        <f>D18*D20</f>
        <v>425.85350996875331</v>
      </c>
      <c r="E22" s="23">
        <f>E18*E20</f>
        <v>89.632698374045873</v>
      </c>
      <c r="F22" s="23">
        <f>F18*F20</f>
        <v>363.56756917137011</v>
      </c>
      <c r="G22" s="23"/>
      <c r="H22" s="23"/>
      <c r="I22" s="23"/>
      <c r="J22" s="23">
        <f>J18*J20</f>
        <v>0.75796364863848575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76.03898685499999</v>
      </c>
      <c r="C30" s="39">
        <f>IF(ISERROR(B30*3.6/1000000/'E Balans VL '!Z18*100),0,B30*3.6/1000000/'E Balans VL '!Z18*100)</f>
        <v>1.6111031081661998E-2</v>
      </c>
      <c r="D30" s="237" t="s">
        <v>660</v>
      </c>
    </row>
    <row r="31" spans="1:18">
      <c r="A31" s="6" t="s">
        <v>33</v>
      </c>
      <c r="B31" s="37">
        <f>IF( ISERROR(IND_ander_ele_kWh/1000),0,IND_ander_ele_kWh/1000)</f>
        <v>1503.6046055000002</v>
      </c>
      <c r="C31" s="39">
        <f>IF(ISERROR(B31*3.6/1000000/'E Balans VL '!Z19*100),0,B31*3.6/1000000/'E Balans VL '!Z19*100)</f>
        <v>6.3290132028051338E-2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13.287902726</v>
      </c>
      <c r="C35" s="39">
        <f>IF(ISERROR(B35*3.6/1000000/'E Balans VL '!Z22*100),0,B35*3.6/1000000/'E Balans VL '!Z22*100)</f>
        <v>1.6843133319682521E-3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154.38142409</v>
      </c>
      <c r="C37" s="39">
        <f>IF(ISERROR(B37*3.6/1000000/'E Balans VL '!Z15*100),0,B37*3.6/1000000/'E Balans VL '!Z15*100)</f>
        <v>1.2463810159058836E-3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62.647658752000005</v>
      </c>
      <c r="C5" s="17">
        <f>'Eigen informatie GS &amp; warmtenet'!B60</f>
        <v>0</v>
      </c>
      <c r="D5" s="30">
        <f>IF(ISERROR(SUM(LB_lb_gas_kWh,LB_rest_gas_kWh)/1000),0,SUM(LB_lb_gas_kWh,LB_rest_gas_kWh)/1000)*0.902</f>
        <v>54.875821384802002</v>
      </c>
      <c r="E5" s="17">
        <f>B17*'E Balans VL '!I25/3.6*1000000/100</f>
        <v>1.6154425800143537</v>
      </c>
      <c r="F5" s="17">
        <f>B17*('E Balans VL '!L25/3.6*1000000+'E Balans VL '!N25/3.6*1000000)/100</f>
        <v>228.98912340561165</v>
      </c>
      <c r="G5" s="18"/>
      <c r="H5" s="17"/>
      <c r="I5" s="17"/>
      <c r="J5" s="17">
        <f>('E Balans VL '!D25+'E Balans VL '!E25)/3.6*1000000*landbouw!B17/100</f>
        <v>9.0189582623489954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62.647658752000005</v>
      </c>
      <c r="C8" s="21">
        <f>C5+C6</f>
        <v>0</v>
      </c>
      <c r="D8" s="21">
        <f>MAX((D5+D6),0)</f>
        <v>54.875821384802002</v>
      </c>
      <c r="E8" s="21">
        <f>MAX((E5+E6),0)</f>
        <v>1.6154425800143537</v>
      </c>
      <c r="F8" s="21">
        <f>MAX((F5+F6),0)</f>
        <v>228.98912340561165</v>
      </c>
      <c r="G8" s="21"/>
      <c r="H8" s="21"/>
      <c r="I8" s="21"/>
      <c r="J8" s="21">
        <f>MAX((J5+J6),0)</f>
        <v>9.0189582623489954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0.21613780584868542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13.540527504214475</v>
      </c>
      <c r="C12" s="23">
        <f ca="1">C8*C10</f>
        <v>0</v>
      </c>
      <c r="D12" s="23">
        <f>D8*D10</f>
        <v>11.084915919730005</v>
      </c>
      <c r="E12" s="23">
        <f>E8*E10</f>
        <v>0.36670546566325829</v>
      </c>
      <c r="F12" s="23">
        <f>F8*F10</f>
        <v>61.140095949298313</v>
      </c>
      <c r="G12" s="23"/>
      <c r="H12" s="23"/>
      <c r="I12" s="23"/>
      <c r="J12" s="23">
        <f>J8*J10</f>
        <v>3.1927112248715441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8.8337348528187819E-3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45.324487616496967</v>
      </c>
      <c r="C26" s="247">
        <f>B26*'GWP N2O_CH4'!B5</f>
        <v>951.81423994643626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4.8545827726962276</v>
      </c>
      <c r="C27" s="247">
        <f>B27*'GWP N2O_CH4'!B5</f>
        <v>101.94623822662078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0.606215903456506</v>
      </c>
      <c r="C28" s="247">
        <f>B28*'GWP N2O_CH4'!B4</f>
        <v>187.92693007151686</v>
      </c>
      <c r="D28" s="50"/>
    </row>
    <row r="29" spans="1:4">
      <c r="A29" s="41" t="s">
        <v>277</v>
      </c>
      <c r="B29" s="247">
        <f>B34*'ha_N2O bodem landbouw'!B4</f>
        <v>2.7823847205488006</v>
      </c>
      <c r="C29" s="247">
        <f>B29*'GWP N2O_CH4'!B4</f>
        <v>862.5392633701282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6.2618776130748759E-4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8.881763036634792E-5</v>
      </c>
      <c r="C5" s="463" t="s">
        <v>211</v>
      </c>
      <c r="D5" s="448">
        <f>SUM(D6:D11)</f>
        <v>2.5738712231441146E-4</v>
      </c>
      <c r="E5" s="448">
        <f>SUM(E6:E11)</f>
        <v>9.5791566762700212E-4</v>
      </c>
      <c r="F5" s="461" t="s">
        <v>211</v>
      </c>
      <c r="G5" s="448">
        <f>SUM(G6:G11)</f>
        <v>0.23310320452067995</v>
      </c>
      <c r="H5" s="448">
        <f>SUM(H6:H11)</f>
        <v>6.8160207655695165E-2</v>
      </c>
      <c r="I5" s="463" t="s">
        <v>211</v>
      </c>
      <c r="J5" s="463" t="s">
        <v>211</v>
      </c>
      <c r="K5" s="463" t="s">
        <v>211</v>
      </c>
      <c r="L5" s="463" t="s">
        <v>211</v>
      </c>
      <c r="M5" s="448">
        <f>SUM(M6:M11)</f>
        <v>9.3868112440152265E-3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3.5982294810116351E-5</v>
      </c>
      <c r="C6" s="449"/>
      <c r="D6" s="892">
        <f>vkm_2011_GW_PW*SUMIFS(TableVerdeelsleutelVkm[CNG],TableVerdeelsleutelVkm[Voertuigtype],"Lichte voertuigen")*SUMIFS(TableECFTransport[EnergieConsumptieFactor (PJ per km)],TableECFTransport[Index],CONCATENATE($A6,"_CNG_CNG"))</f>
        <v>7.1497450072808243E-5</v>
      </c>
      <c r="E6" s="892">
        <f>vkm_2011_GW_PW*SUMIFS(TableVerdeelsleutelVkm[LPG],TableVerdeelsleutelVkm[Voertuigtype],"Lichte voertuigen")*SUMIFS(TableECFTransport[EnergieConsumptieFactor (PJ per km)],TableECFTransport[Index],CONCATENATE($A6,"_LPG_LPG"))</f>
        <v>2.8136809595101866E-4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6.6899678914821417E-2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1.9356510687941589E-2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2.6878225181521482E-3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2.8852499101646588E-3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9.3205896012767712E-7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9.0909810017456857E-5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5.2835335556231562E-5</v>
      </c>
      <c r="C8" s="449"/>
      <c r="D8" s="451">
        <f>vkm_2011_NGW_PW*SUMIFS(TableVerdeelsleutelVkm[CNG],TableVerdeelsleutelVkm[Voertuigtype],"Lichte voertuigen")*SUMIFS(TableECFTransport[EnergieConsumptieFactor (PJ per km)],TableECFTransport[Index],CONCATENATE($A8,"_CNG_CNG"))</f>
        <v>1.8588967224160321E-4</v>
      </c>
      <c r="E8" s="451">
        <f>vkm_2011_NGW_PW*SUMIFS(TableVerdeelsleutelVkm[LPG],TableVerdeelsleutelVkm[Voertuigtype],"Lichte voertuigen")*SUMIFS(TableECFTransport[EnergieConsumptieFactor (PJ per km)],TableECFTransport[Index],CONCATENATE($A8,"_LPG_LPG"))</f>
        <v>6.7654757167598346E-4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0.15021257935672688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4.8798761007437325E-2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6.1951453693108978E-3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1.3105696338966999E-2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4.0039013561343879E-6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4.1293354653472382E-4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24.671563990652199</v>
      </c>
      <c r="C14" s="21"/>
      <c r="D14" s="21">
        <f t="shared" ref="D14:M14" si="0">((D5)*10^9/3600)+D12</f>
        <v>71.496422865114297</v>
      </c>
      <c r="E14" s="21">
        <f t="shared" si="0"/>
        <v>266.08768545194505</v>
      </c>
      <c r="F14" s="21"/>
      <c r="G14" s="21">
        <f t="shared" si="0"/>
        <v>64750.890144633318</v>
      </c>
      <c r="H14" s="21">
        <f t="shared" si="0"/>
        <v>18933.391015470879</v>
      </c>
      <c r="I14" s="21"/>
      <c r="J14" s="21"/>
      <c r="K14" s="21"/>
      <c r="L14" s="21"/>
      <c r="M14" s="21">
        <f t="shared" si="0"/>
        <v>2607.4475677820074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0.21613780584868542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5.3324577077950037</v>
      </c>
      <c r="C18" s="23"/>
      <c r="D18" s="23">
        <f t="shared" ref="D18:M18" si="1">D14*D16</f>
        <v>14.44227741875309</v>
      </c>
      <c r="E18" s="23">
        <f t="shared" si="1"/>
        <v>60.401904597591525</v>
      </c>
      <c r="F18" s="23"/>
      <c r="G18" s="23">
        <f t="shared" si="1"/>
        <v>17288.487668617097</v>
      </c>
      <c r="H18" s="23">
        <f t="shared" si="1"/>
        <v>4714.4143628522488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6.3469338806207568E-3</v>
      </c>
      <c r="H50" s="321">
        <f t="shared" si="2"/>
        <v>0</v>
      </c>
      <c r="I50" s="321">
        <f t="shared" si="2"/>
        <v>0</v>
      </c>
      <c r="J50" s="321">
        <f t="shared" si="2"/>
        <v>0</v>
      </c>
      <c r="K50" s="321">
        <f t="shared" si="2"/>
        <v>0</v>
      </c>
      <c r="L50" s="321">
        <f t="shared" si="2"/>
        <v>0</v>
      </c>
      <c r="M50" s="321">
        <f t="shared" si="2"/>
        <v>1.9686768973006357E-4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6.3469338806207568E-3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1.9686768973006357E-4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1763.0371890613214</v>
      </c>
      <c r="H54" s="21">
        <f t="shared" si="3"/>
        <v>0</v>
      </c>
      <c r="I54" s="21">
        <f t="shared" si="3"/>
        <v>0</v>
      </c>
      <c r="J54" s="21">
        <f t="shared" si="3"/>
        <v>0</v>
      </c>
      <c r="K54" s="21">
        <f t="shared" si="3"/>
        <v>0</v>
      </c>
      <c r="L54" s="21">
        <f t="shared" si="3"/>
        <v>0</v>
      </c>
      <c r="M54" s="21">
        <f t="shared" si="3"/>
        <v>54.685469369462105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0.21613780584868542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470.73092947937283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17843.872059230001</v>
      </c>
      <c r="D10" s="1012">
        <f ca="1">tertiair!C16</f>
        <v>0</v>
      </c>
      <c r="E10" s="1012">
        <f ca="1">tertiair!D16</f>
        <v>32428.643752777138</v>
      </c>
      <c r="F10" s="1012">
        <f>tertiair!E16</f>
        <v>255.94836613540448</v>
      </c>
      <c r="G10" s="1012">
        <f ca="1">tertiair!F16</f>
        <v>4324.9732832517484</v>
      </c>
      <c r="H10" s="1012">
        <f>tertiair!G16</f>
        <v>0</v>
      </c>
      <c r="I10" s="1012">
        <f>tertiair!H16</f>
        <v>0</v>
      </c>
      <c r="J10" s="1012">
        <f>tertiair!I16</f>
        <v>0</v>
      </c>
      <c r="K10" s="1012">
        <f>tertiair!J16</f>
        <v>0</v>
      </c>
      <c r="L10" s="1012">
        <f>tertiair!K16</f>
        <v>0</v>
      </c>
      <c r="M10" s="1012">
        <f ca="1">tertiair!L16</f>
        <v>0</v>
      </c>
      <c r="N10" s="1012">
        <f>tertiair!M16</f>
        <v>0</v>
      </c>
      <c r="O10" s="1012">
        <f ca="1">tertiair!N16</f>
        <v>1845.6726533636793</v>
      </c>
      <c r="P10" s="1012">
        <f>tertiair!O16</f>
        <v>1.5633333333333335</v>
      </c>
      <c r="Q10" s="1013">
        <f>tertiair!P16</f>
        <v>0</v>
      </c>
      <c r="R10" s="700">
        <f ca="1">SUM(C10:Q10)</f>
        <v>56700.673448091307</v>
      </c>
      <c r="S10" s="67"/>
    </row>
    <row r="11" spans="1:19" s="473" customFormat="1">
      <c r="A11" s="809" t="s">
        <v>225</v>
      </c>
      <c r="B11" s="814"/>
      <c r="C11" s="1012">
        <f>huishoudens!B8</f>
        <v>34060.077193625868</v>
      </c>
      <c r="D11" s="1012">
        <f>huishoudens!C8</f>
        <v>0</v>
      </c>
      <c r="E11" s="1012">
        <f>huishoudens!D8</f>
        <v>125768.68917712002</v>
      </c>
      <c r="F11" s="1012">
        <f>huishoudens!E8</f>
        <v>977.36783504154528</v>
      </c>
      <c r="G11" s="1012">
        <f>huishoudens!F8</f>
        <v>10639.955573825102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6476.8412777765061</v>
      </c>
      <c r="P11" s="1012">
        <f>huishoudens!O8</f>
        <v>81.293333333333337</v>
      </c>
      <c r="Q11" s="1013">
        <f>huishoudens!P8</f>
        <v>190.66666666666669</v>
      </c>
      <c r="R11" s="700">
        <f>SUM(C11:Q11)</f>
        <v>178194.89105738906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1747.3129191710004</v>
      </c>
      <c r="D13" s="1012">
        <f>industrie!C18</f>
        <v>0</v>
      </c>
      <c r="E13" s="1012">
        <f>industrie!D18</f>
        <v>2108.1856929146202</v>
      </c>
      <c r="F13" s="1012">
        <f>industrie!E18</f>
        <v>394.8577020883078</v>
      </c>
      <c r="G13" s="1012">
        <f>industrie!F18</f>
        <v>1361.6762890313487</v>
      </c>
      <c r="H13" s="1012">
        <f>industrie!G18</f>
        <v>0</v>
      </c>
      <c r="I13" s="1012">
        <f>industrie!H18</f>
        <v>0</v>
      </c>
      <c r="J13" s="1012">
        <f>industrie!I18</f>
        <v>0</v>
      </c>
      <c r="K13" s="1012">
        <f>industrie!J18</f>
        <v>2.1411402503912029</v>
      </c>
      <c r="L13" s="1012">
        <f>industrie!K18</f>
        <v>0</v>
      </c>
      <c r="M13" s="1012">
        <f>industrie!L18</f>
        <v>0</v>
      </c>
      <c r="N13" s="1012">
        <f>industrie!M18</f>
        <v>0</v>
      </c>
      <c r="O13" s="1012">
        <f>industrie!N18</f>
        <v>529.31424965481938</v>
      </c>
      <c r="P13" s="1012">
        <f>industrie!O18</f>
        <v>0</v>
      </c>
      <c r="Q13" s="1013">
        <f>industrie!P18</f>
        <v>0</v>
      </c>
      <c r="R13" s="700">
        <f>SUM(C13:Q13)</f>
        <v>6143.4879931104879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53651.262172026873</v>
      </c>
      <c r="D16" s="732">
        <f t="shared" ref="D16:R16" ca="1" si="0">SUM(D9:D15)</f>
        <v>0</v>
      </c>
      <c r="E16" s="732">
        <f t="shared" ca="1" si="0"/>
        <v>160305.51862281177</v>
      </c>
      <c r="F16" s="732">
        <f t="shared" si="0"/>
        <v>1628.1739032652576</v>
      </c>
      <c r="G16" s="732">
        <f t="shared" ca="1" si="0"/>
        <v>16326.605146108201</v>
      </c>
      <c r="H16" s="732">
        <f t="shared" si="0"/>
        <v>0</v>
      </c>
      <c r="I16" s="732">
        <f t="shared" si="0"/>
        <v>0</v>
      </c>
      <c r="J16" s="732">
        <f t="shared" si="0"/>
        <v>0</v>
      </c>
      <c r="K16" s="732">
        <f t="shared" si="0"/>
        <v>2.1411402503912029</v>
      </c>
      <c r="L16" s="732">
        <f t="shared" si="0"/>
        <v>0</v>
      </c>
      <c r="M16" s="732">
        <f t="shared" ca="1" si="0"/>
        <v>0</v>
      </c>
      <c r="N16" s="732">
        <f t="shared" si="0"/>
        <v>0</v>
      </c>
      <c r="O16" s="732">
        <f t="shared" ca="1" si="0"/>
        <v>8851.8281807950043</v>
      </c>
      <c r="P16" s="732">
        <f t="shared" si="0"/>
        <v>82.856666666666669</v>
      </c>
      <c r="Q16" s="732">
        <f t="shared" si="0"/>
        <v>190.66666666666669</v>
      </c>
      <c r="R16" s="732">
        <f t="shared" ca="1" si="0"/>
        <v>241039.05249859087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1763.0371890613214</v>
      </c>
      <c r="I19" s="1012">
        <f>transport!H54</f>
        <v>0</v>
      </c>
      <c r="J19" s="1012">
        <f>transport!I54</f>
        <v>0</v>
      </c>
      <c r="K19" s="1012">
        <f>transport!J54</f>
        <v>0</v>
      </c>
      <c r="L19" s="1012">
        <f>transport!K54</f>
        <v>0</v>
      </c>
      <c r="M19" s="1012">
        <f>transport!L54</f>
        <v>0</v>
      </c>
      <c r="N19" s="1012">
        <f>transport!M54</f>
        <v>54.685469369462105</v>
      </c>
      <c r="O19" s="1012">
        <f>transport!N54</f>
        <v>0</v>
      </c>
      <c r="P19" s="1012">
        <f>transport!O54</f>
        <v>0</v>
      </c>
      <c r="Q19" s="1013">
        <f>transport!P54</f>
        <v>0</v>
      </c>
      <c r="R19" s="700">
        <f>SUM(C19:Q19)</f>
        <v>1817.7226584307834</v>
      </c>
      <c r="S19" s="67"/>
    </row>
    <row r="20" spans="1:19" s="473" customFormat="1">
      <c r="A20" s="809" t="s">
        <v>307</v>
      </c>
      <c r="B20" s="814"/>
      <c r="C20" s="1012">
        <f>transport!B14</f>
        <v>24.671563990652199</v>
      </c>
      <c r="D20" s="1012">
        <f>transport!C14</f>
        <v>0</v>
      </c>
      <c r="E20" s="1012">
        <f>transport!D14</f>
        <v>71.496422865114297</v>
      </c>
      <c r="F20" s="1012">
        <f>transport!E14</f>
        <v>266.08768545194505</v>
      </c>
      <c r="G20" s="1012">
        <f>transport!F14</f>
        <v>0</v>
      </c>
      <c r="H20" s="1012">
        <f>transport!G14</f>
        <v>64750.890144633318</v>
      </c>
      <c r="I20" s="1012">
        <f>transport!H14</f>
        <v>18933.391015470879</v>
      </c>
      <c r="J20" s="1012">
        <f>transport!I14</f>
        <v>0</v>
      </c>
      <c r="K20" s="1012">
        <f>transport!J14</f>
        <v>0</v>
      </c>
      <c r="L20" s="1012">
        <f>transport!K14</f>
        <v>0</v>
      </c>
      <c r="M20" s="1012">
        <f>transport!L14</f>
        <v>0</v>
      </c>
      <c r="N20" s="1012">
        <f>transport!M14</f>
        <v>2607.4475677820074</v>
      </c>
      <c r="O20" s="1012">
        <f>transport!N14</f>
        <v>0</v>
      </c>
      <c r="P20" s="1012">
        <f>transport!O14</f>
        <v>0</v>
      </c>
      <c r="Q20" s="1013">
        <f>transport!P14</f>
        <v>0</v>
      </c>
      <c r="R20" s="700">
        <f>SUM(C20:Q20)</f>
        <v>86653.98440019392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24.671563990652199</v>
      </c>
      <c r="D22" s="812">
        <f t="shared" ref="D22:R22" si="1">SUM(D18:D21)</f>
        <v>0</v>
      </c>
      <c r="E22" s="812">
        <f t="shared" si="1"/>
        <v>71.496422865114297</v>
      </c>
      <c r="F22" s="812">
        <f t="shared" si="1"/>
        <v>266.08768545194505</v>
      </c>
      <c r="G22" s="812">
        <f t="shared" si="1"/>
        <v>0</v>
      </c>
      <c r="H22" s="812">
        <f t="shared" si="1"/>
        <v>66513.927333694635</v>
      </c>
      <c r="I22" s="812">
        <f t="shared" si="1"/>
        <v>18933.391015470879</v>
      </c>
      <c r="J22" s="812">
        <f t="shared" si="1"/>
        <v>0</v>
      </c>
      <c r="K22" s="812">
        <f t="shared" si="1"/>
        <v>0</v>
      </c>
      <c r="L22" s="812">
        <f t="shared" si="1"/>
        <v>0</v>
      </c>
      <c r="M22" s="812">
        <f t="shared" si="1"/>
        <v>0</v>
      </c>
      <c r="N22" s="812">
        <f t="shared" si="1"/>
        <v>2662.1330371514696</v>
      </c>
      <c r="O22" s="812">
        <f t="shared" si="1"/>
        <v>0</v>
      </c>
      <c r="P22" s="812">
        <f t="shared" si="1"/>
        <v>0</v>
      </c>
      <c r="Q22" s="812">
        <f t="shared" si="1"/>
        <v>0</v>
      </c>
      <c r="R22" s="812">
        <f t="shared" si="1"/>
        <v>88471.707058624699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62.647658752000005</v>
      </c>
      <c r="D24" s="1012">
        <f>+landbouw!C8</f>
        <v>0</v>
      </c>
      <c r="E24" s="1012">
        <f>+landbouw!D8</f>
        <v>54.875821384802002</v>
      </c>
      <c r="F24" s="1012">
        <f>+landbouw!E8</f>
        <v>1.6154425800143537</v>
      </c>
      <c r="G24" s="1012">
        <f>+landbouw!F8</f>
        <v>228.98912340561165</v>
      </c>
      <c r="H24" s="1012">
        <f>+landbouw!G8</f>
        <v>0</v>
      </c>
      <c r="I24" s="1012">
        <f>+landbouw!H8</f>
        <v>0</v>
      </c>
      <c r="J24" s="1012">
        <f>+landbouw!I8</f>
        <v>0</v>
      </c>
      <c r="K24" s="1012">
        <f>+landbouw!J8</f>
        <v>9.0189582623489954</v>
      </c>
      <c r="L24" s="1012">
        <f>+landbouw!K8</f>
        <v>0</v>
      </c>
      <c r="M24" s="1012">
        <f>+landbouw!L8</f>
        <v>0</v>
      </c>
      <c r="N24" s="1012">
        <f>+landbouw!M8</f>
        <v>0</v>
      </c>
      <c r="O24" s="1012">
        <f>+landbouw!N8</f>
        <v>0</v>
      </c>
      <c r="P24" s="1012">
        <f>+landbouw!O8</f>
        <v>0</v>
      </c>
      <c r="Q24" s="1013">
        <f>+landbouw!P8</f>
        <v>0</v>
      </c>
      <c r="R24" s="700">
        <f>SUM(C24:Q24)</f>
        <v>357.14700438477701</v>
      </c>
      <c r="S24" s="67"/>
    </row>
    <row r="25" spans="1:19" s="473" customFormat="1" ht="15" thickBot="1">
      <c r="A25" s="831" t="s">
        <v>848</v>
      </c>
      <c r="B25" s="1015"/>
      <c r="C25" s="1016">
        <f>IF(Onbekend_ele_kWh="---",0,Onbekend_ele_kWh)/1000+IF(REST_rest_ele_kWh="---",0,REST_rest_ele_kWh)/1000</f>
        <v>1755.5744529999999</v>
      </c>
      <c r="D25" s="1016"/>
      <c r="E25" s="1016">
        <f>IF(onbekend_gas_kWh="---",0,onbekend_gas_kWh)/1000+IF(REST_rest_gas_kWh="---",0,REST_rest_gas_kWh)/1000</f>
        <v>7017.5515039000002</v>
      </c>
      <c r="F25" s="1016"/>
      <c r="G25" s="1016"/>
      <c r="H25" s="1016"/>
      <c r="I25" s="1016"/>
      <c r="J25" s="1016"/>
      <c r="K25" s="1016"/>
      <c r="L25" s="1016"/>
      <c r="M25" s="1016"/>
      <c r="N25" s="1016"/>
      <c r="O25" s="1016"/>
      <c r="P25" s="1016"/>
      <c r="Q25" s="1017"/>
      <c r="R25" s="700">
        <f>SUM(C25:Q25)</f>
        <v>8773.1259568999994</v>
      </c>
      <c r="S25" s="67"/>
    </row>
    <row r="26" spans="1:19" s="473" customFormat="1" ht="15.75" thickBot="1">
      <c r="A26" s="705" t="s">
        <v>849</v>
      </c>
      <c r="B26" s="817"/>
      <c r="C26" s="812">
        <f>SUM(C24:C25)</f>
        <v>1818.222111752</v>
      </c>
      <c r="D26" s="812">
        <f t="shared" ref="D26:R26" si="2">SUM(D24:D25)</f>
        <v>0</v>
      </c>
      <c r="E26" s="812">
        <f t="shared" si="2"/>
        <v>7072.4273252848025</v>
      </c>
      <c r="F26" s="812">
        <f t="shared" si="2"/>
        <v>1.6154425800143537</v>
      </c>
      <c r="G26" s="812">
        <f t="shared" si="2"/>
        <v>228.98912340561165</v>
      </c>
      <c r="H26" s="812">
        <f t="shared" si="2"/>
        <v>0</v>
      </c>
      <c r="I26" s="812">
        <f t="shared" si="2"/>
        <v>0</v>
      </c>
      <c r="J26" s="812">
        <f t="shared" si="2"/>
        <v>0</v>
      </c>
      <c r="K26" s="812">
        <f t="shared" si="2"/>
        <v>9.0189582623489954</v>
      </c>
      <c r="L26" s="812">
        <f t="shared" si="2"/>
        <v>0</v>
      </c>
      <c r="M26" s="812">
        <f t="shared" si="2"/>
        <v>0</v>
      </c>
      <c r="N26" s="812">
        <f t="shared" si="2"/>
        <v>0</v>
      </c>
      <c r="O26" s="812">
        <f t="shared" si="2"/>
        <v>0</v>
      </c>
      <c r="P26" s="812">
        <f t="shared" si="2"/>
        <v>0</v>
      </c>
      <c r="Q26" s="812">
        <f t="shared" si="2"/>
        <v>0</v>
      </c>
      <c r="R26" s="812">
        <f t="shared" si="2"/>
        <v>9130.2729612847761</v>
      </c>
      <c r="S26" s="67"/>
    </row>
    <row r="27" spans="1:19" s="473" customFormat="1" ht="17.25" thickTop="1" thickBot="1">
      <c r="A27" s="706" t="s">
        <v>116</v>
      </c>
      <c r="B27" s="805"/>
      <c r="C27" s="707">
        <f ca="1">C22+C16+C26</f>
        <v>55494.155847769529</v>
      </c>
      <c r="D27" s="707">
        <f t="shared" ref="D27:R27" ca="1" si="3">D22+D16+D26</f>
        <v>0</v>
      </c>
      <c r="E27" s="707">
        <f t="shared" ca="1" si="3"/>
        <v>167449.44237096168</v>
      </c>
      <c r="F27" s="707">
        <f t="shared" si="3"/>
        <v>1895.8770312972172</v>
      </c>
      <c r="G27" s="707">
        <f t="shared" ca="1" si="3"/>
        <v>16555.594269513811</v>
      </c>
      <c r="H27" s="707">
        <f t="shared" si="3"/>
        <v>66513.927333694635</v>
      </c>
      <c r="I27" s="707">
        <f t="shared" si="3"/>
        <v>18933.391015470879</v>
      </c>
      <c r="J27" s="707">
        <f t="shared" si="3"/>
        <v>0</v>
      </c>
      <c r="K27" s="707">
        <f t="shared" si="3"/>
        <v>11.160098512740198</v>
      </c>
      <c r="L27" s="707">
        <f t="shared" si="3"/>
        <v>0</v>
      </c>
      <c r="M27" s="707">
        <f t="shared" ca="1" si="3"/>
        <v>0</v>
      </c>
      <c r="N27" s="707">
        <f t="shared" si="3"/>
        <v>2662.1330371514696</v>
      </c>
      <c r="O27" s="707">
        <f t="shared" ca="1" si="3"/>
        <v>8851.8281807950043</v>
      </c>
      <c r="P27" s="707">
        <f t="shared" si="3"/>
        <v>82.856666666666669</v>
      </c>
      <c r="Q27" s="707">
        <f t="shared" si="3"/>
        <v>190.66666666666669</v>
      </c>
      <c r="R27" s="707">
        <f t="shared" ca="1" si="3"/>
        <v>338641.03251850035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3856.7353547266362</v>
      </c>
      <c r="D40" s="1012">
        <f ca="1">tertiair!C20</f>
        <v>0</v>
      </c>
      <c r="E40" s="1012">
        <f ca="1">tertiair!D20</f>
        <v>6550.586038060982</v>
      </c>
      <c r="F40" s="1012">
        <f>tertiair!E20</f>
        <v>58.100279112736821</v>
      </c>
      <c r="G40" s="1012">
        <f ca="1">tertiair!F20</f>
        <v>1154.7678666282168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11620.189538528573</v>
      </c>
    </row>
    <row r="41" spans="1:18">
      <c r="A41" s="822" t="s">
        <v>225</v>
      </c>
      <c r="B41" s="829"/>
      <c r="C41" s="1012">
        <f ca="1">huishoudens!B12</f>
        <v>7361.670351667146</v>
      </c>
      <c r="D41" s="1012">
        <f ca="1">huishoudens!C12</f>
        <v>0</v>
      </c>
      <c r="E41" s="1012">
        <f>huishoudens!D12</f>
        <v>25405.275213778245</v>
      </c>
      <c r="F41" s="1012">
        <f>huishoudens!E12</f>
        <v>221.86249855443077</v>
      </c>
      <c r="G41" s="1012">
        <f>huishoudens!F12</f>
        <v>2840.8681382113023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35829.676202211122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377.66038048068145</v>
      </c>
      <c r="D43" s="1012">
        <f ca="1">industrie!C22</f>
        <v>0</v>
      </c>
      <c r="E43" s="1012">
        <f>industrie!D22</f>
        <v>425.85350996875331</v>
      </c>
      <c r="F43" s="1012">
        <f>industrie!E22</f>
        <v>89.632698374045873</v>
      </c>
      <c r="G43" s="1012">
        <f>industrie!F22</f>
        <v>363.56756917137011</v>
      </c>
      <c r="H43" s="1012">
        <f>industrie!G22</f>
        <v>0</v>
      </c>
      <c r="I43" s="1012">
        <f>industrie!H22</f>
        <v>0</v>
      </c>
      <c r="J43" s="1012">
        <f>industrie!I22</f>
        <v>0</v>
      </c>
      <c r="K43" s="1012">
        <f>industrie!J22</f>
        <v>0.75796364863848575</v>
      </c>
      <c r="L43" s="1012">
        <f>industrie!K22</f>
        <v>0</v>
      </c>
      <c r="M43" s="1012">
        <f>industrie!L22</f>
        <v>0</v>
      </c>
      <c r="N43" s="1012">
        <f>industrie!M22</f>
        <v>0</v>
      </c>
      <c r="O43" s="1012">
        <f>industrie!N22</f>
        <v>0</v>
      </c>
      <c r="P43" s="1012">
        <f>industrie!O22</f>
        <v>0</v>
      </c>
      <c r="Q43" s="774">
        <f>industrie!P22</f>
        <v>0</v>
      </c>
      <c r="R43" s="849">
        <f t="shared" ca="1" si="4"/>
        <v>1257.4721216434891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11596.066086874464</v>
      </c>
      <c r="D46" s="732">
        <f t="shared" ref="D46:Q46" ca="1" si="5">SUM(D39:D45)</f>
        <v>0</v>
      </c>
      <c r="E46" s="732">
        <f t="shared" ca="1" si="5"/>
        <v>32381.71476180798</v>
      </c>
      <c r="F46" s="732">
        <f t="shared" si="5"/>
        <v>369.59547604121349</v>
      </c>
      <c r="G46" s="732">
        <f t="shared" ca="1" si="5"/>
        <v>4359.2035740108895</v>
      </c>
      <c r="H46" s="732">
        <f t="shared" si="5"/>
        <v>0</v>
      </c>
      <c r="I46" s="732">
        <f t="shared" si="5"/>
        <v>0</v>
      </c>
      <c r="J46" s="732">
        <f t="shared" si="5"/>
        <v>0</v>
      </c>
      <c r="K46" s="732">
        <f t="shared" si="5"/>
        <v>0.75796364863848575</v>
      </c>
      <c r="L46" s="732">
        <f t="shared" si="5"/>
        <v>0</v>
      </c>
      <c r="M46" s="732">
        <f t="shared" ca="1" si="5"/>
        <v>0</v>
      </c>
      <c r="N46" s="732">
        <f t="shared" si="5"/>
        <v>0</v>
      </c>
      <c r="O46" s="732">
        <f t="shared" ca="1" si="5"/>
        <v>0</v>
      </c>
      <c r="P46" s="732">
        <f t="shared" si="5"/>
        <v>0</v>
      </c>
      <c r="Q46" s="732">
        <f t="shared" si="5"/>
        <v>0</v>
      </c>
      <c r="R46" s="732">
        <f ca="1">SUM(R39:R45)</f>
        <v>48707.337862383189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470.73092947937283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470.73092947937283</v>
      </c>
    </row>
    <row r="50" spans="1:18">
      <c r="A50" s="825" t="s">
        <v>307</v>
      </c>
      <c r="B50" s="835"/>
      <c r="C50" s="703">
        <f ca="1">transport!B18</f>
        <v>5.3324577077950037</v>
      </c>
      <c r="D50" s="703">
        <f>transport!C18</f>
        <v>0</v>
      </c>
      <c r="E50" s="703">
        <f>transport!D18</f>
        <v>14.44227741875309</v>
      </c>
      <c r="F50" s="703">
        <f>transport!E18</f>
        <v>60.401904597591525</v>
      </c>
      <c r="G50" s="703">
        <f>transport!F18</f>
        <v>0</v>
      </c>
      <c r="H50" s="703">
        <f>transport!G18</f>
        <v>17288.487668617097</v>
      </c>
      <c r="I50" s="703">
        <f>transport!H18</f>
        <v>4714.4143628522488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22083.078671193485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5.3324577077950037</v>
      </c>
      <c r="D52" s="732">
        <f t="shared" ref="D52:Q52" ca="1" si="6">SUM(D48:D51)</f>
        <v>0</v>
      </c>
      <c r="E52" s="732">
        <f t="shared" si="6"/>
        <v>14.44227741875309</v>
      </c>
      <c r="F52" s="732">
        <f t="shared" si="6"/>
        <v>60.401904597591525</v>
      </c>
      <c r="G52" s="732">
        <f t="shared" si="6"/>
        <v>0</v>
      </c>
      <c r="H52" s="732">
        <f t="shared" si="6"/>
        <v>17759.218598096471</v>
      </c>
      <c r="I52" s="732">
        <f t="shared" si="6"/>
        <v>4714.4143628522488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22553.809600672859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13.540527504214475</v>
      </c>
      <c r="D54" s="703">
        <f ca="1">+landbouw!C12</f>
        <v>0</v>
      </c>
      <c r="E54" s="703">
        <f>+landbouw!D12</f>
        <v>11.084915919730005</v>
      </c>
      <c r="F54" s="703">
        <f>+landbouw!E12</f>
        <v>0.36670546566325829</v>
      </c>
      <c r="G54" s="703">
        <f>+landbouw!F12</f>
        <v>61.140095949298313</v>
      </c>
      <c r="H54" s="703">
        <f>+landbouw!G12</f>
        <v>0</v>
      </c>
      <c r="I54" s="703">
        <f>+landbouw!H12</f>
        <v>0</v>
      </c>
      <c r="J54" s="703">
        <f>+landbouw!I12</f>
        <v>0</v>
      </c>
      <c r="K54" s="703">
        <f>+landbouw!J12</f>
        <v>3.1927112248715441</v>
      </c>
      <c r="L54" s="703">
        <f>+landbouw!K12</f>
        <v>0</v>
      </c>
      <c r="M54" s="703">
        <f>+landbouw!L12</f>
        <v>0</v>
      </c>
      <c r="N54" s="703">
        <f>+landbouw!M12</f>
        <v>0</v>
      </c>
      <c r="O54" s="703">
        <f>+landbouw!N12</f>
        <v>0</v>
      </c>
      <c r="P54" s="703">
        <f>+landbouw!O12</f>
        <v>0</v>
      </c>
      <c r="Q54" s="704">
        <f>+landbouw!P12</f>
        <v>0</v>
      </c>
      <c r="R54" s="731">
        <f ca="1">SUM(C54:Q54)</f>
        <v>89.324956063777591</v>
      </c>
    </row>
    <row r="55" spans="1:18" ht="15" thickBot="1">
      <c r="A55" s="825" t="s">
        <v>848</v>
      </c>
      <c r="B55" s="835"/>
      <c r="C55" s="703">
        <f ca="1">C25*'EF ele_warmte'!B12</f>
        <v>379.44601027542609</v>
      </c>
      <c r="D55" s="703"/>
      <c r="E55" s="703">
        <f>E25*EF_CO2_aardgas</f>
        <v>1417.5454037878001</v>
      </c>
      <c r="F55" s="703"/>
      <c r="G55" s="703"/>
      <c r="H55" s="703"/>
      <c r="I55" s="703"/>
      <c r="J55" s="703"/>
      <c r="K55" s="703"/>
      <c r="L55" s="703"/>
      <c r="M55" s="703"/>
      <c r="N55" s="703"/>
      <c r="O55" s="703"/>
      <c r="P55" s="703"/>
      <c r="Q55" s="704"/>
      <c r="R55" s="731">
        <f ca="1">SUM(C55:Q55)</f>
        <v>1796.9914140632261</v>
      </c>
    </row>
    <row r="56" spans="1:18" ht="15.75" thickBot="1">
      <c r="A56" s="823" t="s">
        <v>849</v>
      </c>
      <c r="B56" s="836"/>
      <c r="C56" s="732">
        <f ca="1">SUM(C54:C55)</f>
        <v>392.98653777964057</v>
      </c>
      <c r="D56" s="732">
        <f t="shared" ref="D56:Q56" ca="1" si="7">SUM(D54:D55)</f>
        <v>0</v>
      </c>
      <c r="E56" s="732">
        <f t="shared" si="7"/>
        <v>1428.6303197075301</v>
      </c>
      <c r="F56" s="732">
        <f t="shared" si="7"/>
        <v>0.36670546566325829</v>
      </c>
      <c r="G56" s="732">
        <f t="shared" si="7"/>
        <v>61.140095949298313</v>
      </c>
      <c r="H56" s="732">
        <f t="shared" si="7"/>
        <v>0</v>
      </c>
      <c r="I56" s="732">
        <f t="shared" si="7"/>
        <v>0</v>
      </c>
      <c r="J56" s="732">
        <f t="shared" si="7"/>
        <v>0</v>
      </c>
      <c r="K56" s="732">
        <f t="shared" si="7"/>
        <v>3.1927112248715441</v>
      </c>
      <c r="L56" s="732">
        <f t="shared" si="7"/>
        <v>0</v>
      </c>
      <c r="M56" s="732">
        <f t="shared" si="7"/>
        <v>0</v>
      </c>
      <c r="N56" s="732">
        <f t="shared" si="7"/>
        <v>0</v>
      </c>
      <c r="O56" s="732">
        <f t="shared" si="7"/>
        <v>0</v>
      </c>
      <c r="P56" s="732">
        <f t="shared" si="7"/>
        <v>0</v>
      </c>
      <c r="Q56" s="733">
        <f t="shared" si="7"/>
        <v>0</v>
      </c>
      <c r="R56" s="734">
        <f ca="1">SUM(R54:R55)</f>
        <v>1886.3163701270037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11994.3850823619</v>
      </c>
      <c r="D61" s="740">
        <f t="shared" ref="D61:Q61" ca="1" si="8">D46+D52+D56</f>
        <v>0</v>
      </c>
      <c r="E61" s="740">
        <f t="shared" ca="1" si="8"/>
        <v>33824.787358934263</v>
      </c>
      <c r="F61" s="740">
        <f t="shared" si="8"/>
        <v>430.36408610446824</v>
      </c>
      <c r="G61" s="740">
        <f t="shared" ca="1" si="8"/>
        <v>4420.343669960188</v>
      </c>
      <c r="H61" s="740">
        <f t="shared" si="8"/>
        <v>17759.218598096471</v>
      </c>
      <c r="I61" s="740">
        <f t="shared" si="8"/>
        <v>4714.4143628522488</v>
      </c>
      <c r="J61" s="740">
        <f t="shared" si="8"/>
        <v>0</v>
      </c>
      <c r="K61" s="740">
        <f t="shared" si="8"/>
        <v>3.9506748735100299</v>
      </c>
      <c r="L61" s="740">
        <f t="shared" si="8"/>
        <v>0</v>
      </c>
      <c r="M61" s="740">
        <f t="shared" ca="1" si="8"/>
        <v>0</v>
      </c>
      <c r="N61" s="740">
        <f t="shared" si="8"/>
        <v>0</v>
      </c>
      <c r="O61" s="740">
        <f t="shared" ca="1" si="8"/>
        <v>0</v>
      </c>
      <c r="P61" s="740">
        <f t="shared" si="8"/>
        <v>0</v>
      </c>
      <c r="Q61" s="740">
        <f t="shared" si="8"/>
        <v>0</v>
      </c>
      <c r="R61" s="740">
        <f ca="1">R46+R52+R56</f>
        <v>73147.463833183065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0.21613780584868539</v>
      </c>
      <c r="D63" s="781">
        <f t="shared" ca="1" si="9"/>
        <v>0</v>
      </c>
      <c r="E63" s="1023">
        <f t="shared" ca="1" si="9"/>
        <v>0.20200000000000001</v>
      </c>
      <c r="F63" s="781">
        <f t="shared" si="9"/>
        <v>0.22699999999999998</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1220.9201809735991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1220.9201809735991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1220.9201809735991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1220.9201809735991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34060.077193625868</v>
      </c>
      <c r="C4" s="477">
        <f>huishoudens!C8</f>
        <v>0</v>
      </c>
      <c r="D4" s="477">
        <f>huishoudens!D8</f>
        <v>125768.68917712002</v>
      </c>
      <c r="E4" s="477">
        <f>huishoudens!E8</f>
        <v>977.36783504154528</v>
      </c>
      <c r="F4" s="477">
        <f>huishoudens!F8</f>
        <v>10639.955573825102</v>
      </c>
      <c r="G4" s="477">
        <f>huishoudens!G8</f>
        <v>0</v>
      </c>
      <c r="H4" s="477">
        <f>huishoudens!H8</f>
        <v>0</v>
      </c>
      <c r="I4" s="477">
        <f>huishoudens!I8</f>
        <v>0</v>
      </c>
      <c r="J4" s="477">
        <f>huishoudens!J8</f>
        <v>0</v>
      </c>
      <c r="K4" s="477">
        <f>huishoudens!K8</f>
        <v>0</v>
      </c>
      <c r="L4" s="477">
        <f>huishoudens!L8</f>
        <v>0</v>
      </c>
      <c r="M4" s="477">
        <f>huishoudens!M8</f>
        <v>0</v>
      </c>
      <c r="N4" s="477">
        <f>huishoudens!N8</f>
        <v>6476.8412777765061</v>
      </c>
      <c r="O4" s="477">
        <f>huishoudens!O8</f>
        <v>81.293333333333337</v>
      </c>
      <c r="P4" s="478">
        <f>huishoudens!P8</f>
        <v>190.66666666666669</v>
      </c>
      <c r="Q4" s="479">
        <f>SUM(B4:P4)</f>
        <v>178194.89105738906</v>
      </c>
    </row>
    <row r="5" spans="1:17">
      <c r="A5" s="476" t="s">
        <v>156</v>
      </c>
      <c r="B5" s="477">
        <f ca="1">tertiair!B16</f>
        <v>16688.75605923</v>
      </c>
      <c r="C5" s="477">
        <f ca="1">tertiair!C16</f>
        <v>0</v>
      </c>
      <c r="D5" s="477">
        <f ca="1">tertiair!D16</f>
        <v>32428.643752777138</v>
      </c>
      <c r="E5" s="477">
        <f>tertiair!E16</f>
        <v>255.94836613540448</v>
      </c>
      <c r="F5" s="477">
        <f ca="1">tertiair!F16</f>
        <v>4324.9732832517484</v>
      </c>
      <c r="G5" s="477">
        <f>tertiair!G16</f>
        <v>0</v>
      </c>
      <c r="H5" s="477">
        <f>tertiair!H16</f>
        <v>0</v>
      </c>
      <c r="I5" s="477">
        <f>tertiair!I16</f>
        <v>0</v>
      </c>
      <c r="J5" s="477">
        <f>tertiair!J16</f>
        <v>0</v>
      </c>
      <c r="K5" s="477">
        <f>tertiair!K16</f>
        <v>0</v>
      </c>
      <c r="L5" s="477">
        <f ca="1">tertiair!L16</f>
        <v>0</v>
      </c>
      <c r="M5" s="477">
        <f>tertiair!M16</f>
        <v>0</v>
      </c>
      <c r="N5" s="477">
        <f ca="1">tertiair!N16</f>
        <v>1845.6726533636793</v>
      </c>
      <c r="O5" s="477">
        <f>tertiair!O16</f>
        <v>1.5633333333333335</v>
      </c>
      <c r="P5" s="478">
        <f>tertiair!P16</f>
        <v>0</v>
      </c>
      <c r="Q5" s="476">
        <f t="shared" ref="Q5:Q14" ca="1" si="0">SUM(B5:P5)</f>
        <v>55545.557448091298</v>
      </c>
    </row>
    <row r="6" spans="1:17">
      <c r="A6" s="476" t="s">
        <v>194</v>
      </c>
      <c r="B6" s="477">
        <f>'openbare verlichting'!B8</f>
        <v>1155.116</v>
      </c>
      <c r="C6" s="477"/>
      <c r="D6" s="477"/>
      <c r="E6" s="477"/>
      <c r="F6" s="477"/>
      <c r="G6" s="477"/>
      <c r="H6" s="477"/>
      <c r="I6" s="477"/>
      <c r="J6" s="477"/>
      <c r="K6" s="477"/>
      <c r="L6" s="477"/>
      <c r="M6" s="477"/>
      <c r="N6" s="477"/>
      <c r="O6" s="477"/>
      <c r="P6" s="478"/>
      <c r="Q6" s="476">
        <f t="shared" si="0"/>
        <v>1155.116</v>
      </c>
    </row>
    <row r="7" spans="1:17">
      <c r="A7" s="476" t="s">
        <v>112</v>
      </c>
      <c r="B7" s="477">
        <f>landbouw!B8</f>
        <v>62.647658752000005</v>
      </c>
      <c r="C7" s="477">
        <f>landbouw!C8</f>
        <v>0</v>
      </c>
      <c r="D7" s="477">
        <f>landbouw!D8</f>
        <v>54.875821384802002</v>
      </c>
      <c r="E7" s="477">
        <f>landbouw!E8</f>
        <v>1.6154425800143537</v>
      </c>
      <c r="F7" s="477">
        <f>landbouw!F8</f>
        <v>228.98912340561165</v>
      </c>
      <c r="G7" s="477">
        <f>landbouw!G8</f>
        <v>0</v>
      </c>
      <c r="H7" s="477">
        <f>landbouw!H8</f>
        <v>0</v>
      </c>
      <c r="I7" s="477">
        <f>landbouw!I8</f>
        <v>0</v>
      </c>
      <c r="J7" s="477">
        <f>landbouw!J8</f>
        <v>9.0189582623489954</v>
      </c>
      <c r="K7" s="477">
        <f>landbouw!K8</f>
        <v>0</v>
      </c>
      <c r="L7" s="477">
        <f>landbouw!L8</f>
        <v>0</v>
      </c>
      <c r="M7" s="477">
        <f>landbouw!M8</f>
        <v>0</v>
      </c>
      <c r="N7" s="477">
        <f>landbouw!N8</f>
        <v>0</v>
      </c>
      <c r="O7" s="477">
        <f>landbouw!O8</f>
        <v>0</v>
      </c>
      <c r="P7" s="478">
        <f>landbouw!P8</f>
        <v>0</v>
      </c>
      <c r="Q7" s="476">
        <f t="shared" si="0"/>
        <v>357.14700438477701</v>
      </c>
    </row>
    <row r="8" spans="1:17">
      <c r="A8" s="476" t="s">
        <v>638</v>
      </c>
      <c r="B8" s="477">
        <f>industrie!B18</f>
        <v>1747.3129191710004</v>
      </c>
      <c r="C8" s="477">
        <f>industrie!C18</f>
        <v>0</v>
      </c>
      <c r="D8" s="477">
        <f>industrie!D18</f>
        <v>2108.1856929146202</v>
      </c>
      <c r="E8" s="477">
        <f>industrie!E18</f>
        <v>394.8577020883078</v>
      </c>
      <c r="F8" s="477">
        <f>industrie!F18</f>
        <v>1361.6762890313487</v>
      </c>
      <c r="G8" s="477">
        <f>industrie!G18</f>
        <v>0</v>
      </c>
      <c r="H8" s="477">
        <f>industrie!H18</f>
        <v>0</v>
      </c>
      <c r="I8" s="477">
        <f>industrie!I18</f>
        <v>0</v>
      </c>
      <c r="J8" s="477">
        <f>industrie!J18</f>
        <v>2.1411402503912029</v>
      </c>
      <c r="K8" s="477">
        <f>industrie!K18</f>
        <v>0</v>
      </c>
      <c r="L8" s="477">
        <f>industrie!L18</f>
        <v>0</v>
      </c>
      <c r="M8" s="477">
        <f>industrie!M18</f>
        <v>0</v>
      </c>
      <c r="N8" s="477">
        <f>industrie!N18</f>
        <v>529.31424965481938</v>
      </c>
      <c r="O8" s="477">
        <f>industrie!O18</f>
        <v>0</v>
      </c>
      <c r="P8" s="478">
        <f>industrie!P18</f>
        <v>0</v>
      </c>
      <c r="Q8" s="476">
        <f t="shared" si="0"/>
        <v>6143.4879931104879</v>
      </c>
    </row>
    <row r="9" spans="1:17" s="482" customFormat="1">
      <c r="A9" s="480" t="s">
        <v>564</v>
      </c>
      <c r="B9" s="481">
        <f>transport!B14</f>
        <v>24.671563990652199</v>
      </c>
      <c r="C9" s="481">
        <f>transport!C14</f>
        <v>0</v>
      </c>
      <c r="D9" s="481">
        <f>transport!D14</f>
        <v>71.496422865114297</v>
      </c>
      <c r="E9" s="481">
        <f>transport!E14</f>
        <v>266.08768545194505</v>
      </c>
      <c r="F9" s="481">
        <f>transport!F14</f>
        <v>0</v>
      </c>
      <c r="G9" s="481">
        <f>transport!G14</f>
        <v>64750.890144633318</v>
      </c>
      <c r="H9" s="481">
        <f>transport!H14</f>
        <v>18933.391015470879</v>
      </c>
      <c r="I9" s="481">
        <f>transport!I14</f>
        <v>0</v>
      </c>
      <c r="J9" s="481">
        <f>transport!J14</f>
        <v>0</v>
      </c>
      <c r="K9" s="481">
        <f>transport!K14</f>
        <v>0</v>
      </c>
      <c r="L9" s="481">
        <f>transport!L14</f>
        <v>0</v>
      </c>
      <c r="M9" s="481">
        <f>transport!M14</f>
        <v>2607.4475677820074</v>
      </c>
      <c r="N9" s="481">
        <f>transport!N14</f>
        <v>0</v>
      </c>
      <c r="O9" s="481">
        <f>transport!O14</f>
        <v>0</v>
      </c>
      <c r="P9" s="481">
        <f>transport!P14</f>
        <v>0</v>
      </c>
      <c r="Q9" s="480">
        <f>SUM(B9:P9)</f>
        <v>86653.98440019392</v>
      </c>
    </row>
    <row r="10" spans="1:17">
      <c r="A10" s="476" t="s">
        <v>554</v>
      </c>
      <c r="B10" s="477">
        <f>transport!B54</f>
        <v>0</v>
      </c>
      <c r="C10" s="477">
        <f>transport!C54</f>
        <v>0</v>
      </c>
      <c r="D10" s="477">
        <f>transport!D54</f>
        <v>0</v>
      </c>
      <c r="E10" s="477">
        <f>transport!E54</f>
        <v>0</v>
      </c>
      <c r="F10" s="477">
        <f>transport!F54</f>
        <v>0</v>
      </c>
      <c r="G10" s="477">
        <f>transport!G54</f>
        <v>1763.0371890613214</v>
      </c>
      <c r="H10" s="477">
        <f>transport!H54</f>
        <v>0</v>
      </c>
      <c r="I10" s="477">
        <f>transport!I54</f>
        <v>0</v>
      </c>
      <c r="J10" s="477">
        <f>transport!J54</f>
        <v>0</v>
      </c>
      <c r="K10" s="477">
        <f>transport!K54</f>
        <v>0</v>
      </c>
      <c r="L10" s="477">
        <f>transport!L54</f>
        <v>0</v>
      </c>
      <c r="M10" s="477">
        <f>transport!M54</f>
        <v>54.685469369462105</v>
      </c>
      <c r="N10" s="477">
        <f>transport!N54</f>
        <v>0</v>
      </c>
      <c r="O10" s="477">
        <f>transport!O54</f>
        <v>0</v>
      </c>
      <c r="P10" s="478">
        <f>transport!P54</f>
        <v>0</v>
      </c>
      <c r="Q10" s="476">
        <f t="shared" si="0"/>
        <v>1817.7226584307834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1755.5744529999999</v>
      </c>
      <c r="C14" s="484"/>
      <c r="D14" s="484">
        <f>'SEAP template'!E25</f>
        <v>7017.5515039000002</v>
      </c>
      <c r="E14" s="484"/>
      <c r="F14" s="484"/>
      <c r="G14" s="484"/>
      <c r="H14" s="484"/>
      <c r="I14" s="484"/>
      <c r="J14" s="484"/>
      <c r="K14" s="484"/>
      <c r="L14" s="484"/>
      <c r="M14" s="484"/>
      <c r="N14" s="484"/>
      <c r="O14" s="484"/>
      <c r="P14" s="485"/>
      <c r="Q14" s="476">
        <f t="shared" si="0"/>
        <v>8773.1259568999994</v>
      </c>
    </row>
    <row r="15" spans="1:17" s="486" customFormat="1">
      <c r="A15" s="1038" t="s">
        <v>558</v>
      </c>
      <c r="B15" s="978">
        <f ca="1">SUM(B4:B14)</f>
        <v>55494.155847769529</v>
      </c>
      <c r="C15" s="978">
        <f t="shared" ref="C15:Q15" ca="1" si="1">SUM(C4:C14)</f>
        <v>0</v>
      </c>
      <c r="D15" s="978">
        <f t="shared" ca="1" si="1"/>
        <v>167449.44237096168</v>
      </c>
      <c r="E15" s="978">
        <f t="shared" si="1"/>
        <v>1895.8770312972169</v>
      </c>
      <c r="F15" s="978">
        <f t="shared" ca="1" si="1"/>
        <v>16555.594269513811</v>
      </c>
      <c r="G15" s="978">
        <f t="shared" si="1"/>
        <v>66513.927333694635</v>
      </c>
      <c r="H15" s="978">
        <f t="shared" si="1"/>
        <v>18933.391015470879</v>
      </c>
      <c r="I15" s="978">
        <f t="shared" si="1"/>
        <v>0</v>
      </c>
      <c r="J15" s="978">
        <f t="shared" si="1"/>
        <v>11.160098512740198</v>
      </c>
      <c r="K15" s="978">
        <f t="shared" si="1"/>
        <v>0</v>
      </c>
      <c r="L15" s="978">
        <f t="shared" ca="1" si="1"/>
        <v>0</v>
      </c>
      <c r="M15" s="978">
        <f t="shared" si="1"/>
        <v>2662.1330371514696</v>
      </c>
      <c r="N15" s="978">
        <f t="shared" ca="1" si="1"/>
        <v>8851.8281807950043</v>
      </c>
      <c r="O15" s="978">
        <f t="shared" si="1"/>
        <v>82.856666666666669</v>
      </c>
      <c r="P15" s="978">
        <f t="shared" si="1"/>
        <v>190.66666666666669</v>
      </c>
      <c r="Q15" s="978">
        <f t="shared" ca="1" si="1"/>
        <v>338641.0325185004</v>
      </c>
    </row>
    <row r="17" spans="1:17">
      <c r="A17" s="487" t="s">
        <v>559</v>
      </c>
      <c r="B17" s="786">
        <f ca="1">huishoudens!B10</f>
        <v>0.21613780584868542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7361.670351667146</v>
      </c>
      <c r="C22" s="477">
        <f t="shared" ref="C22:C32" ca="1" si="3">C4*$C$17</f>
        <v>0</v>
      </c>
      <c r="D22" s="477">
        <f t="shared" ref="D22:D32" si="4">D4*$D$17</f>
        <v>25405.275213778245</v>
      </c>
      <c r="E22" s="477">
        <f t="shared" ref="E22:E32" si="5">E4*$E$17</f>
        <v>221.86249855443077</v>
      </c>
      <c r="F22" s="477">
        <f t="shared" ref="F22:F32" si="6">F4*$F$17</f>
        <v>2840.8681382113023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35829.676202211122</v>
      </c>
    </row>
    <row r="23" spans="1:17">
      <c r="A23" s="476" t="s">
        <v>156</v>
      </c>
      <c r="B23" s="477">
        <f t="shared" ca="1" si="2"/>
        <v>3607.071116985926</v>
      </c>
      <c r="C23" s="477">
        <f t="shared" ca="1" si="3"/>
        <v>0</v>
      </c>
      <c r="D23" s="477">
        <f t="shared" ca="1" si="4"/>
        <v>6550.586038060982</v>
      </c>
      <c r="E23" s="477">
        <f t="shared" si="5"/>
        <v>58.100279112736821</v>
      </c>
      <c r="F23" s="477">
        <f t="shared" ca="1" si="6"/>
        <v>1154.7678666282168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11370.525300787864</v>
      </c>
    </row>
    <row r="24" spans="1:17">
      <c r="A24" s="476" t="s">
        <v>194</v>
      </c>
      <c r="B24" s="477">
        <f t="shared" ca="1" si="2"/>
        <v>249.66423774071009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249.66423774071009</v>
      </c>
    </row>
    <row r="25" spans="1:17">
      <c r="A25" s="476" t="s">
        <v>112</v>
      </c>
      <c r="B25" s="477">
        <f t="shared" ca="1" si="2"/>
        <v>13.540527504214475</v>
      </c>
      <c r="C25" s="477">
        <f t="shared" ca="1" si="3"/>
        <v>0</v>
      </c>
      <c r="D25" s="477">
        <f t="shared" si="4"/>
        <v>11.084915919730005</v>
      </c>
      <c r="E25" s="477">
        <f t="shared" si="5"/>
        <v>0.36670546566325829</v>
      </c>
      <c r="F25" s="477">
        <f t="shared" si="6"/>
        <v>61.140095949298313</v>
      </c>
      <c r="G25" s="477">
        <f t="shared" si="7"/>
        <v>0</v>
      </c>
      <c r="H25" s="477">
        <f t="shared" si="8"/>
        <v>0</v>
      </c>
      <c r="I25" s="477">
        <f t="shared" si="9"/>
        <v>0</v>
      </c>
      <c r="J25" s="477">
        <f t="shared" si="10"/>
        <v>3.1927112248715441</v>
      </c>
      <c r="K25" s="477">
        <f t="shared" si="11"/>
        <v>0</v>
      </c>
      <c r="L25" s="477">
        <f t="shared" si="12"/>
        <v>0</v>
      </c>
      <c r="M25" s="477">
        <f t="shared" si="13"/>
        <v>0</v>
      </c>
      <c r="N25" s="477">
        <f t="shared" si="14"/>
        <v>0</v>
      </c>
      <c r="O25" s="477">
        <f t="shared" si="15"/>
        <v>0</v>
      </c>
      <c r="P25" s="478">
        <f t="shared" si="16"/>
        <v>0</v>
      </c>
      <c r="Q25" s="476">
        <f t="shared" ca="1" si="17"/>
        <v>89.324956063777591</v>
      </c>
    </row>
    <row r="26" spans="1:17">
      <c r="A26" s="476" t="s">
        <v>638</v>
      </c>
      <c r="B26" s="477">
        <f t="shared" ca="1" si="2"/>
        <v>377.66038048068145</v>
      </c>
      <c r="C26" s="477">
        <f t="shared" ca="1" si="3"/>
        <v>0</v>
      </c>
      <c r="D26" s="477">
        <f t="shared" si="4"/>
        <v>425.85350996875331</v>
      </c>
      <c r="E26" s="477">
        <f t="shared" si="5"/>
        <v>89.632698374045873</v>
      </c>
      <c r="F26" s="477">
        <f t="shared" si="6"/>
        <v>363.56756917137011</v>
      </c>
      <c r="G26" s="477">
        <f t="shared" si="7"/>
        <v>0</v>
      </c>
      <c r="H26" s="477">
        <f t="shared" si="8"/>
        <v>0</v>
      </c>
      <c r="I26" s="477">
        <f t="shared" si="9"/>
        <v>0</v>
      </c>
      <c r="J26" s="477">
        <f t="shared" si="10"/>
        <v>0.75796364863848575</v>
      </c>
      <c r="K26" s="477">
        <f t="shared" si="11"/>
        <v>0</v>
      </c>
      <c r="L26" s="477">
        <f t="shared" si="12"/>
        <v>0</v>
      </c>
      <c r="M26" s="477">
        <f t="shared" si="13"/>
        <v>0</v>
      </c>
      <c r="N26" s="477">
        <f t="shared" si="14"/>
        <v>0</v>
      </c>
      <c r="O26" s="477">
        <f t="shared" si="15"/>
        <v>0</v>
      </c>
      <c r="P26" s="478">
        <f t="shared" si="16"/>
        <v>0</v>
      </c>
      <c r="Q26" s="476">
        <f t="shared" ca="1" si="17"/>
        <v>1257.4721216434891</v>
      </c>
    </row>
    <row r="27" spans="1:17" s="482" customFormat="1">
      <c r="A27" s="480" t="s">
        <v>564</v>
      </c>
      <c r="B27" s="780">
        <f t="shared" ca="1" si="2"/>
        <v>5.3324577077950037</v>
      </c>
      <c r="C27" s="481">
        <f t="shared" ca="1" si="3"/>
        <v>0</v>
      </c>
      <c r="D27" s="481">
        <f t="shared" si="4"/>
        <v>14.44227741875309</v>
      </c>
      <c r="E27" s="481">
        <f t="shared" si="5"/>
        <v>60.401904597591525</v>
      </c>
      <c r="F27" s="481">
        <f t="shared" si="6"/>
        <v>0</v>
      </c>
      <c r="G27" s="481">
        <f t="shared" si="7"/>
        <v>17288.487668617097</v>
      </c>
      <c r="H27" s="481">
        <f t="shared" si="8"/>
        <v>4714.4143628522488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22083.078671193485</v>
      </c>
    </row>
    <row r="28" spans="1:17">
      <c r="A28" s="476" t="s">
        <v>554</v>
      </c>
      <c r="B28" s="477">
        <f t="shared" ca="1" si="2"/>
        <v>0</v>
      </c>
      <c r="C28" s="477">
        <f t="shared" ca="1" si="3"/>
        <v>0</v>
      </c>
      <c r="D28" s="477">
        <f t="shared" si="4"/>
        <v>0</v>
      </c>
      <c r="E28" s="477">
        <f t="shared" si="5"/>
        <v>0</v>
      </c>
      <c r="F28" s="477">
        <f t="shared" si="6"/>
        <v>0</v>
      </c>
      <c r="G28" s="477">
        <f t="shared" si="7"/>
        <v>470.73092947937283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470.73092947937283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379.44601027542609</v>
      </c>
      <c r="C32" s="477">
        <f t="shared" ca="1" si="3"/>
        <v>0</v>
      </c>
      <c r="D32" s="477">
        <f t="shared" si="4"/>
        <v>1417.5454037878001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1796.9914140632261</v>
      </c>
    </row>
    <row r="33" spans="1:17" s="486" customFormat="1">
      <c r="A33" s="1038" t="s">
        <v>558</v>
      </c>
      <c r="B33" s="978">
        <f ca="1">SUM(B22:B32)</f>
        <v>11994.385082361898</v>
      </c>
      <c r="C33" s="978">
        <f t="shared" ref="C33:Q33" ca="1" si="18">SUM(C22:C32)</f>
        <v>0</v>
      </c>
      <c r="D33" s="978">
        <f t="shared" ca="1" si="18"/>
        <v>33824.787358934263</v>
      </c>
      <c r="E33" s="978">
        <f t="shared" si="18"/>
        <v>430.36408610446824</v>
      </c>
      <c r="F33" s="978">
        <f t="shared" ca="1" si="18"/>
        <v>4420.343669960188</v>
      </c>
      <c r="G33" s="978">
        <f t="shared" si="18"/>
        <v>17759.218598096471</v>
      </c>
      <c r="H33" s="978">
        <f t="shared" si="18"/>
        <v>4714.4143628522488</v>
      </c>
      <c r="I33" s="978">
        <f t="shared" si="18"/>
        <v>0</v>
      </c>
      <c r="J33" s="978">
        <f t="shared" si="18"/>
        <v>3.9506748735100299</v>
      </c>
      <c r="K33" s="978">
        <f t="shared" si="18"/>
        <v>0</v>
      </c>
      <c r="L33" s="978">
        <f t="shared" ca="1" si="18"/>
        <v>0</v>
      </c>
      <c r="M33" s="978">
        <f t="shared" si="18"/>
        <v>0</v>
      </c>
      <c r="N33" s="978">
        <f t="shared" ca="1" si="18"/>
        <v>0</v>
      </c>
      <c r="O33" s="978">
        <f t="shared" si="18"/>
        <v>0</v>
      </c>
      <c r="P33" s="978">
        <f t="shared" si="18"/>
        <v>0</v>
      </c>
      <c r="Q33" s="978">
        <f t="shared" ca="1" si="18"/>
        <v>73147.46383318305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1220.9201809735991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1220.9201809735991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0.21613780584868542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0.21613780584868542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2019-08-12T08:23:34Z</dcterms:modified>
</cp:coreProperties>
</file>