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O89" i="14" s="1"/>
  <c r="K19" i="18"/>
  <c r="N89" i="14" s="1"/>
  <c r="J19" i="18"/>
  <c r="J89" i="14" s="1"/>
  <c r="J19" i="59" s="1"/>
  <c r="I19" i="18"/>
  <c r="I89" i="14" s="1"/>
  <c r="I19" i="59" s="1"/>
  <c r="H19" i="18"/>
  <c r="G19"/>
  <c r="F19"/>
  <c r="E19"/>
  <c r="D19"/>
  <c r="D20" s="1"/>
  <c r="C19"/>
  <c r="D89" i="14" s="1"/>
  <c r="D19" i="59" s="1"/>
  <c r="B19" i="18"/>
  <c r="N18"/>
  <c r="L88" i="14" s="1"/>
  <c r="L18" i="59" s="1"/>
  <c r="M18" i="18"/>
  <c r="L18"/>
  <c r="K18"/>
  <c r="J18"/>
  <c r="J88" i="14" s="1"/>
  <c r="J18" i="59" s="1"/>
  <c r="I18" i="18"/>
  <c r="H18"/>
  <c r="M88" i="14" s="1"/>
  <c r="M18" i="59" s="1"/>
  <c r="G18" i="18"/>
  <c r="F18"/>
  <c r="F20" s="1"/>
  <c r="E18"/>
  <c r="D18"/>
  <c r="C18"/>
  <c r="B18"/>
  <c r="L9"/>
  <c r="L10" s="1"/>
  <c r="K9"/>
  <c r="N77" i="14" s="1"/>
  <c r="N9" i="59" s="1"/>
  <c r="G9" i="18"/>
  <c r="G10" s="1"/>
  <c r="F9"/>
  <c r="E9"/>
  <c r="F77" i="14" s="1"/>
  <c r="F9" i="59" s="1"/>
  <c r="D9" i="18"/>
  <c r="D10" s="1"/>
  <c r="C9"/>
  <c r="D77" i="14" s="1"/>
  <c r="D9" i="59" s="1"/>
  <c r="B9" i="18"/>
  <c r="K22"/>
  <c r="J22"/>
  <c r="I22"/>
  <c r="H22"/>
  <c r="K12"/>
  <c r="J12"/>
  <c r="I12"/>
  <c r="H12"/>
  <c r="W92"/>
  <c r="V92"/>
  <c r="U92"/>
  <c r="T92"/>
  <c r="S92"/>
  <c r="F6" i="17" s="1"/>
  <c r="R92" i="18"/>
  <c r="Q92"/>
  <c r="P92"/>
  <c r="D6" i="17" s="1"/>
  <c r="O92" i="18"/>
  <c r="N92"/>
  <c r="M92"/>
  <c r="W91"/>
  <c r="V91"/>
  <c r="U91"/>
  <c r="T91"/>
  <c r="S91"/>
  <c r="R91"/>
  <c r="Q91"/>
  <c r="P91"/>
  <c r="O91"/>
  <c r="N91"/>
  <c r="M91"/>
  <c r="W90"/>
  <c r="V90"/>
  <c r="U90"/>
  <c r="T90"/>
  <c r="S90"/>
  <c r="R90"/>
  <c r="Q90"/>
  <c r="P90"/>
  <c r="O90"/>
  <c r="N90"/>
  <c r="M90"/>
  <c r="W89"/>
  <c r="H9" s="1"/>
  <c r="M77" i="14" s="1"/>
  <c r="M9" i="59" s="1"/>
  <c r="V89" i="18"/>
  <c r="U89"/>
  <c r="T89"/>
  <c r="I9" s="1"/>
  <c r="I77" i="14" s="1"/>
  <c r="I9" i="59" s="1"/>
  <c r="S89" i="18"/>
  <c r="R89"/>
  <c r="Q89"/>
  <c r="J9" s="1"/>
  <c r="J77" i="14" s="1"/>
  <c r="J9" i="59" s="1"/>
  <c r="P89" i="18"/>
  <c r="O89"/>
  <c r="N89"/>
  <c r="M89"/>
  <c r="W61"/>
  <c r="V61"/>
  <c r="N6" i="17" s="1"/>
  <c r="U61" i="18"/>
  <c r="T61"/>
  <c r="L6" i="17" s="1"/>
  <c r="S61" i="18"/>
  <c r="R61"/>
  <c r="Q61"/>
  <c r="P61"/>
  <c r="O61"/>
  <c r="N61"/>
  <c r="M61"/>
  <c r="W60"/>
  <c r="V60"/>
  <c r="U60"/>
  <c r="T60"/>
  <c r="S60"/>
  <c r="R60"/>
  <c r="Q60"/>
  <c r="P60"/>
  <c r="D13" i="15" s="1"/>
  <c r="O60" i="18"/>
  <c r="C13" i="15" s="1"/>
  <c r="N60" i="18"/>
  <c r="M60"/>
  <c r="W59"/>
  <c r="V59"/>
  <c r="U59"/>
  <c r="T59"/>
  <c r="S59"/>
  <c r="R59"/>
  <c r="Q59"/>
  <c r="P59"/>
  <c r="O59"/>
  <c r="N59"/>
  <c r="M59"/>
  <c r="W58"/>
  <c r="V58"/>
  <c r="U58"/>
  <c r="T58"/>
  <c r="S58"/>
  <c r="R58"/>
  <c r="Q58"/>
  <c r="P58"/>
  <c r="O58"/>
  <c r="B98" s="1"/>
  <c r="N58"/>
  <c r="M58"/>
  <c r="G22"/>
  <c r="F22"/>
  <c r="E22"/>
  <c r="D22"/>
  <c r="C22"/>
  <c r="L20"/>
  <c r="K20"/>
  <c r="G20"/>
  <c r="G12"/>
  <c r="F12"/>
  <c r="E12"/>
  <c r="D12"/>
  <c r="C12"/>
  <c r="F10"/>
  <c r="B8"/>
  <c r="B6"/>
  <c r="B74" i="14" s="1"/>
  <c r="B6" i="59" s="1"/>
  <c r="B5" i="18"/>
  <c r="B4"/>
  <c r="C6" i="17"/>
  <c r="D5"/>
  <c r="B19" i="6"/>
  <c r="B18"/>
  <c r="B5"/>
  <c r="B6"/>
  <c r="P7" i="48"/>
  <c r="P25" s="1"/>
  <c r="O7"/>
  <c r="O25" s="1"/>
  <c r="M7"/>
  <c r="K7"/>
  <c r="I7"/>
  <c r="H7"/>
  <c r="G7"/>
  <c r="P10"/>
  <c r="O10"/>
  <c r="N10"/>
  <c r="L10"/>
  <c r="K10"/>
  <c r="J10"/>
  <c r="I10"/>
  <c r="H10"/>
  <c r="F10"/>
  <c r="E10"/>
  <c r="D10"/>
  <c r="C10"/>
  <c r="P9"/>
  <c r="P27" s="1"/>
  <c r="O9"/>
  <c r="N9"/>
  <c r="L9"/>
  <c r="K9"/>
  <c r="J9"/>
  <c r="I9"/>
  <c r="F9"/>
  <c r="C9"/>
  <c r="P13"/>
  <c r="P31" s="1"/>
  <c r="O13"/>
  <c r="O31" s="1"/>
  <c r="N13"/>
  <c r="L13"/>
  <c r="K13"/>
  <c r="J13"/>
  <c r="I13"/>
  <c r="F13"/>
  <c r="E13"/>
  <c r="D13"/>
  <c r="C13"/>
  <c r="B13"/>
  <c r="M8"/>
  <c r="K8"/>
  <c r="I8"/>
  <c r="H8"/>
  <c r="G8"/>
  <c r="B12"/>
  <c r="Q12" s="1"/>
  <c r="P17"/>
  <c r="P32" s="1"/>
  <c r="O17"/>
  <c r="O32" s="1"/>
  <c r="M4"/>
  <c r="L4"/>
  <c r="K4"/>
  <c r="I4"/>
  <c r="H4"/>
  <c r="G4"/>
  <c r="P11"/>
  <c r="O11"/>
  <c r="O29" s="1"/>
  <c r="N11"/>
  <c r="M11"/>
  <c r="L11"/>
  <c r="K11"/>
  <c r="J11"/>
  <c r="I11"/>
  <c r="H11"/>
  <c r="G11"/>
  <c r="F11"/>
  <c r="E11"/>
  <c r="D11"/>
  <c r="C11"/>
  <c r="B11"/>
  <c r="Q11"/>
  <c r="P28"/>
  <c r="O28"/>
  <c r="O27"/>
  <c r="M89" i="14"/>
  <c r="M19" i="59" s="1"/>
  <c r="L89" i="14"/>
  <c r="L19" i="59" s="1"/>
  <c r="K89" i="14"/>
  <c r="K19" i="59" s="1"/>
  <c r="H89" i="14"/>
  <c r="H19" i="59" s="1"/>
  <c r="G89" i="14"/>
  <c r="G19" i="59" s="1"/>
  <c r="O88" i="14"/>
  <c r="O18" i="59" s="1"/>
  <c r="N88" i="14"/>
  <c r="N18" i="59" s="1"/>
  <c r="K88" i="14"/>
  <c r="K18" i="59" s="1"/>
  <c r="I88" i="14"/>
  <c r="I18" i="59" s="1"/>
  <c r="H88" i="14"/>
  <c r="F88"/>
  <c r="F18" i="59" s="1"/>
  <c r="E88" i="14"/>
  <c r="E18" i="59" s="1"/>
  <c r="D88" i="14"/>
  <c r="D18" i="59" s="1"/>
  <c r="O87" i="14"/>
  <c r="O17" i="59" s="1"/>
  <c r="N87" i="14"/>
  <c r="N17" i="59" s="1"/>
  <c r="L87" i="14"/>
  <c r="L17" i="59" s="1"/>
  <c r="K87" i="14"/>
  <c r="K17" i="59" s="1"/>
  <c r="H87" i="14"/>
  <c r="H17" i="59" s="1"/>
  <c r="G87" i="14"/>
  <c r="G17" i="59" s="1"/>
  <c r="E87" i="14"/>
  <c r="E17" i="59" s="1"/>
  <c r="L77" i="14"/>
  <c r="L9" i="59" s="1"/>
  <c r="K77" i="14"/>
  <c r="K9" i="59" s="1"/>
  <c r="H77" i="14"/>
  <c r="H9" i="59" s="1"/>
  <c r="G77" i="14"/>
  <c r="G9" i="59" s="1"/>
  <c r="O76" i="14"/>
  <c r="O8" i="59" s="1"/>
  <c r="N76" i="14"/>
  <c r="N8" i="59" s="1"/>
  <c r="L76" i="14"/>
  <c r="K76"/>
  <c r="K8" i="59" s="1"/>
  <c r="H76" i="14"/>
  <c r="G76"/>
  <c r="G8" i="59" s="1"/>
  <c r="G10" s="1"/>
  <c r="E76" i="14"/>
  <c r="E8" i="59" s="1"/>
  <c r="B75" i="14"/>
  <c r="B7" i="59" s="1"/>
  <c r="B73" i="14"/>
  <c r="B5" i="59" s="1"/>
  <c r="B72" i="14"/>
  <c r="B4" i="59" s="1"/>
  <c r="C64" i="14"/>
  <c r="C29"/>
  <c r="Q54"/>
  <c r="P54"/>
  <c r="L54"/>
  <c r="J54"/>
  <c r="J56" s="1"/>
  <c r="I54"/>
  <c r="H54"/>
  <c r="H56" s="1"/>
  <c r="Q24"/>
  <c r="P24"/>
  <c r="N24"/>
  <c r="L24"/>
  <c r="L26" s="1"/>
  <c r="J24"/>
  <c r="J26" s="1"/>
  <c r="I24"/>
  <c r="I26" s="1"/>
  <c r="H24"/>
  <c r="Q50"/>
  <c r="P50"/>
  <c r="O50"/>
  <c r="M50"/>
  <c r="L50"/>
  <c r="K50"/>
  <c r="J50"/>
  <c r="G50"/>
  <c r="D50"/>
  <c r="Q49"/>
  <c r="P49"/>
  <c r="Q20"/>
  <c r="P20"/>
  <c r="O20"/>
  <c r="M20"/>
  <c r="L20"/>
  <c r="K20"/>
  <c r="J20"/>
  <c r="G20"/>
  <c r="D20"/>
  <c r="Q19"/>
  <c r="P19"/>
  <c r="O19"/>
  <c r="M19"/>
  <c r="L19"/>
  <c r="K19"/>
  <c r="J19"/>
  <c r="J22" s="1"/>
  <c r="I19"/>
  <c r="G19"/>
  <c r="F19"/>
  <c r="E19"/>
  <c r="D19"/>
  <c r="Q48"/>
  <c r="Q52" s="1"/>
  <c r="P48"/>
  <c r="P52" s="1"/>
  <c r="O48"/>
  <c r="M48"/>
  <c r="L48"/>
  <c r="K48"/>
  <c r="J48"/>
  <c r="G48"/>
  <c r="D48"/>
  <c r="Q18"/>
  <c r="P18"/>
  <c r="O18"/>
  <c r="O22" s="1"/>
  <c r="M18"/>
  <c r="M22" s="1"/>
  <c r="L18"/>
  <c r="K18"/>
  <c r="K22" s="1"/>
  <c r="J18"/>
  <c r="G18"/>
  <c r="F18"/>
  <c r="E18"/>
  <c r="D18"/>
  <c r="D22" s="1"/>
  <c r="C18"/>
  <c r="L43"/>
  <c r="J43"/>
  <c r="I43"/>
  <c r="H43"/>
  <c r="N13"/>
  <c r="L13"/>
  <c r="J13"/>
  <c r="I13"/>
  <c r="H13"/>
  <c r="C12"/>
  <c r="L41"/>
  <c r="J41"/>
  <c r="I41"/>
  <c r="H41"/>
  <c r="N11"/>
  <c r="M11"/>
  <c r="L11"/>
  <c r="J11"/>
  <c r="I11"/>
  <c r="H11"/>
  <c r="I39"/>
  <c r="H39"/>
  <c r="Q9"/>
  <c r="P9"/>
  <c r="O9"/>
  <c r="N9"/>
  <c r="M9"/>
  <c r="L9"/>
  <c r="K9"/>
  <c r="J9"/>
  <c r="I9"/>
  <c r="H9"/>
  <c r="G9"/>
  <c r="F9"/>
  <c r="E9"/>
  <c r="D9"/>
  <c r="C9"/>
  <c r="R9" s="1"/>
  <c r="R90"/>
  <c r="R78"/>
  <c r="G78"/>
  <c r="K78"/>
  <c r="P56"/>
  <c r="L56"/>
  <c r="Q56"/>
  <c r="I56"/>
  <c r="R44"/>
  <c r="E25"/>
  <c r="E55" s="1"/>
  <c r="C25"/>
  <c r="B14" i="48" s="1"/>
  <c r="Q26" i="14"/>
  <c r="P26"/>
  <c r="N26"/>
  <c r="H26"/>
  <c r="L22"/>
  <c r="Q22"/>
  <c r="P22"/>
  <c r="G22"/>
  <c r="R12"/>
  <c r="N19" i="59" l="1"/>
  <c r="N90" i="14"/>
  <c r="O19" i="59"/>
  <c r="O20" s="1"/>
  <c r="O90" i="14"/>
  <c r="H78"/>
  <c r="H8" i="59"/>
  <c r="H10" s="1"/>
  <c r="L20"/>
  <c r="O19" i="18"/>
  <c r="K10" i="59"/>
  <c r="E89" i="14"/>
  <c r="E19" i="59" s="1"/>
  <c r="C98" i="18"/>
  <c r="P29" i="48"/>
  <c r="B10" i="18"/>
  <c r="E20" i="59"/>
  <c r="K10" i="18"/>
  <c r="B13" i="15"/>
  <c r="E77" i="14"/>
  <c r="E9" i="59" s="1"/>
  <c r="E10" s="1"/>
  <c r="O77" i="14"/>
  <c r="N20" i="59"/>
  <c r="B17" i="18"/>
  <c r="B20" s="1"/>
  <c r="L78" i="14"/>
  <c r="L8" i="59"/>
  <c r="L10" s="1"/>
  <c r="H90" i="14"/>
  <c r="H18" i="59"/>
  <c r="N10"/>
  <c r="H20"/>
  <c r="K90" i="14"/>
  <c r="L90"/>
  <c r="K20" i="59"/>
  <c r="D14" i="48"/>
  <c r="R25" i="14"/>
  <c r="F13" i="15"/>
  <c r="L13"/>
  <c r="N13"/>
  <c r="Q77" i="14"/>
  <c r="P9" i="59" s="1"/>
  <c r="O9" i="18"/>
  <c r="O18"/>
  <c r="G88" i="14"/>
  <c r="F89"/>
  <c r="I101" i="18"/>
  <c r="H8" s="1"/>
  <c r="E101"/>
  <c r="E8" s="1"/>
  <c r="H101"/>
  <c r="D101"/>
  <c r="G101"/>
  <c r="C101"/>
  <c r="F101"/>
  <c r="B101"/>
  <c r="C8" s="1"/>
  <c r="I102"/>
  <c r="H17" s="1"/>
  <c r="E102"/>
  <c r="E17" s="1"/>
  <c r="H102"/>
  <c r="D102"/>
  <c r="G102"/>
  <c r="C102"/>
  <c r="F102"/>
  <c r="B102"/>
  <c r="C17" s="1"/>
  <c r="Q88" i="14"/>
  <c r="P18" i="59" s="1"/>
  <c r="B88" i="14"/>
  <c r="B18" i="59" s="1"/>
  <c r="B77" i="14"/>
  <c r="B9" i="59" s="1"/>
  <c r="Q14" i="48"/>
  <c r="O24"/>
  <c r="O30"/>
  <c r="P24"/>
  <c r="P30"/>
  <c r="C77" i="14"/>
  <c r="C9" i="59" s="1"/>
  <c r="C88" i="14"/>
  <c r="C18" i="59" s="1"/>
  <c r="E78" i="14"/>
  <c r="E90"/>
  <c r="N78"/>
  <c r="C89" l="1"/>
  <c r="C19" i="59" s="1"/>
  <c r="F19"/>
  <c r="G90" i="14"/>
  <c r="G18" i="59"/>
  <c r="G20" s="1"/>
  <c r="O78" i="14"/>
  <c r="O9" i="59"/>
  <c r="O10" s="1"/>
  <c r="B89" i="14"/>
  <c r="B19" i="59" s="1"/>
  <c r="Q89" i="14"/>
  <c r="P19" i="59" s="1"/>
  <c r="C20" i="18"/>
  <c r="D87" i="14"/>
  <c r="D17" i="59" s="1"/>
  <c r="D20" s="1"/>
  <c r="D76" i="14"/>
  <c r="D8" i="59" s="1"/>
  <c r="D10" s="1"/>
  <c r="C10" i="18"/>
  <c r="J17"/>
  <c r="J8"/>
  <c r="F87" i="14"/>
  <c r="E20" i="18"/>
  <c r="E10"/>
  <c r="F76" i="14"/>
  <c r="F8" i="59" s="1"/>
  <c r="F10" s="1"/>
  <c r="I17" i="18"/>
  <c r="H20"/>
  <c r="M87" i="14"/>
  <c r="I8" i="18"/>
  <c r="O8" s="1"/>
  <c r="O10" s="1"/>
  <c r="M76" i="14"/>
  <c r="H10" i="18"/>
  <c r="H14" i="15"/>
  <c r="H16" s="1"/>
  <c r="G14"/>
  <c r="G16" s="1"/>
  <c r="M78" i="14" l="1"/>
  <c r="M8" i="59"/>
  <c r="M10" s="1"/>
  <c r="H10" i="14"/>
  <c r="H16" s="1"/>
  <c r="G5" i="48"/>
  <c r="M90" i="14"/>
  <c r="M17" i="59"/>
  <c r="M20" s="1"/>
  <c r="F90" i="14"/>
  <c r="F17" i="59"/>
  <c r="F20" s="1"/>
  <c r="I10" i="14"/>
  <c r="I16" s="1"/>
  <c r="H5" i="48"/>
  <c r="O17" i="18"/>
  <c r="O20" s="1"/>
  <c r="I76" i="14"/>
  <c r="I8" i="59" s="1"/>
  <c r="I10" s="1"/>
  <c r="I10" i="18"/>
  <c r="Q87" i="14"/>
  <c r="D90"/>
  <c r="F78"/>
  <c r="J87"/>
  <c r="J20" i="18"/>
  <c r="J10"/>
  <c r="J76" i="14"/>
  <c r="I87"/>
  <c r="I17" i="59" s="1"/>
  <c r="I20" s="1"/>
  <c r="I20" i="18"/>
  <c r="Q76" i="14"/>
  <c r="D78"/>
  <c r="B24" i="44"/>
  <c r="B23"/>
  <c r="J78" i="14" l="1"/>
  <c r="J8" i="59"/>
  <c r="J10" s="1"/>
  <c r="J90" i="14"/>
  <c r="J17" i="59"/>
  <c r="J20" s="1"/>
  <c r="Q90" i="14"/>
  <c r="B17" i="6" s="1"/>
  <c r="P17" i="59"/>
  <c r="P20" s="1"/>
  <c r="Q78" i="14"/>
  <c r="B9" i="6" s="1"/>
  <c r="P8" i="59"/>
  <c r="P10" s="1"/>
  <c r="B87" i="14"/>
  <c r="I90"/>
  <c r="C87"/>
  <c r="C76"/>
  <c r="B76"/>
  <c r="I78"/>
  <c r="A31" i="23"/>
  <c r="A32"/>
  <c r="A33"/>
  <c r="C78" i="14" l="1"/>
  <c r="C8" i="59"/>
  <c r="C10" s="1"/>
  <c r="B78" i="14"/>
  <c r="B8" i="59"/>
  <c r="B10" s="1"/>
  <c r="B90" i="14"/>
  <c r="B17" i="59"/>
  <c r="B20" s="1"/>
  <c r="C90" i="14"/>
  <c r="C17" i="59"/>
  <c r="C20" s="1"/>
  <c r="B4" i="21"/>
  <c r="B4" i="6" l="1"/>
  <c r="B11" i="4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N10" i="14" l="1"/>
  <c r="N16" s="1"/>
  <c r="M5" i="48"/>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F16" i="16"/>
  <c r="N16"/>
  <c r="D16"/>
  <c r="C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K28" i="48" l="1"/>
  <c r="K32"/>
  <c r="K31"/>
  <c r="K25"/>
  <c r="K29"/>
  <c r="K26"/>
  <c r="K27"/>
  <c r="K24"/>
  <c r="K30"/>
  <c r="K22"/>
  <c r="C24" i="14"/>
  <c r="C26" s="1"/>
  <c r="B7" i="48"/>
  <c r="P4"/>
  <c r="Q11" i="14"/>
  <c r="I22" i="48"/>
  <c r="I31"/>
  <c r="I26"/>
  <c r="I28"/>
  <c r="I32"/>
  <c r="I25"/>
  <c r="I29"/>
  <c r="I24"/>
  <c r="I30"/>
  <c r="I27"/>
  <c r="E11" i="14"/>
  <c r="D4" i="48"/>
  <c r="D22" s="1"/>
  <c r="G32"/>
  <c r="G25"/>
  <c r="G26"/>
  <c r="G30"/>
  <c r="G24"/>
  <c r="G29"/>
  <c r="G22"/>
  <c r="G23"/>
  <c r="C11" i="14"/>
  <c r="B4" i="48"/>
  <c r="F28"/>
  <c r="F27"/>
  <c r="F32"/>
  <c r="F30"/>
  <c r="F31"/>
  <c r="F29"/>
  <c r="F24"/>
  <c r="N28"/>
  <c r="N27"/>
  <c r="N32"/>
  <c r="N31"/>
  <c r="N24"/>
  <c r="N29"/>
  <c r="N30"/>
  <c r="C19" i="14"/>
  <c r="B10" i="48"/>
  <c r="J29"/>
  <c r="J27"/>
  <c r="J32"/>
  <c r="J31"/>
  <c r="J30"/>
  <c r="J24"/>
  <c r="J28"/>
  <c r="O4"/>
  <c r="P11" i="14"/>
  <c r="H32" i="48"/>
  <c r="H29"/>
  <c r="H26"/>
  <c r="H25"/>
  <c r="H28"/>
  <c r="H22"/>
  <c r="H30"/>
  <c r="H24"/>
  <c r="H23"/>
  <c r="C4"/>
  <c r="D11" i="14"/>
  <c r="E28" i="48"/>
  <c r="E32"/>
  <c r="E29"/>
  <c r="E24"/>
  <c r="E31"/>
  <c r="E30"/>
  <c r="M32"/>
  <c r="M25"/>
  <c r="M24"/>
  <c r="M26"/>
  <c r="M30"/>
  <c r="M29"/>
  <c r="M22"/>
  <c r="M23"/>
  <c r="K5"/>
  <c r="L10" i="14"/>
  <c r="L16" s="1"/>
  <c r="L27" s="1"/>
  <c r="D30" i="48"/>
  <c r="D31"/>
  <c r="D24"/>
  <c r="D29"/>
  <c r="D28"/>
  <c r="D32"/>
  <c r="L31"/>
  <c r="L27"/>
  <c r="L32"/>
  <c r="L29"/>
  <c r="L24"/>
  <c r="L28"/>
  <c r="L22"/>
  <c r="L30"/>
  <c r="P5"/>
  <c r="P23" s="1"/>
  <c r="Q10" i="14"/>
  <c r="N46"/>
  <c r="L16" i="16"/>
  <c r="L18" s="1"/>
  <c r="D8" i="17"/>
  <c r="D12" s="1"/>
  <c r="E54" i="14" s="1"/>
  <c r="E56" s="1"/>
  <c r="B8" i="9"/>
  <c r="B6" i="48" s="1"/>
  <c r="Q6" s="1"/>
  <c r="C16" i="15"/>
  <c r="I14"/>
  <c r="I16" s="1"/>
  <c r="I20" s="1"/>
  <c r="J40" i="14" s="1"/>
  <c r="B13" i="16"/>
  <c r="C35"/>
  <c r="D14" i="15"/>
  <c r="P18" i="16"/>
  <c r="N5" i="17"/>
  <c r="J8"/>
  <c r="F8"/>
  <c r="L16" i="15"/>
  <c r="B67" i="22"/>
  <c r="M11"/>
  <c r="G10"/>
  <c r="M9"/>
  <c r="G8"/>
  <c r="M7"/>
  <c r="G6"/>
  <c r="G11"/>
  <c r="M8"/>
  <c r="G7"/>
  <c r="M10"/>
  <c r="G9"/>
  <c r="M6"/>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G11" i="14" l="1"/>
  <c r="F4" i="48"/>
  <c r="F22" s="1"/>
  <c r="H18" i="14"/>
  <c r="G13" i="48"/>
  <c r="I18" i="14"/>
  <c r="H13" i="48"/>
  <c r="H31" s="1"/>
  <c r="C22" i="14"/>
  <c r="F20"/>
  <c r="F22" s="1"/>
  <c r="E9" i="48"/>
  <c r="E27" s="1"/>
  <c r="O22"/>
  <c r="P22"/>
  <c r="Q16" i="14"/>
  <c r="Q27" s="1"/>
  <c r="Q63" s="1"/>
  <c r="I5" i="48"/>
  <c r="J10" i="14"/>
  <c r="J16" s="1"/>
  <c r="J27" s="1"/>
  <c r="K23" i="48"/>
  <c r="K33" s="1"/>
  <c r="K15"/>
  <c r="M12" i="22"/>
  <c r="M13" i="48"/>
  <c r="M31" s="1"/>
  <c r="N18" i="14"/>
  <c r="P8" i="48"/>
  <c r="P26" s="1"/>
  <c r="Q13" i="14"/>
  <c r="E20"/>
  <c r="E22" s="1"/>
  <c r="D9" i="48"/>
  <c r="D27" s="1"/>
  <c r="O5"/>
  <c r="O23" s="1"/>
  <c r="P10" i="14"/>
  <c r="K24"/>
  <c r="K26" s="1"/>
  <c r="J7" i="48"/>
  <c r="J25" s="1"/>
  <c r="B9"/>
  <c r="C20" i="14"/>
  <c r="J46"/>
  <c r="J61" s="1"/>
  <c r="J12" i="17"/>
  <c r="K54" i="14" s="1"/>
  <c r="K56" s="1"/>
  <c r="L46"/>
  <c r="L61" s="1"/>
  <c r="L63" s="1"/>
  <c r="G24"/>
  <c r="G26" s="1"/>
  <c r="F7" i="48"/>
  <c r="F25" s="1"/>
  <c r="M13" i="14"/>
  <c r="L8" i="48"/>
  <c r="L26" s="1"/>
  <c r="L22" i="16"/>
  <c r="M43" i="14" s="1"/>
  <c r="C7" i="48"/>
  <c r="D24" i="14"/>
  <c r="D26" s="1"/>
  <c r="D13"/>
  <c r="C8" i="48"/>
  <c r="D7"/>
  <c r="E24" i="14"/>
  <c r="D10"/>
  <c r="C5" i="48"/>
  <c r="M10" i="14"/>
  <c r="L5" i="48"/>
  <c r="P22" i="16"/>
  <c r="Q43" i="14" s="1"/>
  <c r="E8" i="17"/>
  <c r="O18" i="16"/>
  <c r="B34" i="13"/>
  <c r="H12" i="22"/>
  <c r="B35" i="13"/>
  <c r="B47" s="1"/>
  <c r="B36"/>
  <c r="B48" s="1"/>
  <c r="C48" s="1"/>
  <c r="N5" s="1"/>
  <c r="N8" s="1"/>
  <c r="D18" i="16"/>
  <c r="G31" i="20"/>
  <c r="H48" i="14" s="1"/>
  <c r="G12" i="22"/>
  <c r="D16" i="15"/>
  <c r="D5" i="48" s="1"/>
  <c r="N8" i="17"/>
  <c r="L8"/>
  <c r="M50" i="22"/>
  <c r="M54" s="1"/>
  <c r="G51"/>
  <c r="G50" s="1"/>
  <c r="G54" s="1"/>
  <c r="F12" i="17"/>
  <c r="G54" i="14" s="1"/>
  <c r="G56" s="1"/>
  <c r="M31" i="20"/>
  <c r="N48" i="14" s="1"/>
  <c r="H31" i="20"/>
  <c r="I48" i="14" s="1"/>
  <c r="M5" i="22"/>
  <c r="M14" s="1"/>
  <c r="G5"/>
  <c r="H5"/>
  <c r="H14" s="1"/>
  <c r="E5" i="15"/>
  <c r="O20"/>
  <c r="P40" i="14" s="1"/>
  <c r="P20" i="15"/>
  <c r="Q40" i="14" s="1"/>
  <c r="Q46" s="1"/>
  <c r="Q61" s="1"/>
  <c r="J5" i="15"/>
  <c r="F5"/>
  <c r="F16" s="1"/>
  <c r="B5"/>
  <c r="B16" s="1"/>
  <c r="B5" i="16"/>
  <c r="B18" s="1"/>
  <c r="N5" i="15"/>
  <c r="N16" s="1"/>
  <c r="F12" i="13"/>
  <c r="G41" i="14" s="1"/>
  <c r="F13" i="16"/>
  <c r="E13"/>
  <c r="N13"/>
  <c r="J13"/>
  <c r="N12"/>
  <c r="J12"/>
  <c r="F12"/>
  <c r="E12"/>
  <c r="B46" i="13"/>
  <c r="E5" s="1"/>
  <c r="E8" s="1"/>
  <c r="C50"/>
  <c r="J5" s="1"/>
  <c r="J8" s="1"/>
  <c r="O11" i="14" l="1"/>
  <c r="N4" i="48"/>
  <c r="N22" s="1"/>
  <c r="M10"/>
  <c r="M28" s="1"/>
  <c r="N19" i="14"/>
  <c r="I23" i="48"/>
  <c r="I33" s="1"/>
  <c r="I15"/>
  <c r="E12" i="13"/>
  <c r="F41" i="14" s="1"/>
  <c r="E4" i="48"/>
  <c r="F11" i="14"/>
  <c r="R11" s="1"/>
  <c r="R18"/>
  <c r="J63"/>
  <c r="G10" i="48"/>
  <c r="H19" i="14"/>
  <c r="J4" i="48"/>
  <c r="K11" i="14"/>
  <c r="E7" i="48"/>
  <c r="E25" s="1"/>
  <c r="F24" i="14"/>
  <c r="F26" s="1"/>
  <c r="G31" i="48"/>
  <c r="Q13"/>
  <c r="N20" i="14"/>
  <c r="M9" i="48"/>
  <c r="O22" i="16"/>
  <c r="P43" i="14" s="1"/>
  <c r="P46" s="1"/>
  <c r="P61" s="1"/>
  <c r="P63" s="1"/>
  <c r="P13"/>
  <c r="O8" i="48"/>
  <c r="O26" s="1"/>
  <c r="O33" s="1"/>
  <c r="H9"/>
  <c r="I20" i="14"/>
  <c r="I22" s="1"/>
  <c r="I27" s="1"/>
  <c r="P16"/>
  <c r="P27" s="1"/>
  <c r="P15" i="48"/>
  <c r="G14" i="22"/>
  <c r="P33" i="48"/>
  <c r="N22" i="14"/>
  <c r="N27" s="1"/>
  <c r="N12" i="17"/>
  <c r="O54" i="14" s="1"/>
  <c r="O56" s="1"/>
  <c r="O24"/>
  <c r="O26" s="1"/>
  <c r="N7" i="48"/>
  <c r="N25" s="1"/>
  <c r="L12" i="17"/>
  <c r="M54" i="14" s="1"/>
  <c r="M56" s="1"/>
  <c r="L7" i="48"/>
  <c r="L25" s="1"/>
  <c r="M24" i="14"/>
  <c r="M26" s="1"/>
  <c r="D22" i="16"/>
  <c r="E43" i="14" s="1"/>
  <c r="D8" i="48"/>
  <c r="D26" s="1"/>
  <c r="E13" i="14"/>
  <c r="C13"/>
  <c r="B8" i="48"/>
  <c r="E26" i="14"/>
  <c r="D25" i="48"/>
  <c r="C10" i="14"/>
  <c r="B5" i="48"/>
  <c r="O10" i="14"/>
  <c r="N5" i="48"/>
  <c r="G10" i="14"/>
  <c r="F5" i="48"/>
  <c r="D20" i="15"/>
  <c r="E40" i="14" s="1"/>
  <c r="E10"/>
  <c r="E12" i="17"/>
  <c r="F54" i="14" s="1"/>
  <c r="F56" s="1"/>
  <c r="E16" i="15"/>
  <c r="J16"/>
  <c r="M58" i="22"/>
  <c r="N49" i="14" s="1"/>
  <c r="D18" i="22"/>
  <c r="E50" i="14" s="1"/>
  <c r="E52" s="1"/>
  <c r="E18" i="22"/>
  <c r="F50" i="14" s="1"/>
  <c r="F52" s="1"/>
  <c r="G58" i="22"/>
  <c r="H49" i="14" s="1"/>
  <c r="M18" i="22"/>
  <c r="N50" i="14" s="1"/>
  <c r="N52" s="1"/>
  <c r="N61" s="1"/>
  <c r="N63" s="1"/>
  <c r="J20" i="15"/>
  <c r="K40" i="14" s="1"/>
  <c r="N20" i="15"/>
  <c r="O40" i="14" s="1"/>
  <c r="F20" i="15"/>
  <c r="G40" i="14" s="1"/>
  <c r="N5" i="16"/>
  <c r="E5"/>
  <c r="J5"/>
  <c r="C35" i="13"/>
  <c r="F5" i="16"/>
  <c r="C36" i="13"/>
  <c r="N12"/>
  <c r="O41" i="14" s="1"/>
  <c r="C38" i="13"/>
  <c r="C39"/>
  <c r="C32"/>
  <c r="C34"/>
  <c r="J12"/>
  <c r="K41" i="14" s="1"/>
  <c r="L20" i="15"/>
  <c r="M40" i="14" s="1"/>
  <c r="G28" i="48" l="1"/>
  <c r="Q10"/>
  <c r="M27"/>
  <c r="M33" s="1"/>
  <c r="M15"/>
  <c r="R19" i="14"/>
  <c r="H20"/>
  <c r="G9" i="48"/>
  <c r="E22"/>
  <c r="Q4"/>
  <c r="H27"/>
  <c r="H33" s="1"/>
  <c r="H15"/>
  <c r="E5"/>
  <c r="E23" s="1"/>
  <c r="F10" i="14"/>
  <c r="K10"/>
  <c r="J5" i="48"/>
  <c r="J23" s="1"/>
  <c r="J22"/>
  <c r="O15"/>
  <c r="R24" i="14"/>
  <c r="R26" s="1"/>
  <c r="Q7" i="48"/>
  <c r="E20" i="15"/>
  <c r="F40" i="14" s="1"/>
  <c r="J18" i="16"/>
  <c r="E18"/>
  <c r="F18"/>
  <c r="F22" s="1"/>
  <c r="G43" i="14" s="1"/>
  <c r="N18" i="16"/>
  <c r="G18" i="22"/>
  <c r="H50" i="14" s="1"/>
  <c r="H52" s="1"/>
  <c r="H61" s="1"/>
  <c r="H18" i="22"/>
  <c r="I50" i="14" s="1"/>
  <c r="I52" s="1"/>
  <c r="I61" s="1"/>
  <c r="I63" s="1"/>
  <c r="G27" i="48" l="1"/>
  <c r="G33" s="1"/>
  <c r="G15"/>
  <c r="Q9"/>
  <c r="J22" i="16"/>
  <c r="K43" i="14" s="1"/>
  <c r="K46" s="1"/>
  <c r="K61" s="1"/>
  <c r="J8" i="48"/>
  <c r="J26" s="1"/>
  <c r="K13" i="14"/>
  <c r="K16" s="1"/>
  <c r="K27" s="1"/>
  <c r="E8" i="48"/>
  <c r="F13" i="14"/>
  <c r="F16" s="1"/>
  <c r="F27" s="1"/>
  <c r="J15" i="48"/>
  <c r="J33"/>
  <c r="R20" i="14"/>
  <c r="R22" s="1"/>
  <c r="H22"/>
  <c r="H27" s="1"/>
  <c r="H63"/>
  <c r="E22" i="16"/>
  <c r="F43" i="14" s="1"/>
  <c r="F46" s="1"/>
  <c r="F61" s="1"/>
  <c r="N8" i="48"/>
  <c r="N26" s="1"/>
  <c r="O13" i="14"/>
  <c r="N22" i="16"/>
  <c r="O43" i="14" s="1"/>
  <c r="G13"/>
  <c r="F8" i="48"/>
  <c r="F63" i="14" l="1"/>
  <c r="E26" i="48"/>
  <c r="E33" s="1"/>
  <c r="E15"/>
  <c r="K63" i="14"/>
  <c r="R13"/>
  <c r="F26" i="48"/>
  <c r="Q8"/>
  <c r="D16" i="14" l="1"/>
  <c r="D27" s="1"/>
  <c r="B20" i="6" s="1"/>
  <c r="M16" i="14"/>
  <c r="M27" s="1"/>
  <c r="G16" l="1"/>
  <c r="G27" s="1"/>
  <c r="L23" i="48"/>
  <c r="L33" s="1"/>
  <c r="L15"/>
  <c r="B15"/>
  <c r="C15"/>
  <c r="O16" i="14"/>
  <c r="O27" s="1"/>
  <c r="E16"/>
  <c r="E27" s="1"/>
  <c r="R10"/>
  <c r="R16" s="1"/>
  <c r="R27" s="1"/>
  <c r="C16"/>
  <c r="C27" s="1"/>
  <c r="B3" i="6" s="1"/>
  <c r="B22"/>
  <c r="C22" i="59" s="1"/>
  <c r="E46" i="14"/>
  <c r="E61" s="1"/>
  <c r="E63" s="1"/>
  <c r="O46"/>
  <c r="O61" s="1"/>
  <c r="O63" s="1"/>
  <c r="G46"/>
  <c r="G61" s="1"/>
  <c r="M46"/>
  <c r="M61" s="1"/>
  <c r="M63" s="1"/>
  <c r="G63" l="1"/>
  <c r="C18" i="15"/>
  <c r="C20" s="1"/>
  <c r="D40" i="14" s="1"/>
  <c r="C10" i="17"/>
  <c r="C12" s="1"/>
  <c r="D54" i="14" s="1"/>
  <c r="C20" i="16"/>
  <c r="C22" s="1"/>
  <c r="D43" i="14" s="1"/>
  <c r="C56" i="22"/>
  <c r="C58" s="1"/>
  <c r="D49" i="14" s="1"/>
  <c r="C16" i="22"/>
  <c r="C10" i="13"/>
  <c r="C17" i="49"/>
  <c r="C17" i="19"/>
  <c r="C19" s="1"/>
  <c r="D39" i="14" s="1"/>
  <c r="C29" i="20"/>
  <c r="N23" i="48"/>
  <c r="N33" s="1"/>
  <c r="N15"/>
  <c r="F23"/>
  <c r="F33" s="1"/>
  <c r="F15"/>
  <c r="D23"/>
  <c r="D33" s="1"/>
  <c r="D15"/>
  <c r="Q5"/>
  <c r="Q15" s="1"/>
  <c r="B12" i="6"/>
  <c r="C12" i="59" s="1"/>
  <c r="C17" i="48" l="1"/>
  <c r="C12" i="13"/>
  <c r="D41" i="14" s="1"/>
  <c r="C55"/>
  <c r="B10" i="9"/>
  <c r="B12" s="1"/>
  <c r="B29" i="20"/>
  <c r="B31" s="1"/>
  <c r="C48" i="14" s="1"/>
  <c r="B56" i="22"/>
  <c r="B58" s="1"/>
  <c r="C49" i="14" s="1"/>
  <c r="B10" i="13"/>
  <c r="B16" i="22"/>
  <c r="B18" s="1"/>
  <c r="C50" i="14" s="1"/>
  <c r="B17" i="19"/>
  <c r="B19" s="1"/>
  <c r="C39" i="14" s="1"/>
  <c r="B17" i="49"/>
  <c r="B19" s="1"/>
  <c r="C42" i="14" s="1"/>
  <c r="B20" i="16"/>
  <c r="B22" s="1"/>
  <c r="C43" i="14" s="1"/>
  <c r="B18" i="15"/>
  <c r="B20" s="1"/>
  <c r="C40" i="14" s="1"/>
  <c r="B10" i="17"/>
  <c r="B12" s="1"/>
  <c r="C54" i="14" s="1"/>
  <c r="B12" i="13" l="1"/>
  <c r="C41" i="14" s="1"/>
  <c r="B17" i="48"/>
  <c r="D52" i="14"/>
  <c r="D56"/>
  <c r="D46"/>
  <c r="C32" i="48" l="1"/>
  <c r="C30"/>
  <c r="C24"/>
  <c r="C31"/>
  <c r="C28"/>
  <c r="C26"/>
  <c r="C25"/>
  <c r="C27"/>
  <c r="C29"/>
  <c r="C22"/>
  <c r="C23"/>
  <c r="D61" i="14"/>
  <c r="D63" s="1"/>
  <c r="R55"/>
  <c r="C33" i="48" l="1"/>
  <c r="R49" i="14"/>
  <c r="R50"/>
  <c r="R43"/>
  <c r="R42"/>
  <c r="B22" i="48" l="1"/>
  <c r="B24"/>
  <c r="Q24" s="1"/>
  <c r="B25"/>
  <c r="Q25" s="1"/>
  <c r="B29"/>
  <c r="Q29" s="1"/>
  <c r="B26"/>
  <c r="Q26" s="1"/>
  <c r="B30"/>
  <c r="Q30" s="1"/>
  <c r="B31"/>
  <c r="Q31" s="1"/>
  <c r="B27"/>
  <c r="Q27" s="1"/>
  <c r="B32"/>
  <c r="Q32" s="1"/>
  <c r="B28"/>
  <c r="Q28" s="1"/>
  <c r="B23"/>
  <c r="Q23" s="1"/>
  <c r="R54" i="14"/>
  <c r="R56" s="1"/>
  <c r="C56"/>
  <c r="C52"/>
  <c r="R48"/>
  <c r="R52" s="1"/>
  <c r="R39"/>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<sst xmlns="http://schemas.openxmlformats.org/spreadsheetml/2006/main" count="2392" uniqueCount="890">
  <si>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</si>
  <si>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</si>
  <si>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</si>
  <si>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</si>
  <si>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</si>
  <si>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</si>
  <si>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</si>
  <si>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</si>
  <si>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</si>
  <si>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</si>
  <si>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</si>
  <si>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</si>
  <si>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</si>
  <si>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</si>
  <si>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</si>
  <si>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</si>
  <si>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</si>
  <si>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</si>
  <si>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</si>
  <si>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</si>
  <si>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</si>
  <si>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</si>
  <si>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</si>
  <si>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</si>
  <si>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</si>
  <si>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</si>
  <si>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</si>
  <si>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</si>
  <si>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</si>
  <si>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</si>
  <si>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</si>
  <si>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</si>
  <si>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</si>
  <si>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</si>
  <si>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</si>
  <si>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</si>
  <si>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</si>
  <si>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</si>
  <si>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</si>
  <si>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</si>
  <si>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</si>
  <si>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</si>
  <si>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</si>
  <si>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</si>
  <si>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</si>
  <si>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</si>
  <si>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</si>
  <si>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</si>
  <si>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</si>
  <si>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</si>
  <si>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</si>
  <si>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</si>
  <si>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</si>
  <si>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</si>
  <si>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</si>
  <si>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</si>
  <si>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</si>
  <si>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</si>
  <si>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</si>
  <si>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</si>
  <si>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</si>
  <si>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</si>
  <si>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</si>
  <si>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</si>
  <si>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</si>
  <si>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</si>
  <si>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</si>
  <si>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</si>
  <si>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</si>
  <si>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</si>
  <si>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</si>
  <si>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</si>
  <si>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</si>
  <si>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</si>
  <si>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</si>
  <si>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</si>
  <si>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</si>
  <si>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</si>
  <si>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</si>
  <si>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</si>
  <si>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</si>
  <si>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</si>
  <si>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</si>
  <si>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</si>
  <si>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</si>
  <si>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</si>
  <si>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</si>
  <si>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</si>
  <si>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</si>
  <si>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</si>
  <si>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</si>
  <si>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</si>
  <si>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</si>
  <si>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</si>
  <si>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</si>
  <si>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</si>
  <si>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</si>
  <si>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</si>
  <si>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</si>
  <si>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</si>
  <si>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</si>
  <si>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</si>
  <si>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</si>
  <si>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</si>
  <si>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</si>
  <si>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</si>
  <si>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</si>
  <si>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</si>
  <si>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</si>
  <si>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</si>
  <si>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</si>
  <si>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</si>
  <si>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</si>
  <si>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</si>
  <si>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</si>
  <si>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</si>
  <si>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</si>
  <si>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</si>
  <si>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</si>
  <si>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</si>
  <si>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</si>
  <si>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</si>
  <si>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</si>
  <si>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</si>
  <si>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</si>
  <si>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</si>
  <si>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</si>
  <si>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</si>
  <si>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</si>
  <si>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</si>
  <si>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</si>
  <si>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</si>
  <si>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</si>
  <si>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</si>
  <si>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</si>
  <si>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</si>
  <si>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</si>
  <si>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</si>
  <si>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</si>
  <si>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</si>
  <si>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</si>
  <si>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</si>
  <si>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</si>
  <si>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</si>
  <si>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</si>
  <si>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</si>
  <si>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</si>
  <si>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</si>
  <si>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</si>
  <si>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</si>
  <si>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</si>
  <si>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</si>
  <si>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</si>
  <si>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</si>
  <si>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</si>
  <si>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</si>
  <si>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</si>
  <si>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</si>
  <si>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</si>
  <si>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</si>
  <si>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</si>
  <si>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</si>
  <si>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</si>
  <si>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</si>
  <si>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</si>
  <si>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</si>
  <si>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</si>
  <si>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</si>
  <si>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</si>
  <si>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</si>
  <si>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</si>
  <si>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</si>
  <si>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</si>
  <si>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</si>
  <si>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</si>
  <si>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</si>
  <si>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</si>
  <si>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</si>
  <si>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</si>
  <si>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</si>
  <si>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</si>
  <si>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</si>
  <si>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</si>
  <si>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</si>
  <si>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</si>
  <si>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</si>
  <si>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</si>
  <si>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</si>
  <si>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</si>
  <si>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</si>
  <si>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</si>
  <si>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</si>
  <si>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</si>
  <si>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</si>
  <si>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</si>
  <si>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</si>
  <si>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</si>
  <si>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</si>
  <si>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</si>
  <si>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</si>
  <si>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</si>
  <si>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</si>
  <si>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</si>
  <si>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</si>
  <si>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</si>
  <si>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</si>
  <si>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</si>
  <si>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</si>
  <si>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</si>
  <si>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</si>
  <si>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</si>
  <si>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</si>
  <si>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</si>
  <si>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</si>
  <si>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</si>
  <si>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</si>
  <si>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</si>
  <si>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</si>
  <si>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</si>
  <si>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</si>
  <si>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</si>
  <si>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</si>
  <si>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</si>
  <si>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</si>
  <si>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</si>
  <si>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</si>
  <si>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</si>
  <si>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</si>
  <si>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</si>
  <si>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</si>
  <si>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</si>
  <si>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</si>
  <si>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</si>
  <si>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</si>
  <si>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</si>
  <si>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</si>
  <si>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</si>
  <si>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</si>
  <si>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</si>
  <si>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</si>
  <si>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</si>
  <si>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</si>
  <si>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</si>
  <si>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</si>
  <si>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</si>
  <si>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</si>
  <si>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</si>
  <si>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</si>
  <si>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</si>
  <si>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</si>
  <si>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</si>
  <si>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</si>
  <si>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</si>
  <si>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</si>
  <si>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</si>
  <si>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</si>
  <si>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</si>
  <si>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</si>
  <si>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</si>
  <si>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</si>
  <si>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</si>
  <si>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</si>
  <si>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</si>
  <si>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</si>
  <si>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</si>
  <si>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</si>
  <si>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</si>
  <si>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</si>
  <si>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</si>
  <si>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</si>
  <si>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</si>
  <si>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</si>
  <si>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</si>
  <si>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</si>
  <si>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</si>
  <si>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</si>
  <si>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</si>
  <si>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</si>
  <si>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</si>
  <si>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</si>
  <si>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</si>
  <si>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</si>
  <si>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</si>
  <si>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</si>
  <si>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</si>
  <si>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</si>
  <si>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</si>
  <si>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</si>
  <si>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</si>
  <si>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</si>
  <si>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</si>
  <si>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</si>
  <si>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</si>
  <si>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</si>
  <si>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</si>
  <si>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</si>
  <si>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</si>
  <si>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</si>
  <si>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</si>
  <si>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</si>
  <si>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</si>
  <si>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</si>
  <si>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</si>
  <si>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</si>
  <si>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</si>
  <si>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</si>
  <si>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</si>
  <si>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</si>
  <si>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</si>
  <si>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</si>
  <si>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</si>
  <si>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</si>
  <si>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</si>
  <si>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</si>
  <si>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</si>
  <si>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</si>
  <si>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</si>
  <si>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</si>
  <si>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</si>
  <si>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</si>
  <si>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</si>
  <si>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</si>
  <si>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</si>
  <si>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</si>
  <si>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</si>
  <si>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</si>
  <si>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</si>
  <si>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</si>
  <si>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</si>
  <si>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</si>
  <si>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</si>
  <si>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</si>
  <si>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</si>
  <si>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</si>
  <si>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</si>
  <si>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</si>
  <si>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</si>
  <si>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</si>
  <si>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</si>
  <si>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</si>
  <si>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</si>
  <si>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</si>
  <si>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</si>
  <si>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</si>
  <si>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</si>
  <si>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</si>
  <si>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</si>
  <si>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</si>
  <si>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</si>
  <si>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</si>
  <si>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</si>
  <si>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</si>
  <si>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</si>
  <si>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</si>
  <si>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</si>
  <si>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</si>
  <si>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</si>
  <si>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</si>
  <si>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</si>
  <si>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</si>
  <si>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</si>
  <si>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</si>
  <si>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</si>
  <si>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</si>
  <si>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</si>
  <si>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</si>
  <si>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</si>
  <si>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</si>
  <si>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</si>
  <si>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</si>
  <si>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</si>
  <si>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</si>
  <si>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</si>
  <si>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</si>
  <si>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</si>
  <si>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</si>
  <si>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</si>
  <si>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</si>
  <si>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</si>
  <si>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</si>
  <si>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</si>
  <si>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</si>
  <si>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</si>
  <si>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</si>
  <si>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</si>
  <si>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</si>
  <si>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</si>
  <si>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</si>
  <si>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</si>
  <si>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</si>
  <si>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</si>
  <si>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</si>
  <si>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</si>
  <si>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</si>
  <si>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</si>
  <si>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</si>
  <si>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</si>
  <si>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</si>
  <si>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</si>
  <si>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</si>
  <si>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</si>
  <si>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</si>
  <si>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</si>
  <si>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</si>
  <si>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</si>
  <si>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</si>
  <si>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</si>
  <si>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</si>
  <si>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</si>
  <si>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</si>
  <si>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</si>
  <si>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</si>
  <si>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</si>
  <si>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</si>
  <si>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</si>
  <si>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</si>
  <si>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</si>
  <si>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</si>
  <si>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</si>
  <si>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</si>
  <si>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</si>
  <si>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</si>
  <si>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</si>
  <si>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</si>
  <si>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</si>
  <si>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</si>
  <si>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</si>
  <si>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</si>
  <si>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</si>
  <si>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</si>
  <si>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</si>
  <si>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</si>
  <si>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</si>
  <si>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</si>
  <si>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</si>
  <si>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</si>
  <si>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</si>
  <si>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</si>
  <si>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</si>
  <si>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</si>
  <si>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</si>
  <si>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</si>
  <si>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</si>
  <si>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</si>
  <si>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</si>
  <si>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</si>
  <si>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</si>
  <si>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</si>
  <si>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</si>
  <si>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</si>
  <si>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</si>
  <si>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</si>
  <si>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</si>
  <si>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</si>
  <si>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</si>
  <si>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</si>
  <si>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</si>
  <si>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</si>
  <si>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</si>
  <si>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</si>
  <si>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</si>
  <si>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</si>
  <si>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</si>
  <si>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</si>
  <si>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</si>
  <si>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</si>
  <si>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</si>
  <si>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</si>
  <si>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</si>
  <si>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</si>
  <si>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</si>
  <si>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</si>
  <si>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</si>
  <si>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</si>
  <si>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</si>
  <si>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</si>
  <si>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</si>
  <si>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</si>
  <si>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</si>
  <si>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</si>
  <si>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</si>
  <si>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</si>
  <si>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</si>
  <si>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</si>
  <si>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</si>
  <si>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</si>
  <si>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</si>
  <si>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</si>
  <si>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</si>
  <si>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</si>
  <si>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</si>
  <si>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</si>
  <si>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</si>
  <si>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</si>
  <si>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</si>
  <si>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</si>
  <si>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</si>
  <si>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</si>
  <si>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</si>
  <si>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</si>
  <si>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</si>
  <si>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</si>
  <si>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</si>
  <si>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</si>
  <si>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</si>
  <si>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</si>
  <si>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</si>
  <si>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</si>
  <si>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</si>
  <si>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</si>
  <si>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</si>
  <si>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</si>
  <si>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</si>
  <si>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</si>
  <si>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</si>
  <si>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</si>
  <si>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</si>
  <si>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</si>
  <si>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</si>
  <si>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</si>
  <si>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</si>
  <si>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</si>
  <si>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</si>
  <si>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</si>
  <si>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</si>
  <si>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</si>
  <si>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</si>
  <si>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</si>
  <si>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</si>
  <si>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</si>
  <si>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</si>
  <si>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</si>
  <si>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</si>
  <si>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</si>
  <si>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</si>
  <si>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</si>
  <si>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</si>
  <si>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</si>
  <si>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</si>
  <si>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</si>
  <si>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</si>
  <si>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</si>
  <si>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</si>
  <si>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</si>
  <si>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</si>
  <si>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</si>
  <si>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</si>
  <si>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</si>
  <si>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</si>
  <si>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</si>
  <si>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</si>
  <si>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</si>
  <si>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</si>
  <si>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</si>
  <si>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</si>
  <si>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</si>
  <si>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</si>
  <si>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</si>
  <si>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</si>
  <si>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</si>
  <si>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</si>
  <si>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</si>
  <si>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</si>
  <si>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</si>
  <si>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</si>
  <si>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</si>
  <si>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</si>
  <si>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</si>
  <si>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</si>
  <si>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</si>
  <si>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</si>
  <si>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</si>
  <si>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</si>
  <si>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</si>
  <si>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</si>
  <si>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</si>
  <si>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</si>
  <si>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</si>
  <si>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</si>
  <si>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</si>
  <si>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</si>
  <si>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</si>
  <si>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</si>
  <si>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</si>
  <si>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</si>
  <si>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</si>
  <si>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</si>
  <si>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</si>
  <si>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</si>
  <si>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</si>
  <si>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</si>
  <si>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</si>
  <si>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</si>
  <si>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</si>
  <si>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</si>
  <si>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</si>
  <si>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</si>
  <si>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</si>
  <si>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</si>
  <si>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</si>
  <si>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</si>
  <si>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</si>
  <si>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</si>
  <si>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</si>
  <si>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</si>
  <si>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</si>
  <si>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</si>
  <si>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</si>
  <si>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</si>
  <si>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</si>
  <si>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</si>
  <si>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</si>
  <si>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</si>
  <si>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</si>
  <si>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</si>
  <si>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</si>
  <si>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</si>
  <si>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</si>
  <si>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</si>
  <si>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</si>
  <si>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</si>
  <si>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</si>
  <si>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</si>
  <si>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</si>
  <si>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</si>
  <si>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</si>
  <si>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</si>
  <si>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</si>
  <si>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</si>
  <si>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</si>
  <si>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</si>
  <si>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</si>
  <si>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</si>
  <si>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</si>
  <si>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</si>
  <si>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</si>
  <si>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</si>
  <si>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</si>
  <si>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</si>
  <si>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</si>
  <si>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</si>
  <si>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</si>
  <si>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</si>
  <si>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</si>
  <si>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</si>
  <si>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</si>
  <si>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</si>
  <si>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</si>
  <si>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</si>
  <si>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</si>
  <si>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</si>
  <si>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</si>
  <si>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</si>
  <si>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</si>
  <si>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</si>
  <si>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</si>
  <si>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</si>
  <si>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</si>
  <si>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</si>
  <si>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</si>
  <si>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</si>
  <si>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</si>
  <si>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</si>
  <si>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</si>
  <si>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</si>
  <si>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</si>
  <si>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</si>
  <si>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</si>
  <si>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</si>
  <si>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</si>
  <si>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</si>
  <si>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</si>
  <si>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</si>
  <si>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</si>
  <si>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</si>
  <si>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</si>
  <si>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</si>
  <si>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</si>
  <si>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</si>
  <si>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</si>
  <si>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</si>
  <si>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</si>
  <si>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</si>
  <si>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</si>
  <si>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</si>
  <si>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</si>
  <si>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</si>
  <si>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</si>
  <si>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</si>
  <si>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</si>
  <si>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</si>
  <si>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</si>
  <si>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</si>
  <si>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</si>
  <si>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</si>
  <si>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</si>
  <si>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</si>
  <si>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</si>
  <si>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</si>
  <si>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</si>
  <si>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</si>
  <si>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</si>
  <si>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</si>
  <si>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</si>
  <si>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</si>
  <si>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</si>
  <si>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</si>
  <si>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</si>
  <si>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</si>
  <si>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</si>
  <si>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</si>
  <si>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</si>
  <si>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</si>
  <si>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</si>
  <si>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</si>
  <si>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</si>
  <si>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</si>
  <si>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</si>
  <si>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</si>
  <si>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</si>
  <si>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</si>
  <si>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</si>
  <si>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</si>
  <si>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</si>
  <si>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</si>
  <si>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</si>
  <si>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</si>
  <si>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</si>
  <si>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</si>
  <si>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</si>
  <si>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</si>
  <si>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</si>
  <si>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</si>
  <si>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</si>
  <si>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</si>
  <si>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</si>
  <si>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</si>
  <si>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</si>
  <si>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</si>
  <si>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</si>
  <si>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</si>
  <si>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</si>
  <si>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</si>
  <si>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</si>
  <si>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</si>
  <si>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</si>
  <si>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</si>
  <si>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</si>
  <si>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</si>
  <si>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</si>
  <si>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</si>
  <si>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</si>
  <si>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</si>
  <si>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</si>
  <si>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</si>
  <si>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</si>
  <si>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</si>
  <si>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</si>
  <si>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</si>
  <si>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</si>
  <si>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</si>
  <si>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</si>
  <si>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</si>
  <si>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</si>
  <si>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</si>
  <si>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</si>
  <si>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</si>
  <si>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</si>
  <si>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</si>
  <si>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</si>
  <si>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</si>
  <si>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</si>
  <si>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</si>
  <si>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</si>
  <si>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</si>
  <si>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</si>
  <si>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</si>
  <si>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</si>
  <si>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</si>
  <si>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</si>
  <si>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</si>
  <si>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</si>
  <si>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</si>
  <si>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</si>
  <si>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</si>
  <si>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</si>
  <si>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</si>
  <si>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</si>
  <si>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</si>
  <si>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</si>
  <si>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</si>
  <si>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</si>
  <si>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</si>
  <si>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</si>
  <si>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</si>
  <si>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</si>
  <si>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</si>
  <si>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</si>
  <si>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</si>
  <si>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</si>
  <si>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</si>
  <si>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</si>
  <si>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</si>
  <si>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</si>
  <si>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</si>
  <si>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</si>
  <si>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</si>
  <si>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</si>
  <si>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</si>
  <si>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</si>
  <si>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</si>
  <si>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</si>
  <si>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</si>
  <si>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</si>
  <si>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</si>
  <si>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</si>
  <si>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</si>
  <si>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</si>
  <si>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</si>
  <si>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</si>
  <si>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</si>
  <si>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</si>
  <si>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</si>
  <si>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</si>
  <si>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</si>
  <si>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</si>
  <si>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</si>
  <si>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</si>
  <si>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</si>
  <si>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</si>
  <si>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</si>
  <si>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</si>
  <si>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</si>
  <si>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</si>
  <si>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</si>
  <si>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</si>
  <si>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</si>
  <si>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</si>
  <si>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</si>
  <si>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</si>
  <si>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</si>
  <si>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</si>
  <si>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</si>
  <si>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</si>
  <si>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</si>
  <si>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</si>
  <si>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</si>
  <si>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</si>
  <si>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</si>
  <si>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</si>
  <si>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</si>
  <si>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</si>
  <si>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</si>
  <si>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</si>
  <si>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</si>
  <si>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</si>
  <si>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</si>
  <si>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</si>
  <si>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</si>
  <si>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</si>
  <si>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</si>
  <si>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</si>
  <si>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</si>
  <si>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</si>
  <si>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</si>
  <si>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</si>
  <si>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</si>
  <si>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</si>
  <si>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</si>
  <si>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</si>
  <si>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</si>
  <si>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</si>
  <si>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</si>
  <si>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</si>
  <si>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</si>
  <si>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</si>
  <si>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</si>
  <si>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</si>
  <si>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2015_05</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</si>
  <si>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</si>
  <si>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</si>
  <si>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</si>
  <si>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23086</t>
  </si>
  <si>
    <t>TERNAT</t>
  </si>
  <si>
    <t>Paarden&amp;pony's 200 - 600 kg</t>
  </si>
  <si>
    <t>Paarden&amp;pony's &lt; 200 kg</t>
  </si>
  <si>
    <t>referentietaak LNE (2017); Jaarverslag De Lijn (2015)</t>
  </si>
  <si>
    <t>op basis van VEA (maart 2018) en Inventaris Hernieuwbare Energiebronnen (juni 2018)</t>
  </si>
  <si>
    <t>VEA (januari 2017)</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</si>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</sst>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7">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2" applyNumberFormat="0" applyFill="0" applyAlignment="0" applyProtection="0"/>
    <xf numFmtId="172" fontId="5" fillId="0" borderId="0"/>
  </cellStyleXfs>
  <cellXfs count="1299">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4"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5"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153"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5"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108" fillId="12" borderId="182" xfId="0" applyNumberFormat="1" applyFont="1" applyFill="1" applyBorder="1" applyAlignment="1">
      <alignment horizontal="center" vertical="center" wrapText="1"/>
    </xf>
    <xf numFmtId="3" fontId="23" fillId="0" borderId="0" xfId="0" applyNumberFormat="1" applyFont="1"/>
    <xf numFmtId="3" fontId="108"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9"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10"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71"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2" fontId="7"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3" fillId="0" borderId="199" xfId="0" applyNumberFormat="1" applyFont="1" applyFill="1" applyBorder="1" applyAlignment="1">
      <alignment horizontal="left"/>
    </xf>
    <xf numFmtId="1" fontId="114"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3"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3" fillId="0" borderId="199" xfId="0" applyNumberFormat="1" applyFont="1" applyFill="1" applyBorder="1" applyAlignment="1">
      <alignment horizontal="left" vertical="top"/>
    </xf>
    <xf numFmtId="1" fontId="114" fillId="15" borderId="199" xfId="0" applyNumberFormat="1" applyFont="1" applyFill="1" applyBorder="1" applyAlignment="1">
      <alignment horizontal="left" vertical="top" wrapText="1"/>
    </xf>
    <xf numFmtId="1" fontId="114"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0" xfId="0" applyNumberFormat="1" applyFont="1" applyFill="1" applyBorder="1" applyAlignment="1">
      <alignment horizontal="center" vertical="center" wrapText="1"/>
    </xf>
    <xf numFmtId="3" fontId="108" fillId="12" borderId="181" xfId="0" applyNumberFormat="1" applyFont="1" applyFill="1" applyBorder="1" applyAlignment="1">
      <alignment horizontal="center" vertical="top" wrapText="1"/>
    </xf>
    <xf numFmtId="3" fontId="108" fillId="12" borderId="182"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2"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6"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19" borderId="182"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85" fillId="0" borderId="0" xfId="162" applyFont="1" applyBorder="1"/>
    <xf numFmtId="0" fontId="45" fillId="23" borderId="125" xfId="175" applyNumberFormat="1" applyFont="1" applyFill="1" applyBorder="1" applyAlignment="1">
      <alignment horizontal="left"/>
    </xf>
    <xf numFmtId="0" fontId="5" fillId="0" borderId="0" xfId="176" applyNumberFormat="1"/>
    <xf numFmtId="3" fontId="24" fillId="0" borderId="111" xfId="3" applyNumberFormat="1" applyFont="1" applyBorder="1"/>
    <xf numFmtId="1" fontId="0" fillId="0" borderId="0" xfId="0" applyNumberFormat="1"/>
    <xf numFmtId="0" fontId="24"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124053.34468671976</c:v>
                </c:pt>
                <c:pt idx="1">
                  <c:v>46204.157754846048</c:v>
                </c:pt>
                <c:pt idx="2">
                  <c:v>1015.564</c:v>
                </c:pt>
                <c:pt idx="3">
                  <c:v>1805.2755176336802</c:v>
                </c:pt>
                <c:pt idx="4">
                  <c:v>17940.870137615788</c:v>
                </c:pt>
                <c:pt idx="5">
                  <c:v>235166.33607513577</c:v>
                </c:pt>
                <c:pt idx="6">
                  <c:v>1823.969265186789</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83366016"/>
        <c:axId val="183367552"/>
      </c:barChart>
      <c:catAx>
        <c:axId val="183366016"/>
        <c:scaling>
          <c:orientation val="minMax"/>
        </c:scaling>
        <c:axPos val="b"/>
        <c:numFmt formatCode="General" sourceLinked="0"/>
        <c:tickLblPos val="nextTo"/>
        <c:crossAx val="183367552"/>
        <c:crosses val="autoZero"/>
        <c:auto val="1"/>
        <c:lblAlgn val="ctr"/>
        <c:lblOffset val="100"/>
      </c:catAx>
      <c:valAx>
        <c:axId val="183367552"/>
        <c:scaling>
          <c:orientation val="minMax"/>
        </c:scaling>
        <c:axPos val="l"/>
        <c:majorGridlines/>
        <c:numFmt formatCode="#,##0" sourceLinked="1"/>
        <c:tickLblPos val="nextTo"/>
        <c:crossAx val="18336601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124053.34468671976</c:v>
                </c:pt>
                <c:pt idx="1">
                  <c:v>46204.157754846048</c:v>
                </c:pt>
                <c:pt idx="2">
                  <c:v>1015.564</c:v>
                </c:pt>
                <c:pt idx="3">
                  <c:v>1805.2755176336802</c:v>
                </c:pt>
                <c:pt idx="4">
                  <c:v>17940.870137615788</c:v>
                </c:pt>
                <c:pt idx="5">
                  <c:v>235166.33607513577</c:v>
                </c:pt>
                <c:pt idx="6">
                  <c:v>1823.969265186789</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25840.710958892625</c:v>
                </c:pt>
                <c:pt idx="2">
                  <c:v>9531.6401925243044</c:v>
                </c:pt>
                <c:pt idx="3">
                  <c:v>209.60930794569248</c:v>
                </c:pt>
                <c:pt idx="4">
                  <c:v>455.23427983042927</c:v>
                </c:pt>
                <c:pt idx="5">
                  <c:v>3467.6544010205989</c:v>
                </c:pt>
                <c:pt idx="6">
                  <c:v>60231.234519670063</c:v>
                </c:pt>
                <c:pt idx="7">
                  <c:v>472.34859705407592</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83823360"/>
        <c:axId val="183960320"/>
      </c:barChart>
      <c:catAx>
        <c:axId val="183823360"/>
        <c:scaling>
          <c:orientation val="minMax"/>
        </c:scaling>
        <c:axPos val="b"/>
        <c:numFmt formatCode="General" sourceLinked="0"/>
        <c:tickLblPos val="nextTo"/>
        <c:crossAx val="183960320"/>
        <c:crosses val="autoZero"/>
        <c:auto val="1"/>
        <c:lblAlgn val="ctr"/>
        <c:lblOffset val="100"/>
      </c:catAx>
      <c:valAx>
        <c:axId val="183960320"/>
        <c:scaling>
          <c:orientation val="minMax"/>
        </c:scaling>
        <c:axPos val="l"/>
        <c:majorGridlines/>
        <c:numFmt formatCode="#,##0" sourceLinked="1"/>
        <c:tickLblPos val="nextTo"/>
        <c:crossAx val="18382336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25840.710958892625</c:v>
                </c:pt>
                <c:pt idx="2">
                  <c:v>9531.6401925243044</c:v>
                </c:pt>
                <c:pt idx="3">
                  <c:v>209.60930794569248</c:v>
                </c:pt>
                <c:pt idx="4">
                  <c:v>455.23427983042927</c:v>
                </c:pt>
                <c:pt idx="5">
                  <c:v>3467.6544010205989</c:v>
                </c:pt>
                <c:pt idx="6">
                  <c:v>60231.234519670063</c:v>
                </c:pt>
                <c:pt idx="7">
                  <c:v>472.34859705407592</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878</v>
      </c>
      <c r="B4" s="106"/>
      <c r="C4" s="107"/>
    </row>
    <row r="5" spans="1:7" s="413" customFormat="1" ht="15.75" customHeight="1">
      <c r="A5" s="410" t="s">
        <v>0</v>
      </c>
      <c r="B5" s="411"/>
      <c r="C5" s="412"/>
    </row>
    <row r="6" spans="1:7" s="413" customFormat="1" ht="15" customHeight="1">
      <c r="A6" s="414" t="str">
        <f>txtNIS</f>
        <v>23086</v>
      </c>
      <c r="B6" s="415"/>
      <c r="C6" s="416"/>
    </row>
    <row r="7" spans="1:7" s="413" customFormat="1" ht="15.75" customHeight="1">
      <c r="A7" s="417" t="str">
        <f>txtMunicipality</f>
        <v>TERNAT</v>
      </c>
      <c r="B7" s="415"/>
      <c r="C7" s="416"/>
    </row>
    <row r="8" spans="1:7" ht="15.75" thickBot="1">
      <c r="A8" s="45"/>
      <c r="B8" s="108"/>
      <c r="C8" s="109"/>
    </row>
    <row r="9" spans="1:7" s="406" customFormat="1" ht="15.75" thickBot="1">
      <c r="A9" s="430" t="s">
        <v>357</v>
      </c>
      <c r="B9" s="433"/>
      <c r="C9" s="434"/>
    </row>
    <row r="10" spans="1:7" s="15" customFormat="1" ht="57.75" customHeight="1" thickBot="1">
      <c r="A10" s="1074" t="s">
        <v>688</v>
      </c>
      <c r="B10" s="1075"/>
      <c r="C10" s="1076"/>
    </row>
    <row r="11" spans="1:7" s="407" customFormat="1" ht="15.75" thickBot="1">
      <c r="A11" s="430" t="s">
        <v>359</v>
      </c>
      <c r="B11" s="433"/>
      <c r="C11" s="434"/>
      <c r="G11" s="408"/>
    </row>
    <row r="12" spans="1:7">
      <c r="A12" s="44"/>
      <c r="B12" s="43"/>
      <c r="C12" s="96"/>
    </row>
    <row r="13" spans="1:7" s="407" customFormat="1">
      <c r="A13" s="778"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7" t="s">
        <v>523</v>
      </c>
      <c r="C16" s="107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579</v>
      </c>
      <c r="B13" s="477"/>
      <c r="C13" s="494"/>
      <c r="D13" s="494"/>
      <c r="E13" s="494"/>
      <c r="F13" s="494"/>
      <c r="G13" s="494"/>
      <c r="H13" s="494"/>
      <c r="I13" s="494"/>
      <c r="J13" s="494"/>
      <c r="K13" s="494"/>
      <c r="L13" s="494"/>
      <c r="M13" s="494"/>
      <c r="N13" s="494"/>
      <c r="O13" s="1198"/>
      <c r="P13" s="1198"/>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0.20639694588001592</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1" t="s">
        <v>328</v>
      </c>
      <c r="B1" s="1192" t="s">
        <v>195</v>
      </c>
      <c r="C1" s="1193"/>
      <c r="D1" s="1193"/>
      <c r="E1" s="1193"/>
      <c r="F1" s="1193"/>
      <c r="G1" s="1193"/>
      <c r="H1" s="1193"/>
      <c r="I1" s="1193"/>
      <c r="J1" s="1193"/>
      <c r="K1" s="1193"/>
      <c r="L1" s="1193"/>
      <c r="M1" s="1193"/>
      <c r="N1" s="1193"/>
      <c r="O1" s="1193"/>
      <c r="P1" s="1193"/>
    </row>
    <row r="2" spans="1:16" ht="15" customHeight="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579</v>
      </c>
    </row>
    <row r="26" spans="1:16" s="486" customFormat="1">
      <c r="A26" s="495" t="s">
        <v>528</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597</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606</v>
      </c>
      <c r="B29" s="525">
        <f ca="1">'EF ele_warmte'!B12</f>
        <v>0.20639694588001592</v>
      </c>
      <c r="C29" s="525">
        <f ca="1">'EF ele_warmte'!B22</f>
        <v>0</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525</v>
      </c>
      <c r="B2" s="526"/>
      <c r="C2" s="185"/>
      <c r="D2" s="186"/>
    </row>
    <row r="3" spans="1:11">
      <c r="A3" s="101"/>
      <c r="B3" s="527"/>
      <c r="C3" s="141" t="s">
        <v>182</v>
      </c>
      <c r="D3" s="144" t="s">
        <v>391</v>
      </c>
    </row>
    <row r="4" spans="1:11">
      <c r="A4" s="44" t="s">
        <v>444</v>
      </c>
      <c r="B4" s="47"/>
      <c r="C4" s="32"/>
      <c r="D4" s="143" t="s">
        <v>393</v>
      </c>
    </row>
    <row r="5" spans="1:11">
      <c r="A5" s="44"/>
      <c r="B5" s="48"/>
      <c r="C5" s="32"/>
      <c r="D5" s="143"/>
    </row>
    <row r="6" spans="1:11" s="10" customFormat="1" ht="21.75" thickBot="1">
      <c r="A6" s="189" t="s">
        <v>477</v>
      </c>
      <c r="B6" s="528"/>
      <c r="C6" s="190"/>
      <c r="D6" s="191"/>
    </row>
    <row r="7" spans="1:11" s="43" customFormat="1" ht="15.75" thickBot="1">
      <c r="B7" s="477"/>
    </row>
    <row r="8" spans="1:11" s="43" customFormat="1">
      <c r="A8" s="184" t="s">
        <v>538</v>
      </c>
      <c r="B8" s="526"/>
      <c r="C8" s="185"/>
      <c r="D8" s="186"/>
    </row>
    <row r="9" spans="1:11" s="32" customFormat="1">
      <c r="A9" s="46"/>
      <c r="B9" s="529"/>
      <c r="C9" s="42"/>
      <c r="D9" s="303"/>
    </row>
    <row r="10" spans="1:11">
      <c r="A10" s="304" t="s">
        <v>567</v>
      </c>
      <c r="B10" s="527"/>
      <c r="C10" s="141" t="s">
        <v>182</v>
      </c>
      <c r="D10" s="144" t="s">
        <v>391</v>
      </c>
      <c r="I10" s="1199"/>
      <c r="K10" s="58"/>
    </row>
    <row r="11" spans="1:11" s="43" customFormat="1">
      <c r="A11" s="44" t="s">
        <v>568</v>
      </c>
      <c r="B11" s="47"/>
      <c r="D11" s="142" t="s">
        <v>392</v>
      </c>
      <c r="I11" s="1199"/>
      <c r="K11" s="58"/>
    </row>
    <row r="12" spans="1:11" s="43" customFormat="1">
      <c r="A12" s="44" t="s">
        <v>569</v>
      </c>
      <c r="B12" s="47"/>
      <c r="D12" s="142" t="s">
        <v>392</v>
      </c>
      <c r="I12" s="1199"/>
      <c r="K12" s="58"/>
    </row>
    <row r="13" spans="1:11" s="43" customFormat="1">
      <c r="A13" s="44"/>
      <c r="B13" s="477"/>
      <c r="D13" s="96"/>
      <c r="I13" s="1199"/>
    </row>
    <row r="14" spans="1:11" s="43" customFormat="1">
      <c r="A14" s="304" t="s">
        <v>566</v>
      </c>
      <c r="B14" s="527"/>
      <c r="C14" s="141" t="s">
        <v>182</v>
      </c>
      <c r="D14" s="144" t="s">
        <v>391</v>
      </c>
      <c r="I14" s="1199"/>
    </row>
    <row r="15" spans="1:11" s="43" customFormat="1">
      <c r="A15" s="44" t="s">
        <v>71</v>
      </c>
      <c r="B15" s="47"/>
      <c r="D15" s="142" t="s">
        <v>392</v>
      </c>
      <c r="I15" s="1199"/>
      <c r="J15" s="1199"/>
    </row>
    <row r="16" spans="1:11" s="43" customFormat="1">
      <c r="A16" s="44" t="s">
        <v>530</v>
      </c>
      <c r="B16" s="47"/>
      <c r="D16" s="142" t="s">
        <v>392</v>
      </c>
      <c r="I16" s="1199"/>
      <c r="J16" s="1199"/>
    </row>
    <row r="17" spans="1:11" s="43" customFormat="1">
      <c r="A17" s="44" t="s">
        <v>78</v>
      </c>
      <c r="B17" s="47"/>
      <c r="D17" s="142" t="s">
        <v>392</v>
      </c>
      <c r="I17" s="1199"/>
      <c r="J17" s="1199"/>
    </row>
    <row r="18" spans="1:11" s="43" customFormat="1">
      <c r="A18" s="44" t="s">
        <v>531</v>
      </c>
      <c r="B18" s="47"/>
      <c r="D18" s="142" t="s">
        <v>392</v>
      </c>
      <c r="I18" s="1199"/>
      <c r="J18" s="1199"/>
      <c r="K18" s="58"/>
    </row>
    <row r="19" spans="1:11" s="43" customFormat="1">
      <c r="A19" s="44" t="s">
        <v>77</v>
      </c>
      <c r="B19" s="47"/>
      <c r="D19" s="142" t="s">
        <v>392</v>
      </c>
      <c r="I19" s="1199"/>
      <c r="J19" s="1200"/>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0"/>
      <c r="C26" s="108"/>
      <c r="D26" s="109"/>
      <c r="I26" s="58"/>
      <c r="J26" s="58"/>
      <c r="K26" s="58"/>
    </row>
    <row r="28" spans="1:11" ht="15.75" thickBot="1"/>
    <row r="29" spans="1:11" s="43" customFormat="1">
      <c r="A29" s="184" t="s">
        <v>526</v>
      </c>
      <c r="B29" s="526"/>
      <c r="C29" s="185"/>
      <c r="D29" s="186"/>
    </row>
    <row r="30" spans="1:11" s="32" customFormat="1">
      <c r="A30" s="46"/>
      <c r="B30" s="529"/>
      <c r="C30" s="42"/>
      <c r="D30" s="303"/>
    </row>
    <row r="31" spans="1:11">
      <c r="A31" s="304" t="s">
        <v>567</v>
      </c>
      <c r="B31" s="527"/>
      <c r="C31" s="141" t="s">
        <v>182</v>
      </c>
      <c r="D31" s="144" t="s">
        <v>391</v>
      </c>
    </row>
    <row r="32" spans="1:11">
      <c r="A32" s="467" t="s">
        <v>568</v>
      </c>
      <c r="B32" s="47"/>
      <c r="C32" s="48"/>
      <c r="D32" s="142" t="s">
        <v>392</v>
      </c>
    </row>
    <row r="33" spans="1:11">
      <c r="A33" s="44"/>
      <c r="B33" s="48"/>
      <c r="C33" s="48"/>
      <c r="D33" s="142"/>
    </row>
    <row r="34" spans="1:11" s="43" customFormat="1">
      <c r="A34" s="304" t="s">
        <v>566</v>
      </c>
      <c r="B34" s="527"/>
      <c r="C34" s="141" t="s">
        <v>182</v>
      </c>
      <c r="D34" s="144" t="s">
        <v>391</v>
      </c>
      <c r="I34"/>
    </row>
    <row r="35" spans="1:11" s="43" customFormat="1">
      <c r="A35" s="466" t="s">
        <v>71</v>
      </c>
      <c r="B35" s="47"/>
      <c r="D35" s="142" t="s">
        <v>392</v>
      </c>
      <c r="I35" s="1199"/>
      <c r="J35" s="1199"/>
    </row>
    <row r="36" spans="1:11" s="43" customFormat="1">
      <c r="A36" s="466" t="s">
        <v>530</v>
      </c>
      <c r="B36" s="47"/>
      <c r="D36" s="142" t="s">
        <v>392</v>
      </c>
      <c r="I36" s="1199"/>
      <c r="J36" s="1199"/>
    </row>
    <row r="37" spans="1:11" s="43" customFormat="1">
      <c r="A37" s="466" t="s">
        <v>78</v>
      </c>
      <c r="B37" s="47"/>
      <c r="D37" s="142" t="s">
        <v>392</v>
      </c>
      <c r="I37" s="1199"/>
      <c r="J37" s="1199"/>
    </row>
    <row r="38" spans="1:11" s="43" customFormat="1">
      <c r="A38" s="466" t="s">
        <v>531</v>
      </c>
      <c r="B38" s="47"/>
      <c r="D38" s="142" t="s">
        <v>392</v>
      </c>
      <c r="I38" s="1199"/>
      <c r="J38" s="1199"/>
      <c r="K38" s="58"/>
    </row>
    <row r="39" spans="1:11" s="43" customFormat="1">
      <c r="A39" s="466" t="s">
        <v>77</v>
      </c>
      <c r="B39" s="47"/>
      <c r="D39" s="142" t="s">
        <v>392</v>
      </c>
      <c r="I39" s="1199"/>
      <c r="J39" s="1200"/>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26"/>
      <c r="C55" s="185"/>
      <c r="D55" s="186"/>
    </row>
    <row r="56" spans="1:4">
      <c r="A56" s="101"/>
      <c r="B56" s="527"/>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592</v>
      </c>
      <c r="B1" s="659"/>
      <c r="C1" s="659"/>
      <c r="D1" s="659"/>
      <c r="E1" s="660"/>
    </row>
    <row r="2" spans="1:5">
      <c r="A2" s="671" t="s">
        <v>394</v>
      </c>
      <c r="B2" s="676" t="s">
        <v>517</v>
      </c>
      <c r="C2" s="672"/>
      <c r="D2" s="672"/>
      <c r="E2" s="673"/>
    </row>
    <row r="3" spans="1:5">
      <c r="A3" s="674"/>
      <c r="B3" s="675"/>
      <c r="C3" s="663"/>
      <c r="D3" s="663"/>
      <c r="E3" s="664"/>
    </row>
    <row r="4" spans="1:5" s="334" customFormat="1" ht="45">
      <c r="A4" s="662" t="s">
        <v>596</v>
      </c>
      <c r="B4" s="670" t="s">
        <v>585</v>
      </c>
      <c r="C4" s="691" t="s">
        <v>607</v>
      </c>
      <c r="D4" s="692" t="s">
        <v>608</v>
      </c>
      <c r="E4" s="693" t="s">
        <v>609</v>
      </c>
    </row>
    <row r="5" spans="1:5">
      <c r="A5" s="665" t="s">
        <v>586</v>
      </c>
      <c r="B5" s="657" t="s">
        <v>587</v>
      </c>
      <c r="C5" s="688">
        <v>3.678273E-2</v>
      </c>
      <c r="D5" s="689">
        <v>0.27778000000000003</v>
      </c>
      <c r="E5" s="681">
        <f>C5*D5</f>
        <v>1.0217506739400001E-2</v>
      </c>
    </row>
    <row r="6" spans="1:5">
      <c r="A6" s="665" t="s">
        <v>586</v>
      </c>
      <c r="B6" s="657" t="s">
        <v>588</v>
      </c>
      <c r="C6" s="688">
        <v>4.2278999999999997E-2</v>
      </c>
      <c r="D6" s="689">
        <v>0.27778000000000003</v>
      </c>
      <c r="E6" s="681">
        <f t="shared" ref="E6:E21" si="0">C6*D6</f>
        <v>1.174426062E-2</v>
      </c>
    </row>
    <row r="7" spans="1:5">
      <c r="A7" s="665" t="s">
        <v>586</v>
      </c>
      <c r="B7" s="657" t="s">
        <v>589</v>
      </c>
      <c r="C7" s="688">
        <v>42.279000000000003</v>
      </c>
      <c r="D7" s="689">
        <v>0.27778000000000003</v>
      </c>
      <c r="E7" s="681">
        <f t="shared" si="0"/>
        <v>11.744260620000002</v>
      </c>
    </row>
    <row r="8" spans="1:5">
      <c r="A8" s="665" t="s">
        <v>590</v>
      </c>
      <c r="B8" s="657" t="s">
        <v>587</v>
      </c>
      <c r="C8" s="688">
        <v>3.8573799999999998E-2</v>
      </c>
      <c r="D8" s="689">
        <v>0.27778000000000003</v>
      </c>
      <c r="E8" s="681">
        <f t="shared" si="0"/>
        <v>1.0715030164E-2</v>
      </c>
    </row>
    <row r="9" spans="1:5">
      <c r="A9" s="665" t="s">
        <v>590</v>
      </c>
      <c r="B9" s="657" t="s">
        <v>588</v>
      </c>
      <c r="C9" s="688">
        <v>4.0604000000000001E-2</v>
      </c>
      <c r="D9" s="689">
        <v>0.27778000000000003</v>
      </c>
      <c r="E9" s="681">
        <f t="shared" si="0"/>
        <v>1.1278979120000001E-2</v>
      </c>
    </row>
    <row r="10" spans="1:5">
      <c r="A10" s="665" t="s">
        <v>590</v>
      </c>
      <c r="B10" s="657" t="s">
        <v>589</v>
      </c>
      <c r="C10" s="688">
        <v>40.603999999999999</v>
      </c>
      <c r="D10" s="689">
        <v>0.27778000000000003</v>
      </c>
      <c r="E10" s="681">
        <f t="shared" si="0"/>
        <v>11.278979120000001</v>
      </c>
    </row>
    <row r="11" spans="1:5">
      <c r="A11" s="665" t="s">
        <v>610</v>
      </c>
      <c r="B11" s="657" t="s">
        <v>587</v>
      </c>
      <c r="C11" s="688">
        <v>2.3511000000000001E-2</v>
      </c>
      <c r="D11" s="689">
        <v>0.27778000000000003</v>
      </c>
      <c r="E11" s="681">
        <f t="shared" si="0"/>
        <v>6.5308855800000004E-3</v>
      </c>
    </row>
    <row r="12" spans="1:5">
      <c r="A12" s="665" t="s">
        <v>610</v>
      </c>
      <c r="B12" s="657" t="s">
        <v>588</v>
      </c>
      <c r="C12" s="688">
        <v>4.6100000000000002E-2</v>
      </c>
      <c r="D12" s="689">
        <v>0.27778000000000003</v>
      </c>
      <c r="E12" s="681">
        <f t="shared" si="0"/>
        <v>1.2805658000000001E-2</v>
      </c>
    </row>
    <row r="13" spans="1:5">
      <c r="A13" s="665" t="s">
        <v>610</v>
      </c>
      <c r="B13" s="657" t="s">
        <v>589</v>
      </c>
      <c r="C13" s="688">
        <v>46.1</v>
      </c>
      <c r="D13" s="689">
        <v>0.27778000000000003</v>
      </c>
      <c r="E13" s="681">
        <f t="shared" si="0"/>
        <v>12.805658000000001</v>
      </c>
    </row>
    <row r="14" spans="1:5">
      <c r="A14" s="665" t="s">
        <v>611</v>
      </c>
      <c r="B14" s="657" t="s">
        <v>587</v>
      </c>
      <c r="C14" s="688">
        <v>2.6525139999999999E-2</v>
      </c>
      <c r="D14" s="689">
        <v>0.27778000000000003</v>
      </c>
      <c r="E14" s="681">
        <f t="shared" si="0"/>
        <v>7.3681533892000009E-3</v>
      </c>
    </row>
    <row r="15" spans="1:5">
      <c r="A15" s="665" t="s">
        <v>611</v>
      </c>
      <c r="B15" s="657" t="s">
        <v>588</v>
      </c>
      <c r="C15" s="688">
        <v>4.5733000000000003E-2</v>
      </c>
      <c r="D15" s="689">
        <v>0.27778000000000003</v>
      </c>
      <c r="E15" s="681">
        <f t="shared" si="0"/>
        <v>1.2703712740000001E-2</v>
      </c>
    </row>
    <row r="16" spans="1:5">
      <c r="A16" s="665" t="s">
        <v>611</v>
      </c>
      <c r="B16" s="657" t="s">
        <v>589</v>
      </c>
      <c r="C16" s="688">
        <v>45.732999999999997</v>
      </c>
      <c r="D16" s="689">
        <v>0.27778000000000003</v>
      </c>
      <c r="E16" s="681">
        <f t="shared" si="0"/>
        <v>12.70371274</v>
      </c>
    </row>
    <row r="17" spans="1:10">
      <c r="A17" s="665" t="s">
        <v>594</v>
      </c>
      <c r="B17" s="657" t="s">
        <v>591</v>
      </c>
      <c r="C17" s="688">
        <v>3.2923000000000001E-2</v>
      </c>
      <c r="D17" s="689">
        <f>0.27778</f>
        <v>0.27778000000000003</v>
      </c>
      <c r="E17" s="681">
        <f t="shared" si="0"/>
        <v>9.1453509400000015E-3</v>
      </c>
    </row>
    <row r="18" spans="1:10">
      <c r="A18" s="665" t="s">
        <v>595</v>
      </c>
      <c r="B18" s="657" t="s">
        <v>591</v>
      </c>
      <c r="C18" s="688">
        <v>3.8852400000000002E-2</v>
      </c>
      <c r="D18" s="689">
        <f>0.27778</f>
        <v>0.27778000000000003</v>
      </c>
      <c r="E18" s="681">
        <f t="shared" si="0"/>
        <v>1.0792419672000002E-2</v>
      </c>
    </row>
    <row r="19" spans="1:10">
      <c r="A19" s="665" t="s">
        <v>598</v>
      </c>
      <c r="B19" s="657" t="s">
        <v>587</v>
      </c>
      <c r="C19" s="688">
        <v>2.4812460000000001E-2</v>
      </c>
      <c r="D19" s="689">
        <v>0.27778000000000003</v>
      </c>
      <c r="E19" s="681">
        <f t="shared" si="0"/>
        <v>6.8924051388000009E-3</v>
      </c>
    </row>
    <row r="20" spans="1:10">
      <c r="A20" s="665" t="s">
        <v>598</v>
      </c>
      <c r="B20" s="657" t="s">
        <v>588</v>
      </c>
      <c r="C20" s="688">
        <v>4.5948999999999997E-2</v>
      </c>
      <c r="D20" s="689">
        <v>0.27778000000000003</v>
      </c>
      <c r="E20" s="681">
        <f t="shared" si="0"/>
        <v>1.276371322E-2</v>
      </c>
    </row>
    <row r="21" spans="1:10">
      <c r="A21" s="665" t="s">
        <v>598</v>
      </c>
      <c r="B21" s="657" t="s">
        <v>589</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593</v>
      </c>
      <c r="B24" s="659"/>
      <c r="C24" s="659"/>
      <c r="D24" s="659"/>
      <c r="E24" s="660"/>
    </row>
    <row r="25" spans="1:10">
      <c r="A25" s="685" t="s">
        <v>394</v>
      </c>
      <c r="B25" s="663" t="s">
        <v>654</v>
      </c>
      <c r="C25" s="663"/>
      <c r="D25" s="663"/>
      <c r="E25" s="664"/>
    </row>
    <row r="26" spans="1:10">
      <c r="A26" s="44"/>
      <c r="B26" s="43"/>
      <c r="C26" s="43"/>
      <c r="D26" s="43"/>
      <c r="E26" s="96"/>
    </row>
    <row r="27" spans="1:10" s="334" customFormat="1">
      <c r="A27" s="662" t="s">
        <v>596</v>
      </c>
      <c r="B27" s="670" t="s">
        <v>585</v>
      </c>
      <c r="C27" s="678"/>
      <c r="D27" s="677"/>
      <c r="E27" s="693" t="s">
        <v>600</v>
      </c>
    </row>
    <row r="28" spans="1:10">
      <c r="A28" s="665" t="s">
        <v>202</v>
      </c>
      <c r="B28" s="657" t="s">
        <v>587</v>
      </c>
      <c r="C28" s="679"/>
      <c r="D28" s="680"/>
      <c r="E28" s="687">
        <f>E29*0.853</f>
        <v>1.0116343055555555E-2</v>
      </c>
      <c r="G28" s="661"/>
      <c r="H28" s="797"/>
      <c r="I28" s="797"/>
      <c r="J28" s="797"/>
    </row>
    <row r="29" spans="1:10">
      <c r="A29" s="665" t="s">
        <v>202</v>
      </c>
      <c r="B29" s="657" t="s">
        <v>588</v>
      </c>
      <c r="C29" s="679"/>
      <c r="D29" s="680"/>
      <c r="E29" s="687">
        <f>0.042695/3.6</f>
        <v>1.1859722222222221E-2</v>
      </c>
      <c r="F29" s="912"/>
      <c r="G29" s="661"/>
      <c r="H29" s="797"/>
      <c r="I29" s="797"/>
      <c r="J29" s="797"/>
    </row>
    <row r="30" spans="1:10">
      <c r="A30" s="665" t="s">
        <v>120</v>
      </c>
      <c r="B30" s="657" t="s">
        <v>587</v>
      </c>
      <c r="C30" s="679"/>
      <c r="D30" s="680"/>
      <c r="E30" s="687">
        <f>E31*0.755</f>
        <v>9.1803805555555566E-3</v>
      </c>
      <c r="H30" s="797"/>
      <c r="I30" s="797"/>
      <c r="J30" s="797"/>
    </row>
    <row r="31" spans="1:10">
      <c r="A31" s="665" t="s">
        <v>120</v>
      </c>
      <c r="B31" s="657" t="s">
        <v>588</v>
      </c>
      <c r="C31" s="679"/>
      <c r="D31" s="680"/>
      <c r="E31" s="687">
        <f>0.043774/3.6</f>
        <v>1.2159444444444445E-2</v>
      </c>
      <c r="H31" s="797"/>
      <c r="I31" s="797"/>
      <c r="J31" s="797"/>
    </row>
    <row r="32" spans="1:10">
      <c r="A32" s="665" t="s">
        <v>598</v>
      </c>
      <c r="B32" s="657" t="s">
        <v>587</v>
      </c>
      <c r="C32" s="679"/>
      <c r="D32" s="680"/>
      <c r="E32" s="687">
        <f>E33*0.55</f>
        <v>7.1139444444444453E-3</v>
      </c>
      <c r="H32" s="797"/>
    </row>
    <row r="33" spans="1:8">
      <c r="A33" s="665" t="s">
        <v>598</v>
      </c>
      <c r="B33" s="657" t="s">
        <v>588</v>
      </c>
      <c r="C33" s="679"/>
      <c r="D33" s="680"/>
      <c r="E33" s="687">
        <f>0.046564/3.6</f>
        <v>1.2934444444444445E-2</v>
      </c>
      <c r="H33" s="797"/>
    </row>
    <row r="34" spans="1:8">
      <c r="A34" s="665" t="s">
        <v>599</v>
      </c>
      <c r="B34" s="657" t="s">
        <v>587</v>
      </c>
      <c r="C34" s="679"/>
      <c r="D34" s="680"/>
      <c r="E34" s="687">
        <f>E35*0.0007</f>
        <v>9.3333333333333326E-6</v>
      </c>
      <c r="H34" s="797"/>
    </row>
    <row r="35" spans="1:8">
      <c r="A35" s="665" t="s">
        <v>599</v>
      </c>
      <c r="B35" s="657" t="s">
        <v>588</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23086</v>
      </c>
      <c r="B1" s="332"/>
      <c r="C1" s="332"/>
      <c r="D1" s="332"/>
      <c r="E1" s="332"/>
      <c r="F1" s="333"/>
    </row>
    <row r="3" spans="1:6" ht="19.5">
      <c r="A3" s="335" t="s">
        <v>0</v>
      </c>
    </row>
    <row r="4" spans="1:6" ht="22.5">
      <c r="A4" s="1292" t="s">
        <v>882</v>
      </c>
    </row>
    <row r="5" spans="1:6" ht="22.5">
      <c r="A5" s="1292" t="s">
        <v>883</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6208</v>
      </c>
      <c r="C9" s="342">
        <v>6370</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1026.45</v>
      </c>
    </row>
    <row r="15" spans="1:6">
      <c r="A15" s="348" t="s">
        <v>184</v>
      </c>
      <c r="B15" s="334">
        <v>7</v>
      </c>
    </row>
    <row r="16" spans="1:6">
      <c r="A16" s="348" t="s">
        <v>6</v>
      </c>
      <c r="B16" s="334">
        <v>311</v>
      </c>
    </row>
    <row r="17" spans="1:6">
      <c r="A17" s="348" t="s">
        <v>7</v>
      </c>
      <c r="B17" s="334">
        <v>233</v>
      </c>
    </row>
    <row r="18" spans="1:6">
      <c r="A18" s="348" t="s">
        <v>8</v>
      </c>
      <c r="B18" s="334">
        <v>422</v>
      </c>
    </row>
    <row r="19" spans="1:6">
      <c r="A19" s="348" t="s">
        <v>9</v>
      </c>
      <c r="B19" s="334">
        <v>341</v>
      </c>
    </row>
    <row r="20" spans="1:6">
      <c r="A20" s="348" t="s">
        <v>10</v>
      </c>
      <c r="B20" s="334">
        <v>319</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70</v>
      </c>
    </row>
    <row r="27" spans="1:6">
      <c r="A27" s="348" t="s">
        <v>17</v>
      </c>
      <c r="B27" s="334">
        <v>0</v>
      </c>
    </row>
    <row r="28" spans="1:6" s="356" customFormat="1">
      <c r="A28" s="355" t="s">
        <v>18</v>
      </c>
      <c r="B28" s="355">
        <v>0</v>
      </c>
    </row>
    <row r="29" spans="1:6">
      <c r="A29" s="355" t="s">
        <v>884</v>
      </c>
      <c r="B29" s="355">
        <v>164</v>
      </c>
      <c r="C29" s="356"/>
      <c r="D29" s="356"/>
      <c r="E29" s="356"/>
      <c r="F29" s="356"/>
    </row>
    <row r="30" spans="1:6">
      <c r="A30" s="355" t="s">
        <v>885</v>
      </c>
      <c r="B30" s="341">
        <v>24</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3</v>
      </c>
      <c r="F38" s="334">
        <v>19644.808276</v>
      </c>
    </row>
    <row r="39" spans="1:6">
      <c r="A39" s="348" t="s">
        <v>30</v>
      </c>
      <c r="B39" s="348" t="s">
        <v>31</v>
      </c>
      <c r="C39" s="334">
        <v>3463</v>
      </c>
      <c r="D39" s="334">
        <v>57271357.501999997</v>
      </c>
      <c r="E39" s="334">
        <v>6003</v>
      </c>
      <c r="F39" s="334">
        <v>24289362.046999998</v>
      </c>
    </row>
    <row r="40" spans="1:6">
      <c r="A40" s="348" t="s">
        <v>30</v>
      </c>
      <c r="B40" s="348" t="s">
        <v>29</v>
      </c>
      <c r="C40" s="334">
        <v>0</v>
      </c>
      <c r="D40" s="334">
        <v>0</v>
      </c>
      <c r="E40" s="334">
        <v>0</v>
      </c>
      <c r="F40" s="334">
        <v>0</v>
      </c>
    </row>
    <row r="41" spans="1:6">
      <c r="A41" s="348" t="s">
        <v>32</v>
      </c>
      <c r="B41" s="348" t="s">
        <v>33</v>
      </c>
      <c r="C41" s="334">
        <v>29</v>
      </c>
      <c r="D41" s="334">
        <v>599448.07712000003</v>
      </c>
      <c r="E41" s="334">
        <v>84</v>
      </c>
      <c r="F41" s="334">
        <v>1330861.1967</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6</v>
      </c>
      <c r="F44" s="334">
        <v>44771.841690000001</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33</v>
      </c>
      <c r="D48" s="334">
        <v>2257337.6412999998</v>
      </c>
      <c r="E48" s="334">
        <v>63</v>
      </c>
      <c r="F48" s="334">
        <v>7875374.0669999998</v>
      </c>
    </row>
    <row r="49" spans="1:6">
      <c r="A49" s="348" t="s">
        <v>32</v>
      </c>
      <c r="B49" s="348" t="s">
        <v>40</v>
      </c>
      <c r="C49" s="334">
        <v>0</v>
      </c>
      <c r="D49" s="334">
        <v>0</v>
      </c>
      <c r="E49" s="334">
        <v>0</v>
      </c>
      <c r="F49" s="334">
        <v>0</v>
      </c>
    </row>
    <row r="50" spans="1:6">
      <c r="A50" s="348" t="s">
        <v>32</v>
      </c>
      <c r="B50" s="348" t="s">
        <v>41</v>
      </c>
      <c r="C50" s="334">
        <v>3</v>
      </c>
      <c r="D50" s="334">
        <v>165378.92077</v>
      </c>
      <c r="E50" s="334">
        <v>7</v>
      </c>
      <c r="F50" s="334">
        <v>150794.81469999999</v>
      </c>
    </row>
    <row r="51" spans="1:6">
      <c r="A51" s="348" t="s">
        <v>42</v>
      </c>
      <c r="B51" s="348" t="s">
        <v>43</v>
      </c>
      <c r="C51" s="334">
        <v>0</v>
      </c>
      <c r="D51" s="334">
        <v>0</v>
      </c>
      <c r="E51" s="334">
        <v>19</v>
      </c>
      <c r="F51" s="334">
        <v>204577.16550999999</v>
      </c>
    </row>
    <row r="52" spans="1:6">
      <c r="A52" s="348" t="s">
        <v>42</v>
      </c>
      <c r="B52" s="348" t="s">
        <v>29</v>
      </c>
      <c r="C52" s="334">
        <v>9</v>
      </c>
      <c r="D52" s="334">
        <v>169864.15544</v>
      </c>
      <c r="E52" s="334">
        <v>14</v>
      </c>
      <c r="F52" s="334">
        <v>137822.55613000001</v>
      </c>
    </row>
    <row r="53" spans="1:6">
      <c r="A53" s="348" t="s">
        <v>44</v>
      </c>
      <c r="B53" s="348" t="s">
        <v>45</v>
      </c>
      <c r="C53" s="334">
        <v>77</v>
      </c>
      <c r="D53" s="334">
        <v>1731077.1198</v>
      </c>
      <c r="E53" s="334">
        <v>178</v>
      </c>
      <c r="F53" s="334">
        <v>669628.74412000005</v>
      </c>
    </row>
    <row r="54" spans="1:6">
      <c r="A54" s="348" t="s">
        <v>46</v>
      </c>
      <c r="B54" s="348" t="s">
        <v>47</v>
      </c>
      <c r="C54" s="334">
        <v>0</v>
      </c>
      <c r="D54" s="334">
        <v>0</v>
      </c>
      <c r="E54" s="334">
        <v>1</v>
      </c>
      <c r="F54" s="334">
        <v>1015564</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20</v>
      </c>
      <c r="D57" s="334">
        <v>472628.59061999997</v>
      </c>
      <c r="E57" s="334">
        <v>50</v>
      </c>
      <c r="F57" s="334">
        <v>879223.83294999995</v>
      </c>
    </row>
    <row r="58" spans="1:6">
      <c r="A58" s="348" t="s">
        <v>49</v>
      </c>
      <c r="B58" s="348" t="s">
        <v>51</v>
      </c>
      <c r="C58" s="334">
        <v>7</v>
      </c>
      <c r="D58" s="334">
        <v>266595.59762000002</v>
      </c>
      <c r="E58" s="334">
        <v>22</v>
      </c>
      <c r="F58" s="334">
        <v>163866.96040000001</v>
      </c>
    </row>
    <row r="59" spans="1:6">
      <c r="A59" s="348" t="s">
        <v>49</v>
      </c>
      <c r="B59" s="348" t="s">
        <v>52</v>
      </c>
      <c r="C59" s="334">
        <v>46</v>
      </c>
      <c r="D59" s="334">
        <v>2808464.2829</v>
      </c>
      <c r="E59" s="334">
        <v>128</v>
      </c>
      <c r="F59" s="334">
        <v>8906061.5506999996</v>
      </c>
    </row>
    <row r="60" spans="1:6">
      <c r="A60" s="348" t="s">
        <v>49</v>
      </c>
      <c r="B60" s="348" t="s">
        <v>53</v>
      </c>
      <c r="C60" s="334">
        <v>38</v>
      </c>
      <c r="D60" s="334">
        <v>1625626.4697</v>
      </c>
      <c r="E60" s="334">
        <v>58</v>
      </c>
      <c r="F60" s="334">
        <v>1255192.7298000001</v>
      </c>
    </row>
    <row r="61" spans="1:6">
      <c r="A61" s="348" t="s">
        <v>49</v>
      </c>
      <c r="B61" s="348" t="s">
        <v>54</v>
      </c>
      <c r="C61" s="334">
        <v>108</v>
      </c>
      <c r="D61" s="334">
        <v>3385360.4674</v>
      </c>
      <c r="E61" s="334">
        <v>247</v>
      </c>
      <c r="F61" s="334">
        <v>4003797.4186999998</v>
      </c>
    </row>
    <row r="62" spans="1:6">
      <c r="A62" s="348" t="s">
        <v>49</v>
      </c>
      <c r="B62" s="348" t="s">
        <v>55</v>
      </c>
      <c r="C62" s="334">
        <v>6</v>
      </c>
      <c r="D62" s="334">
        <v>375823.89606</v>
      </c>
      <c r="E62" s="334">
        <v>7</v>
      </c>
      <c r="F62" s="334">
        <v>355766.05241</v>
      </c>
    </row>
    <row r="63" spans="1:6">
      <c r="A63" s="348" t="s">
        <v>49</v>
      </c>
      <c r="B63" s="348" t="s">
        <v>29</v>
      </c>
      <c r="C63" s="334">
        <v>179</v>
      </c>
      <c r="D63" s="334">
        <v>10256171.512</v>
      </c>
      <c r="E63" s="334">
        <v>233</v>
      </c>
      <c r="F63" s="334">
        <v>6265651.0948000001</v>
      </c>
    </row>
    <row r="64" spans="1:6">
      <c r="A64" s="348" t="s">
        <v>56</v>
      </c>
      <c r="B64" s="348" t="s">
        <v>57</v>
      </c>
      <c r="C64" s="334">
        <v>0</v>
      </c>
      <c r="D64" s="334">
        <v>0</v>
      </c>
      <c r="E64" s="334">
        <v>0</v>
      </c>
      <c r="F64" s="334">
        <v>0</v>
      </c>
    </row>
    <row r="65" spans="1:6">
      <c r="A65" s="348" t="s">
        <v>56</v>
      </c>
      <c r="B65" s="348" t="s">
        <v>29</v>
      </c>
      <c r="C65" s="334">
        <v>5</v>
      </c>
      <c r="D65" s="334">
        <v>129237.55554</v>
      </c>
      <c r="E65" s="334">
        <v>1</v>
      </c>
      <c r="F65" s="334">
        <v>6241</v>
      </c>
    </row>
    <row r="66" spans="1:6">
      <c r="A66" s="348" t="s">
        <v>56</v>
      </c>
      <c r="B66" s="348" t="s">
        <v>58</v>
      </c>
      <c r="C66" s="334">
        <v>0</v>
      </c>
      <c r="D66" s="334">
        <v>0</v>
      </c>
      <c r="E66" s="334">
        <v>4</v>
      </c>
      <c r="F66" s="334">
        <v>79773.291666999998</v>
      </c>
    </row>
    <row r="67" spans="1:6">
      <c r="A67" s="355" t="s">
        <v>56</v>
      </c>
      <c r="B67" s="355" t="s">
        <v>59</v>
      </c>
      <c r="C67" s="334">
        <v>0</v>
      </c>
      <c r="D67" s="334">
        <v>0</v>
      </c>
      <c r="E67" s="334">
        <v>0</v>
      </c>
      <c r="F67" s="334">
        <v>0</v>
      </c>
    </row>
    <row r="68" spans="1:6">
      <c r="A68" s="341" t="s">
        <v>56</v>
      </c>
      <c r="B68" s="341" t="s">
        <v>60</v>
      </c>
      <c r="C68" s="334">
        <v>3</v>
      </c>
      <c r="D68" s="334">
        <v>2481841.4808</v>
      </c>
      <c r="E68" s="334">
        <v>25</v>
      </c>
      <c r="F68" s="334">
        <v>1364236.6431</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93" t="s">
        <v>684</v>
      </c>
      <c r="D72" s="361">
        <v>2015</v>
      </c>
      <c r="E72" s="361">
        <v>2020</v>
      </c>
      <c r="F72" s="347"/>
    </row>
    <row r="73" spans="1:6">
      <c r="A73" s="348" t="s">
        <v>64</v>
      </c>
      <c r="B73" s="348" t="s">
        <v>666</v>
      </c>
      <c r="C73" s="1294" t="s">
        <v>668</v>
      </c>
      <c r="D73" s="475">
        <v>23584515</v>
      </c>
      <c r="E73" s="475">
        <v>22009604.930302568</v>
      </c>
    </row>
    <row r="74" spans="1:6">
      <c r="A74" s="348" t="s">
        <v>64</v>
      </c>
      <c r="B74" s="348" t="s">
        <v>667</v>
      </c>
      <c r="C74" s="1294" t="s">
        <v>669</v>
      </c>
      <c r="D74" s="475">
        <v>4408848.3608520953</v>
      </c>
      <c r="E74" s="475">
        <v>4093923.0220144936</v>
      </c>
    </row>
    <row r="75" spans="1:6">
      <c r="A75" s="348" t="s">
        <v>65</v>
      </c>
      <c r="B75" s="348" t="s">
        <v>666</v>
      </c>
      <c r="C75" s="1294" t="s">
        <v>670</v>
      </c>
      <c r="D75" s="475">
        <v>45157021</v>
      </c>
      <c r="E75" s="475">
        <v>41375213.400206536</v>
      </c>
    </row>
    <row r="76" spans="1:6">
      <c r="A76" s="348" t="s">
        <v>65</v>
      </c>
      <c r="B76" s="348" t="s">
        <v>667</v>
      </c>
      <c r="C76" s="1294" t="s">
        <v>671</v>
      </c>
      <c r="D76" s="475">
        <v>3047244.3608520958</v>
      </c>
      <c r="E76" s="475">
        <v>2734378.1920808596</v>
      </c>
    </row>
    <row r="77" spans="1:6">
      <c r="A77" s="348" t="s">
        <v>66</v>
      </c>
      <c r="B77" s="348" t="s">
        <v>666</v>
      </c>
      <c r="C77" s="1294" t="s">
        <v>672</v>
      </c>
      <c r="D77" s="475">
        <v>160252250</v>
      </c>
      <c r="E77" s="475">
        <v>170218823.16415149</v>
      </c>
    </row>
    <row r="78" spans="1:6">
      <c r="A78" s="341" t="s">
        <v>66</v>
      </c>
      <c r="B78" s="341" t="s">
        <v>667</v>
      </c>
      <c r="C78" s="341" t="s">
        <v>673</v>
      </c>
      <c r="D78" s="1295">
        <v>19068169</v>
      </c>
      <c r="E78" s="1295">
        <v>19973396.328043766</v>
      </c>
      <c r="F78" s="342"/>
    </row>
    <row r="79" spans="1:6">
      <c r="A79" s="362"/>
      <c r="B79" s="362"/>
    </row>
    <row r="80" spans="1:6" ht="15.75" thickBot="1">
      <c r="A80" s="362"/>
      <c r="B80" s="362"/>
    </row>
    <row r="81" spans="1:6" ht="20.25" thickBot="1">
      <c r="A81" s="336" t="s">
        <v>334</v>
      </c>
      <c r="B81" s="363" t="s">
        <v>394</v>
      </c>
      <c r="C81" s="337" t="s">
        <v>886</v>
      </c>
      <c r="D81" s="337"/>
      <c r="E81" s="337"/>
      <c r="F81" s="344"/>
    </row>
    <row r="82" spans="1:6" ht="16.5" thickTop="1" thickBot="1">
      <c r="A82" s="345" t="s">
        <v>335</v>
      </c>
      <c r="B82" s="361">
        <v>2015</v>
      </c>
      <c r="C82" s="361">
        <v>2020</v>
      </c>
      <c r="D82" s="346"/>
      <c r="E82" s="346"/>
      <c r="F82" s="347"/>
    </row>
    <row r="83" spans="1:6">
      <c r="A83" s="348" t="s">
        <v>336</v>
      </c>
      <c r="B83" s="475">
        <v>489893.27829580876</v>
      </c>
      <c r="C83" s="475">
        <v>489893.27829580876</v>
      </c>
    </row>
    <row r="84" spans="1:6">
      <c r="A84" s="341" t="s">
        <v>337</v>
      </c>
      <c r="B84" s="1295">
        <v>0</v>
      </c>
      <c r="C84" s="1295">
        <v>0</v>
      </c>
      <c r="D84" s="342"/>
      <c r="E84" s="342"/>
      <c r="F84" s="342"/>
    </row>
    <row r="85" spans="1:6">
      <c r="A85" s="362"/>
      <c r="B85" s="364"/>
    </row>
    <row r="86" spans="1:6" ht="15.75" thickBot="1">
      <c r="A86" s="343"/>
    </row>
    <row r="87" spans="1:6" ht="20.25" thickBot="1">
      <c r="A87" s="336" t="s">
        <v>67</v>
      </c>
      <c r="B87" s="337" t="s">
        <v>394</v>
      </c>
      <c r="C87" s="337" t="s">
        <v>887</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96">
        <v>0</v>
      </c>
    </row>
    <row r="91" spans="1:6">
      <c r="A91" s="348" t="s">
        <v>68</v>
      </c>
      <c r="B91" s="334">
        <v>2775.7431091832364</v>
      </c>
    </row>
    <row r="92" spans="1:6">
      <c r="A92" s="341" t="s">
        <v>69</v>
      </c>
      <c r="B92" s="342">
        <v>1213.8456693121675</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1691</v>
      </c>
    </row>
    <row r="98" spans="1:6">
      <c r="A98" s="348" t="s">
        <v>72</v>
      </c>
      <c r="B98" s="334">
        <v>2</v>
      </c>
    </row>
    <row r="99" spans="1:6">
      <c r="A99" s="348" t="s">
        <v>73</v>
      </c>
      <c r="B99" s="334">
        <v>122</v>
      </c>
    </row>
    <row r="100" spans="1:6">
      <c r="A100" s="348" t="s">
        <v>74</v>
      </c>
      <c r="B100" s="334">
        <v>513</v>
      </c>
    </row>
    <row r="101" spans="1:6">
      <c r="A101" s="348" t="s">
        <v>75</v>
      </c>
      <c r="B101" s="334">
        <v>54</v>
      </c>
    </row>
    <row r="102" spans="1:6">
      <c r="A102" s="348" t="s">
        <v>76</v>
      </c>
      <c r="B102" s="334">
        <v>63</v>
      </c>
    </row>
    <row r="103" spans="1:6">
      <c r="A103" s="348" t="s">
        <v>77</v>
      </c>
      <c r="B103" s="334">
        <v>128</v>
      </c>
    </row>
    <row r="104" spans="1:6">
      <c r="A104" s="348" t="s">
        <v>78</v>
      </c>
      <c r="B104" s="334">
        <v>2909</v>
      </c>
    </row>
    <row r="105" spans="1:6">
      <c r="A105" s="341" t="s">
        <v>79</v>
      </c>
      <c r="B105" s="341">
        <v>6</v>
      </c>
      <c r="C105" s="342"/>
      <c r="D105" s="342"/>
      <c r="E105" s="342"/>
      <c r="F105" s="342"/>
    </row>
    <row r="106" spans="1:6">
      <c r="A106" s="343"/>
    </row>
    <row r="107" spans="1:6" ht="15.75" thickBot="1">
      <c r="A107" s="343"/>
    </row>
    <row r="108" spans="1:6" ht="20.25" thickBot="1">
      <c r="A108" s="336" t="s">
        <v>648</v>
      </c>
      <c r="B108" s="337" t="s">
        <v>394</v>
      </c>
      <c r="C108" s="337" t="s">
        <v>888</v>
      </c>
      <c r="D108" s="337"/>
      <c r="E108" s="337"/>
      <c r="F108" s="344"/>
    </row>
    <row r="109" spans="1:6" ht="16.5" thickTop="1" thickBot="1">
      <c r="A109" s="345" t="s">
        <v>4</v>
      </c>
      <c r="B109" s="346" t="s">
        <v>5</v>
      </c>
      <c r="C109" s="346"/>
      <c r="D109" s="346"/>
      <c r="E109" s="346"/>
      <c r="F109" s="347"/>
    </row>
    <row r="110" spans="1:6">
      <c r="A110" s="348" t="s">
        <v>649</v>
      </c>
      <c r="B110" s="334">
        <v>0</v>
      </c>
    </row>
    <row r="111" spans="1:6">
      <c r="A111" s="1297" t="s">
        <v>650</v>
      </c>
      <c r="B111" s="1298">
        <v>0</v>
      </c>
      <c r="C111" s="1298"/>
      <c r="D111" s="1298"/>
      <c r="E111" s="1298"/>
      <c r="F111" s="1298"/>
    </row>
    <row r="112" spans="1:6">
      <c r="A112" s="348"/>
    </row>
    <row r="113" spans="1:6" ht="15.75" thickBot="1">
      <c r="A113" s="341"/>
      <c r="B113" s="342"/>
      <c r="C113" s="342"/>
      <c r="D113" s="342"/>
      <c r="E113" s="342"/>
      <c r="F113" s="342"/>
    </row>
    <row r="114" spans="1:6" ht="20.25" thickBot="1">
      <c r="A114" s="336" t="s">
        <v>80</v>
      </c>
      <c r="B114" s="337" t="s">
        <v>394</v>
      </c>
      <c r="C114" s="337" t="s">
        <v>889</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9</v>
      </c>
      <c r="C123" s="334">
        <v>11</v>
      </c>
    </row>
    <row r="124" spans="1:6">
      <c r="A124" s="341" t="s">
        <v>89</v>
      </c>
      <c r="B124" s="334">
        <v>1</v>
      </c>
      <c r="C124" s="334">
        <v>0</v>
      </c>
      <c r="D124" s="342"/>
      <c r="E124" s="342"/>
      <c r="F124" s="342"/>
    </row>
    <row r="125" spans="1:6">
      <c r="A125" s="362"/>
    </row>
    <row r="126" spans="1:6" ht="15.75" thickBot="1">
      <c r="A126" s="362"/>
    </row>
    <row r="127" spans="1:6" ht="20.25" thickBot="1">
      <c r="A127" s="336" t="s">
        <v>293</v>
      </c>
      <c r="B127" s="337" t="s">
        <v>394</v>
      </c>
      <c r="C127" s="337" t="s">
        <v>888</v>
      </c>
      <c r="D127" s="337"/>
      <c r="E127" s="337"/>
      <c r="F127" s="344"/>
    </row>
    <row r="128" spans="1:6" ht="16.5" thickTop="1" thickBot="1">
      <c r="A128" s="345" t="s">
        <v>4</v>
      </c>
      <c r="B128" s="346" t="s">
        <v>5</v>
      </c>
      <c r="C128" s="346"/>
      <c r="D128" s="346"/>
      <c r="E128" s="346"/>
      <c r="F128" s="347"/>
    </row>
    <row r="129" spans="1:6">
      <c r="A129" s="348" t="s">
        <v>294</v>
      </c>
      <c r="B129" s="334">
        <v>88</v>
      </c>
    </row>
    <row r="130" spans="1:6">
      <c r="A130" s="348" t="s">
        <v>295</v>
      </c>
      <c r="B130" s="334">
        <v>0</v>
      </c>
    </row>
    <row r="131" spans="1:6">
      <c r="A131" s="348" t="s">
        <v>296</v>
      </c>
      <c r="B131" s="334">
        <v>0</v>
      </c>
    </row>
    <row r="132" spans="1:6">
      <c r="A132" s="341" t="s">
        <v>297</v>
      </c>
      <c r="B132" s="342">
        <v>15</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705</v>
      </c>
      <c r="B2" s="532"/>
      <c r="E2" s="661"/>
      <c r="F2" s="661"/>
    </row>
    <row r="3" spans="1:12">
      <c r="A3" s="44"/>
      <c r="B3" s="532"/>
      <c r="E3" s="661"/>
      <c r="F3" s="661"/>
    </row>
    <row r="4" spans="1:12" ht="18">
      <c r="A4" s="137" t="s">
        <v>181</v>
      </c>
      <c r="B4" s="533" t="s">
        <v>388</v>
      </c>
      <c r="E4" s="661"/>
      <c r="F4" s="661"/>
    </row>
    <row r="5" spans="1:12" ht="21">
      <c r="A5" s="116" t="s">
        <v>183</v>
      </c>
      <c r="B5" s="534"/>
      <c r="E5" s="905"/>
      <c r="F5" s="906"/>
      <c r="G5" s="917"/>
      <c r="H5" s="917"/>
      <c r="I5" s="9"/>
      <c r="J5" s="9"/>
    </row>
    <row r="6" spans="1:12">
      <c r="A6" s="117" t="s">
        <v>184</v>
      </c>
      <c r="B6" s="535">
        <v>4.0513950503279288</v>
      </c>
      <c r="E6" s="907"/>
      <c r="F6" s="907"/>
      <c r="G6" s="918"/>
      <c r="H6" s="918"/>
      <c r="I6" s="10"/>
      <c r="J6" s="10"/>
      <c r="K6" s="10"/>
      <c r="L6" s="10"/>
    </row>
    <row r="7" spans="1:12">
      <c r="A7" s="117" t="s">
        <v>6</v>
      </c>
      <c r="B7" s="535">
        <v>148.75315600062214</v>
      </c>
      <c r="E7" s="661"/>
      <c r="F7" s="661"/>
      <c r="G7" s="919"/>
      <c r="H7" s="919"/>
      <c r="K7" s="10"/>
      <c r="L7" s="10"/>
    </row>
    <row r="8" spans="1:12">
      <c r="A8" s="117" t="s">
        <v>7</v>
      </c>
      <c r="B8" s="535">
        <v>93.652016709315419</v>
      </c>
      <c r="E8" s="661"/>
      <c r="F8" s="661"/>
      <c r="G8" s="919"/>
      <c r="H8" s="919"/>
      <c r="K8" s="10"/>
      <c r="L8" s="10"/>
    </row>
    <row r="9" spans="1:12">
      <c r="A9" s="117" t="s">
        <v>8</v>
      </c>
      <c r="B9" s="535">
        <v>31.990818879394283</v>
      </c>
      <c r="E9" s="907"/>
      <c r="F9" s="907"/>
      <c r="G9" s="918"/>
      <c r="H9" s="918"/>
      <c r="I9" s="10"/>
      <c r="J9" s="10"/>
      <c r="K9" s="10"/>
      <c r="L9" s="10"/>
    </row>
    <row r="10" spans="1:12">
      <c r="A10" s="117" t="s">
        <v>9</v>
      </c>
      <c r="B10" s="535">
        <v>48.052888540099751</v>
      </c>
      <c r="E10" s="908"/>
      <c r="F10" s="908"/>
      <c r="G10" s="920"/>
      <c r="H10" s="920"/>
      <c r="I10" s="11"/>
      <c r="J10" s="11"/>
      <c r="K10" s="10"/>
      <c r="L10" s="10"/>
    </row>
    <row r="11" spans="1:12">
      <c r="A11" s="117" t="s">
        <v>10</v>
      </c>
      <c r="B11" s="535">
        <v>48.479822138264574</v>
      </c>
      <c r="E11" s="661"/>
      <c r="F11" s="908"/>
      <c r="G11" s="920"/>
      <c r="H11" s="920"/>
      <c r="I11" s="11"/>
      <c r="J11" s="11"/>
      <c r="K11" s="10"/>
      <c r="L11" s="10"/>
    </row>
    <row r="12" spans="1:12">
      <c r="A12" s="118" t="s">
        <v>16</v>
      </c>
      <c r="B12" s="535">
        <v>8</v>
      </c>
      <c r="E12" s="908"/>
      <c r="F12" s="907"/>
      <c r="G12" s="918"/>
      <c r="H12" s="918"/>
      <c r="I12" s="10"/>
      <c r="J12" s="10"/>
      <c r="K12" s="10"/>
      <c r="L12" s="10"/>
    </row>
    <row r="13" spans="1:12">
      <c r="A13" s="118" t="s">
        <v>17</v>
      </c>
      <c r="B13" s="535">
        <v>5</v>
      </c>
      <c r="E13" s="907"/>
      <c r="F13" s="907"/>
      <c r="G13" s="918"/>
      <c r="H13" s="918"/>
      <c r="I13" s="10"/>
      <c r="J13" s="10"/>
      <c r="K13" s="10"/>
      <c r="L13" s="10"/>
    </row>
    <row r="14" spans="1:12">
      <c r="A14" s="118" t="s">
        <v>185</v>
      </c>
      <c r="B14" s="535">
        <v>1.5</v>
      </c>
      <c r="E14" s="907"/>
      <c r="F14" s="907"/>
      <c r="G14" s="918"/>
      <c r="H14" s="918"/>
      <c r="I14" s="10"/>
      <c r="J14" s="10"/>
      <c r="K14" s="10"/>
      <c r="L14" s="10"/>
    </row>
    <row r="15" spans="1:12">
      <c r="A15" s="118" t="s">
        <v>186</v>
      </c>
      <c r="B15" s="535">
        <v>18</v>
      </c>
      <c r="E15" s="907"/>
      <c r="F15" s="907"/>
      <c r="G15" s="918"/>
      <c r="H15" s="918"/>
      <c r="I15" s="10"/>
      <c r="J15" s="10"/>
      <c r="K15" s="10"/>
      <c r="L15" s="10"/>
    </row>
    <row r="16" spans="1:12">
      <c r="A16" s="118" t="s">
        <v>187</v>
      </c>
      <c r="B16" s="536">
        <v>10</v>
      </c>
      <c r="E16" s="907"/>
      <c r="F16" s="907"/>
      <c r="G16" s="918"/>
      <c r="H16" s="918"/>
      <c r="I16" s="10"/>
      <c r="J16" s="10"/>
      <c r="K16" s="10"/>
      <c r="L16" s="10"/>
    </row>
    <row r="17" spans="1:12" s="43" customFormat="1" ht="15.75" thickBot="1">
      <c r="A17" s="119"/>
      <c r="B17" s="537"/>
      <c r="E17" s="909"/>
      <c r="F17" s="909"/>
      <c r="G17" s="154"/>
      <c r="H17" s="154"/>
      <c r="I17" s="154"/>
      <c r="J17" s="154"/>
      <c r="K17" s="154"/>
      <c r="L17" s="154"/>
    </row>
    <row r="18" spans="1:12" s="43" customFormat="1" ht="15.75" thickBot="1">
      <c r="A18" s="195"/>
      <c r="B18" s="538"/>
      <c r="E18" s="909"/>
      <c r="F18" s="909"/>
      <c r="G18" s="154"/>
      <c r="H18" s="154"/>
      <c r="I18" s="154"/>
      <c r="J18" s="154"/>
      <c r="K18" s="154"/>
      <c r="L18" s="154"/>
    </row>
    <row r="19" spans="1:12" ht="18.75" thickBot="1">
      <c r="A19" s="121" t="s">
        <v>188</v>
      </c>
      <c r="B19" s="531"/>
      <c r="E19" s="907"/>
      <c r="F19" s="907"/>
      <c r="G19" s="10"/>
      <c r="H19" s="10"/>
      <c r="I19" s="10"/>
      <c r="J19" s="10"/>
      <c r="K19" s="10"/>
      <c r="L19" s="10"/>
    </row>
    <row r="20" spans="1:12">
      <c r="A20" s="44" t="s">
        <v>705</v>
      </c>
      <c r="B20" s="532"/>
      <c r="E20" s="907"/>
      <c r="F20" s="907"/>
      <c r="G20" s="10"/>
      <c r="H20" s="10"/>
      <c r="I20" s="10"/>
      <c r="J20" s="10"/>
      <c r="K20" s="10"/>
      <c r="L20" s="10"/>
    </row>
    <row r="21" spans="1:12">
      <c r="A21" s="44"/>
      <c r="B21" s="532"/>
      <c r="E21" s="907"/>
      <c r="F21" s="907"/>
      <c r="G21" s="10"/>
      <c r="H21" s="10"/>
      <c r="I21" s="10"/>
      <c r="J21" s="10"/>
      <c r="K21" s="10"/>
      <c r="L21" s="10"/>
    </row>
    <row r="22" spans="1:12" ht="18">
      <c r="A22" s="138" t="s">
        <v>181</v>
      </c>
      <c r="B22" s="539" t="s">
        <v>388</v>
      </c>
      <c r="E22" s="907"/>
      <c r="F22" s="907"/>
      <c r="G22" s="10"/>
      <c r="H22" s="10"/>
      <c r="I22" s="10"/>
      <c r="J22" s="10"/>
      <c r="K22" s="10"/>
      <c r="L22" s="10"/>
    </row>
    <row r="23" spans="1:12" s="72" customFormat="1">
      <c r="A23" s="118" t="s">
        <v>183</v>
      </c>
      <c r="B23" s="535">
        <v>10.419103875071656</v>
      </c>
      <c r="E23" s="910"/>
      <c r="F23" s="910"/>
      <c r="G23" s="921"/>
      <c r="H23" s="921"/>
    </row>
    <row r="24" spans="1:12">
      <c r="A24" s="117" t="s">
        <v>184</v>
      </c>
      <c r="B24" s="535">
        <v>4.2231090152811745</v>
      </c>
      <c r="E24" s="907"/>
      <c r="F24" s="907"/>
      <c r="G24" s="918"/>
      <c r="H24" s="918"/>
      <c r="I24" s="10"/>
      <c r="J24" s="10"/>
      <c r="K24" s="10"/>
      <c r="L24" s="10"/>
    </row>
    <row r="25" spans="1:12">
      <c r="A25" s="117" t="s">
        <v>6</v>
      </c>
      <c r="B25" s="535">
        <v>36.989208093097943</v>
      </c>
      <c r="E25" s="907"/>
      <c r="F25" s="907"/>
      <c r="G25" s="918"/>
      <c r="H25" s="918"/>
      <c r="I25" s="10"/>
      <c r="J25" s="10"/>
      <c r="K25" s="10"/>
      <c r="L25" s="10"/>
    </row>
    <row r="26" spans="1:12">
      <c r="A26" s="117" t="s">
        <v>7</v>
      </c>
      <c r="B26" s="535">
        <v>2.6373179855588216</v>
      </c>
      <c r="E26" s="907"/>
      <c r="F26" s="907"/>
      <c r="G26" s="918"/>
      <c r="H26" s="918"/>
      <c r="I26" s="10"/>
      <c r="J26" s="10"/>
      <c r="K26" s="10"/>
      <c r="L26" s="10"/>
    </row>
    <row r="27" spans="1:12">
      <c r="A27" s="117" t="s">
        <v>8</v>
      </c>
      <c r="B27" s="535">
        <v>1.2024103334607736</v>
      </c>
      <c r="E27" s="907"/>
      <c r="F27" s="907"/>
      <c r="G27" s="918"/>
      <c r="H27" s="918"/>
      <c r="I27" s="10"/>
      <c r="J27" s="10"/>
      <c r="K27" s="10"/>
      <c r="L27" s="10"/>
    </row>
    <row r="28" spans="1:12">
      <c r="A28" s="117" t="s">
        <v>9</v>
      </c>
      <c r="B28" s="535">
        <v>5.0815988132881253</v>
      </c>
      <c r="E28" s="907"/>
      <c r="F28" s="907"/>
      <c r="G28" s="918"/>
      <c r="H28" s="918"/>
      <c r="I28" s="10"/>
      <c r="J28" s="10"/>
      <c r="K28" s="10"/>
      <c r="L28" s="10"/>
    </row>
    <row r="29" spans="1:12">
      <c r="A29" s="117" t="s">
        <v>10</v>
      </c>
      <c r="B29" s="535">
        <v>3.8951527391088074</v>
      </c>
      <c r="E29" s="907"/>
      <c r="F29" s="907"/>
      <c r="G29" s="918"/>
      <c r="H29" s="918"/>
      <c r="I29" s="10"/>
      <c r="J29" s="10"/>
      <c r="K29" s="10"/>
      <c r="L29" s="10"/>
    </row>
    <row r="30" spans="1:12">
      <c r="A30" s="118" t="s">
        <v>185</v>
      </c>
      <c r="B30" s="535">
        <v>4.4617753102649891</v>
      </c>
      <c r="E30" s="907"/>
      <c r="F30" s="907"/>
      <c r="G30" s="918"/>
      <c r="H30" s="918"/>
      <c r="I30" s="10"/>
      <c r="J30" s="10"/>
      <c r="K30" s="10"/>
      <c r="L30" s="10"/>
    </row>
    <row r="31" spans="1:12">
      <c r="A31" s="117" t="s">
        <v>11</v>
      </c>
      <c r="B31" s="535">
        <v>1.6075002802320004</v>
      </c>
      <c r="E31" s="907"/>
      <c r="F31" s="907"/>
      <c r="G31" s="918"/>
      <c r="H31" s="918"/>
      <c r="I31" s="10"/>
      <c r="J31" s="10"/>
      <c r="K31" s="10"/>
      <c r="L31" s="10"/>
    </row>
    <row r="32" spans="1:12">
      <c r="A32" s="117" t="s">
        <v>12</v>
      </c>
      <c r="B32" s="535">
        <v>4.8225008406960006</v>
      </c>
      <c r="E32" s="907"/>
      <c r="F32" s="907"/>
      <c r="G32" s="918"/>
      <c r="H32" s="918"/>
      <c r="I32" s="10"/>
      <c r="J32" s="10"/>
      <c r="K32" s="10"/>
      <c r="L32" s="10"/>
    </row>
    <row r="33" spans="1:14">
      <c r="A33" s="117" t="s">
        <v>13</v>
      </c>
      <c r="B33" s="535">
        <v>6.3685027042560023</v>
      </c>
      <c r="E33" s="907"/>
      <c r="F33" s="907"/>
      <c r="G33" s="918"/>
      <c r="H33" s="918"/>
      <c r="I33" s="10"/>
      <c r="J33" s="10"/>
      <c r="K33" s="10"/>
      <c r="L33" s="10"/>
    </row>
    <row r="34" spans="1:14">
      <c r="A34" s="117" t="s">
        <v>14</v>
      </c>
      <c r="B34" s="535">
        <v>4.6362973013280016</v>
      </c>
      <c r="E34" s="907"/>
      <c r="F34" s="907"/>
      <c r="G34" s="918"/>
      <c r="H34" s="918"/>
      <c r="I34" s="10"/>
      <c r="J34" s="10"/>
      <c r="K34" s="10"/>
      <c r="L34" s="10"/>
    </row>
    <row r="35" spans="1:14">
      <c r="A35" s="117" t="s">
        <v>15</v>
      </c>
      <c r="B35" s="535">
        <v>12.338973989496003</v>
      </c>
      <c r="E35" s="907"/>
      <c r="F35" s="907"/>
      <c r="G35" s="918"/>
      <c r="H35" s="918"/>
      <c r="I35" s="10"/>
      <c r="J35" s="10"/>
      <c r="K35" s="10"/>
      <c r="L35" s="10"/>
    </row>
    <row r="36" spans="1:14">
      <c r="A36" s="118" t="s">
        <v>16</v>
      </c>
      <c r="B36" s="535">
        <v>0.19</v>
      </c>
      <c r="E36" s="907"/>
      <c r="F36" s="907"/>
      <c r="G36" s="918"/>
      <c r="H36" s="918"/>
      <c r="I36" s="10"/>
      <c r="J36" s="10"/>
      <c r="K36" s="10"/>
      <c r="L36" s="10"/>
    </row>
    <row r="37" spans="1:14">
      <c r="A37" s="118" t="s">
        <v>17</v>
      </c>
      <c r="B37" s="535">
        <v>0.13</v>
      </c>
      <c r="E37" s="661"/>
      <c r="F37" s="661"/>
      <c r="G37" s="919"/>
      <c r="H37" s="919"/>
    </row>
    <row r="38" spans="1:14">
      <c r="A38" s="118" t="s">
        <v>186</v>
      </c>
      <c r="B38" s="535">
        <v>1.5600000000000003</v>
      </c>
      <c r="E38" s="661"/>
      <c r="F38" s="661"/>
      <c r="G38" s="919"/>
      <c r="H38" s="919"/>
    </row>
    <row r="39" spans="1:14">
      <c r="A39" s="118" t="s">
        <v>187</v>
      </c>
      <c r="B39" s="535">
        <v>0.76</v>
      </c>
      <c r="E39" s="661"/>
      <c r="F39" s="661"/>
      <c r="G39" s="919"/>
      <c r="H39" s="919"/>
    </row>
    <row r="40" spans="1:14">
      <c r="A40" s="118" t="s">
        <v>18</v>
      </c>
      <c r="B40" s="536">
        <v>2.3666410874874599E-2</v>
      </c>
      <c r="E40" s="661"/>
      <c r="F40" s="661"/>
      <c r="G40" s="919"/>
      <c r="H40" s="919"/>
    </row>
    <row r="41" spans="1:14" ht="15.75" thickBot="1">
      <c r="A41" s="119"/>
      <c r="B41" s="540"/>
      <c r="E41" s="661"/>
      <c r="F41" s="661"/>
    </row>
    <row r="42" spans="1:14" s="43" customFormat="1" ht="15.75" thickBot="1">
      <c r="A42" s="196"/>
      <c r="B42" s="538"/>
      <c r="E42" s="911"/>
      <c r="F42" s="911"/>
      <c r="G42" s="197"/>
      <c r="H42" s="197"/>
      <c r="I42" s="197"/>
      <c r="J42" s="197"/>
      <c r="K42" s="197"/>
      <c r="L42" s="197"/>
      <c r="M42" s="197"/>
      <c r="N42" s="197"/>
    </row>
    <row r="43" spans="1:14" ht="15.75" thickBot="1">
      <c r="A43" s="121" t="s">
        <v>189</v>
      </c>
      <c r="B43" s="541"/>
      <c r="E43" s="661"/>
      <c r="F43" s="661"/>
    </row>
    <row r="44" spans="1:14">
      <c r="A44" s="44" t="s">
        <v>706</v>
      </c>
      <c r="B44" s="532"/>
      <c r="E44" s="661"/>
      <c r="F44" s="661"/>
    </row>
    <row r="45" spans="1:14">
      <c r="A45" s="44"/>
      <c r="B45" s="532"/>
      <c r="E45" s="661"/>
      <c r="F45" s="661"/>
    </row>
    <row r="46" spans="1:14" ht="18">
      <c r="A46" s="137" t="s">
        <v>190</v>
      </c>
      <c r="B46" s="533" t="s">
        <v>578</v>
      </c>
      <c r="E46" s="661"/>
      <c r="F46" s="661"/>
    </row>
    <row r="47" spans="1:14">
      <c r="A47" s="116" t="s">
        <v>191</v>
      </c>
      <c r="B47" s="542">
        <v>0.89674432482591948</v>
      </c>
      <c r="E47" s="661"/>
      <c r="F47" s="661"/>
    </row>
    <row r="48" spans="1:14">
      <c r="A48" s="118" t="s">
        <v>192</v>
      </c>
      <c r="B48" s="535">
        <v>0.91973434485529515</v>
      </c>
      <c r="E48" s="661"/>
      <c r="F48" s="661"/>
    </row>
    <row r="49" spans="1:12">
      <c r="A49" s="118" t="s">
        <v>185</v>
      </c>
      <c r="B49" s="535">
        <v>3.0877193202846927E-2</v>
      </c>
      <c r="E49" s="661"/>
      <c r="F49" s="661"/>
    </row>
    <row r="50" spans="1:12">
      <c r="A50" s="118" t="s">
        <v>18</v>
      </c>
      <c r="B50" s="535">
        <v>9.5501620569307048E-4</v>
      </c>
      <c r="E50" s="907"/>
      <c r="F50" s="907"/>
      <c r="G50" s="10"/>
      <c r="H50" s="10"/>
      <c r="I50" s="10"/>
      <c r="J50" s="10"/>
      <c r="K50" s="10"/>
      <c r="L50" s="10"/>
    </row>
    <row r="51" spans="1:12">
      <c r="A51" s="118" t="s">
        <v>16</v>
      </c>
      <c r="B51" s="535">
        <v>6.4577115766632142E-3</v>
      </c>
      <c r="E51" s="907"/>
      <c r="F51" s="907"/>
      <c r="G51" s="10"/>
      <c r="H51" s="10"/>
      <c r="I51" s="10"/>
      <c r="J51" s="10"/>
      <c r="K51" s="10"/>
      <c r="L51" s="10"/>
    </row>
    <row r="52" spans="1:12" ht="15.75" thickBot="1">
      <c r="A52" s="119" t="s">
        <v>127</v>
      </c>
      <c r="B52" s="543">
        <v>9.5369064624692981E-2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5" customWidth="1"/>
    <col min="3" max="3" width="70.28515625" style="548" customWidth="1"/>
  </cols>
  <sheetData>
    <row r="1" spans="1:3" s="334" customFormat="1" ht="15.75" thickBot="1">
      <c r="A1" s="391" t="s">
        <v>629</v>
      </c>
      <c r="B1" s="546"/>
      <c r="C1" s="547"/>
    </row>
    <row r="2" spans="1:3" s="334" customFormat="1">
      <c r="A2" s="395"/>
      <c r="B2" s="512"/>
      <c r="C2" s="549"/>
    </row>
    <row r="3" spans="1:3" s="334" customFormat="1">
      <c r="A3" s="393"/>
      <c r="B3" s="550">
        <v>2015</v>
      </c>
      <c r="C3" s="396" t="s">
        <v>182</v>
      </c>
    </row>
    <row r="4" spans="1:3">
      <c r="A4" s="120" t="s">
        <v>301</v>
      </c>
      <c r="B4" s="551">
        <f>4443371.28968977/1000</f>
        <v>4443.3712896897696</v>
      </c>
      <c r="C4" s="139" t="s">
        <v>707</v>
      </c>
    </row>
    <row r="5" spans="1:3" ht="15.75" thickBot="1">
      <c r="A5" s="933" t="s">
        <v>628</v>
      </c>
      <c r="B5" s="936">
        <v>673536</v>
      </c>
      <c r="C5" s="937" t="s">
        <v>685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2">
        <v>310</v>
      </c>
    </row>
    <row r="5" spans="1:2" ht="18.75" thickBot="1">
      <c r="A5" s="115" t="s">
        <v>448</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3" t="s">
        <v>661</v>
      </c>
      <c r="B6" s="439" t="s">
        <v>689</v>
      </c>
      <c r="C6" s="440" t="s">
        <v>358</v>
      </c>
    </row>
    <row r="7" spans="1:3" s="334" customFormat="1">
      <c r="A7" s="923" t="s">
        <v>690</v>
      </c>
      <c r="B7" s="441" t="s">
        <v>605</v>
      </c>
      <c r="C7" s="442" t="s">
        <v>604</v>
      </c>
    </row>
    <row r="8" spans="1:3" s="334" customFormat="1">
      <c r="A8" s="470"/>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template'!C27),0,'SEAP template'!C27)</f>
        <v>60377.72049621398</v>
      </c>
      <c r="C3" s="43" t="s">
        <v>170</v>
      </c>
      <c r="D3" s="43"/>
      <c r="E3" s="154"/>
      <c r="F3" s="43"/>
      <c r="G3" s="43"/>
      <c r="H3" s="43"/>
      <c r="I3" s="43"/>
      <c r="J3" s="43"/>
      <c r="K3" s="96"/>
    </row>
    <row r="4" spans="1:11">
      <c r="A4" s="383" t="s">
        <v>171</v>
      </c>
      <c r="B4" s="49">
        <f>IF(ISERROR('SEAP template'!B78+'SEAP template'!C78),0,'SEAP template'!B78+'SEAP template'!C78)</f>
        <v>3989.5887784954039</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2">
        <v>0.221</v>
      </c>
      <c r="F6" s="43" t="s">
        <v>772</v>
      </c>
      <c r="G6" s="43" t="s">
        <v>786</v>
      </c>
      <c r="H6" s="43"/>
      <c r="I6" s="43"/>
      <c r="J6" s="43"/>
      <c r="K6" s="96"/>
    </row>
    <row r="7" spans="1:11">
      <c r="A7" s="383"/>
      <c r="B7" s="477"/>
      <c r="C7" s="43"/>
      <c r="D7" s="43"/>
      <c r="E7" s="43"/>
      <c r="F7" s="48"/>
      <c r="G7" s="43"/>
      <c r="H7" s="43"/>
      <c r="I7" s="43"/>
      <c r="J7" s="43"/>
      <c r="K7" s="96"/>
    </row>
    <row r="8" spans="1:11">
      <c r="A8" s="383"/>
      <c r="B8" s="477"/>
      <c r="C8" s="43"/>
      <c r="D8" s="43"/>
      <c r="E8" s="43"/>
      <c r="F8" s="48"/>
      <c r="G8" s="43"/>
      <c r="H8" s="941"/>
      <c r="I8" s="155"/>
      <c r="J8" s="43"/>
      <c r="K8" s="96"/>
    </row>
    <row r="9" spans="1:11">
      <c r="A9" s="383" t="s">
        <v>175</v>
      </c>
      <c r="B9" s="49">
        <f>IF(ISERROR('SEAP template'!Q78),0,'SEAP template'!Q78)</f>
        <v>0</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0.20639694588001592</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0</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507</v>
      </c>
      <c r="B20" s="49">
        <f ca="1">IF(ISERROR('SEAP template'!D27),0,('SEAP template'!D27))</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684</v>
      </c>
      <c r="B1" s="889" t="s">
        <v>308</v>
      </c>
      <c r="C1" s="889" t="s">
        <v>312</v>
      </c>
      <c r="D1" s="889" t="s">
        <v>313</v>
      </c>
      <c r="E1" s="889" t="s">
        <v>314</v>
      </c>
      <c r="F1" s="889" t="s">
        <v>315</v>
      </c>
      <c r="H1" s="93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1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93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93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938">
        <v>6.535574191220978E-9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2015</v>
      </c>
      <c r="B1" s="1202"/>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3"/>
      <c r="B2" s="1204"/>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3"/>
      <c r="B3" s="1204"/>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1.4929826793249583</v>
      </c>
      <c r="E7" s="861">
        <v>0</v>
      </c>
      <c r="F7" s="862">
        <v>1.4929826793249583</v>
      </c>
      <c r="G7" s="861">
        <v>0</v>
      </c>
      <c r="H7" s="861">
        <v>0</v>
      </c>
      <c r="I7" s="861">
        <v>2.2239599999999999</v>
      </c>
      <c r="J7" s="861">
        <v>0.64249392195859678</v>
      </c>
      <c r="K7" s="861">
        <v>0</v>
      </c>
      <c r="L7" s="861">
        <v>61.818551205946157</v>
      </c>
      <c r="M7" s="861">
        <v>0</v>
      </c>
      <c r="N7" s="861">
        <v>0</v>
      </c>
      <c r="O7" s="861">
        <v>0</v>
      </c>
      <c r="P7" s="861">
        <v>0</v>
      </c>
      <c r="Q7" s="861">
        <v>0</v>
      </c>
      <c r="R7" s="862">
        <v>64.685005127904759</v>
      </c>
      <c r="S7" s="861">
        <v>85.35704737906579</v>
      </c>
      <c r="T7" s="861">
        <v>0</v>
      </c>
      <c r="U7" s="861">
        <v>0</v>
      </c>
      <c r="V7" s="862">
        <v>85.35704737906579</v>
      </c>
      <c r="W7" s="862">
        <v>151.53503518629549</v>
      </c>
      <c r="X7" s="861">
        <v>0</v>
      </c>
      <c r="Y7" s="861">
        <v>12.578701233401519</v>
      </c>
      <c r="Z7" s="861">
        <v>39.271671951616597</v>
      </c>
      <c r="AA7" s="863">
        <v>0</v>
      </c>
      <c r="AB7" s="863">
        <v>0</v>
      </c>
      <c r="AC7" s="862">
        <v>203.38540837131359</v>
      </c>
    </row>
    <row r="8" spans="1:29">
      <c r="A8" s="216" t="s">
        <v>156</v>
      </c>
      <c r="B8" s="217"/>
      <c r="C8" s="864">
        <v>0</v>
      </c>
      <c r="D8" s="864">
        <v>0</v>
      </c>
      <c r="E8" s="864">
        <v>0</v>
      </c>
      <c r="F8" s="865">
        <v>0</v>
      </c>
      <c r="G8" s="864">
        <v>0</v>
      </c>
      <c r="H8" s="864">
        <v>0</v>
      </c>
      <c r="I8" s="864">
        <v>0.76444869622711098</v>
      </c>
      <c r="J8" s="864">
        <v>2.5786619498267627E-3</v>
      </c>
      <c r="K8" s="864">
        <v>0</v>
      </c>
      <c r="L8" s="864">
        <v>11.081875675406158</v>
      </c>
      <c r="M8" s="864">
        <v>0</v>
      </c>
      <c r="N8" s="864">
        <v>0.1040954221070689</v>
      </c>
      <c r="O8" s="864">
        <v>0</v>
      </c>
      <c r="P8" s="864">
        <v>0</v>
      </c>
      <c r="Q8" s="864">
        <v>0</v>
      </c>
      <c r="R8" s="865">
        <v>11.952998455690164</v>
      </c>
      <c r="S8" s="864">
        <v>44.687300704032445</v>
      </c>
      <c r="T8" s="864">
        <v>0</v>
      </c>
      <c r="U8" s="864">
        <v>0</v>
      </c>
      <c r="V8" s="865">
        <v>44.687300704032445</v>
      </c>
      <c r="W8" s="865">
        <v>56.640299159722609</v>
      </c>
      <c r="X8" s="864">
        <v>1.8763489999999998</v>
      </c>
      <c r="Y8" s="864">
        <v>3.8313352907557636</v>
      </c>
      <c r="Z8" s="864">
        <v>43.418521127321455</v>
      </c>
      <c r="AA8" s="866">
        <v>0</v>
      </c>
      <c r="AB8" s="866">
        <v>0</v>
      </c>
      <c r="AC8" s="865">
        <v>105.76650457779984</v>
      </c>
    </row>
    <row r="9" spans="1:29">
      <c r="A9" s="3"/>
      <c r="B9" s="6" t="s">
        <v>157</v>
      </c>
      <c r="C9" s="867">
        <v>0</v>
      </c>
      <c r="D9" s="867">
        <v>0</v>
      </c>
      <c r="E9" s="867">
        <v>0</v>
      </c>
      <c r="F9" s="868">
        <v>0</v>
      </c>
      <c r="G9" s="867">
        <v>0</v>
      </c>
      <c r="H9" s="867">
        <v>0</v>
      </c>
      <c r="I9" s="867">
        <v>0.14846512464753758</v>
      </c>
      <c r="J9" s="867">
        <v>0</v>
      </c>
      <c r="K9" s="867">
        <v>0</v>
      </c>
      <c r="L9" s="867">
        <v>1.9290383250050698</v>
      </c>
      <c r="M9" s="867">
        <v>0</v>
      </c>
      <c r="N9" s="867">
        <v>0</v>
      </c>
      <c r="O9" s="867">
        <v>0</v>
      </c>
      <c r="P9" s="867">
        <v>0</v>
      </c>
      <c r="Q9" s="867">
        <v>0</v>
      </c>
      <c r="R9" s="868">
        <v>2.0775034496526072</v>
      </c>
      <c r="S9" s="867">
        <v>5.0185789356442578</v>
      </c>
      <c r="T9" s="867">
        <v>0</v>
      </c>
      <c r="U9" s="867">
        <v>0</v>
      </c>
      <c r="V9" s="868">
        <v>5.0185789356442578</v>
      </c>
      <c r="W9" s="868">
        <v>7.0960823852968655</v>
      </c>
      <c r="X9" s="867">
        <v>0</v>
      </c>
      <c r="Y9" s="867">
        <v>1.079887619E-3</v>
      </c>
      <c r="Z9" s="867">
        <v>4.4861756235177443</v>
      </c>
      <c r="AA9" s="869">
        <v>0</v>
      </c>
      <c r="AB9" s="869">
        <v>0</v>
      </c>
      <c r="AC9" s="868">
        <v>11.58333789643361</v>
      </c>
    </row>
    <row r="10" spans="1:29">
      <c r="A10" s="3"/>
      <c r="B10" s="6" t="s">
        <v>158</v>
      </c>
      <c r="C10" s="867">
        <v>0</v>
      </c>
      <c r="D10" s="867">
        <v>0</v>
      </c>
      <c r="E10" s="867">
        <v>0</v>
      </c>
      <c r="F10" s="868">
        <v>0</v>
      </c>
      <c r="G10" s="867">
        <v>0</v>
      </c>
      <c r="H10" s="867">
        <v>0</v>
      </c>
      <c r="I10" s="867">
        <v>4.3166764990654351E-4</v>
      </c>
      <c r="J10" s="867">
        <v>0</v>
      </c>
      <c r="K10" s="867">
        <v>0</v>
      </c>
      <c r="L10" s="867">
        <v>0.70245245729807482</v>
      </c>
      <c r="M10" s="867">
        <v>0</v>
      </c>
      <c r="N10" s="867">
        <v>0</v>
      </c>
      <c r="O10" s="867">
        <v>0</v>
      </c>
      <c r="P10" s="867">
        <v>0</v>
      </c>
      <c r="Q10" s="867">
        <v>0</v>
      </c>
      <c r="R10" s="868">
        <v>0.70288412494798136</v>
      </c>
      <c r="S10" s="867">
        <v>6.2827433506276238</v>
      </c>
      <c r="T10" s="867">
        <v>0</v>
      </c>
      <c r="U10" s="867">
        <v>0</v>
      </c>
      <c r="V10" s="868">
        <v>6.2827433506276238</v>
      </c>
      <c r="W10" s="868">
        <v>6.9856274755756047</v>
      </c>
      <c r="X10" s="867">
        <v>0</v>
      </c>
      <c r="Y10" s="867">
        <v>3.9601422399999996E-2</v>
      </c>
      <c r="Z10" s="867">
        <v>3.3716329294821543</v>
      </c>
      <c r="AA10" s="869">
        <v>0</v>
      </c>
      <c r="AB10" s="869">
        <v>0</v>
      </c>
      <c r="AC10" s="868">
        <v>10.396861827457759</v>
      </c>
    </row>
    <row r="11" spans="1:29">
      <c r="A11" s="3"/>
      <c r="B11" s="6" t="s">
        <v>159</v>
      </c>
      <c r="C11" s="867">
        <v>0</v>
      </c>
      <c r="D11" s="867">
        <v>0</v>
      </c>
      <c r="E11" s="867">
        <v>0</v>
      </c>
      <c r="F11" s="868">
        <v>0</v>
      </c>
      <c r="G11" s="867">
        <v>0</v>
      </c>
      <c r="H11" s="867">
        <v>0</v>
      </c>
      <c r="I11" s="867">
        <v>3.1396005940120637E-3</v>
      </c>
      <c r="J11" s="867">
        <v>0</v>
      </c>
      <c r="K11" s="867">
        <v>0</v>
      </c>
      <c r="L11" s="867">
        <v>0.8231353928033357</v>
      </c>
      <c r="M11" s="867">
        <v>0</v>
      </c>
      <c r="N11" s="867">
        <v>0</v>
      </c>
      <c r="O11" s="867">
        <v>0</v>
      </c>
      <c r="P11" s="867">
        <v>0</v>
      </c>
      <c r="Q11" s="867">
        <v>0</v>
      </c>
      <c r="R11" s="868">
        <v>0.82627499339734778</v>
      </c>
      <c r="S11" s="867">
        <v>6.7188938055703122</v>
      </c>
      <c r="T11" s="867">
        <v>0</v>
      </c>
      <c r="U11" s="867">
        <v>0</v>
      </c>
      <c r="V11" s="868">
        <v>6.7188938055703122</v>
      </c>
      <c r="W11" s="868">
        <v>7.5451687989676604</v>
      </c>
      <c r="X11" s="867">
        <v>0</v>
      </c>
      <c r="Y11" s="867">
        <v>3.3213180000000002E-3</v>
      </c>
      <c r="Z11" s="867">
        <v>1.7827661548692171</v>
      </c>
      <c r="AA11" s="869">
        <v>0</v>
      </c>
      <c r="AB11" s="869">
        <v>0</v>
      </c>
      <c r="AC11" s="868">
        <v>9.3312562718368781</v>
      </c>
    </row>
    <row r="12" spans="1:29">
      <c r="A12" s="3"/>
      <c r="B12" s="6" t="s">
        <v>160</v>
      </c>
      <c r="C12" s="867">
        <v>0</v>
      </c>
      <c r="D12" s="867">
        <v>0</v>
      </c>
      <c r="E12" s="867">
        <v>0</v>
      </c>
      <c r="F12" s="868">
        <v>0</v>
      </c>
      <c r="G12" s="867">
        <v>0</v>
      </c>
      <c r="H12" s="867">
        <v>0</v>
      </c>
      <c r="I12" s="867">
        <v>0.2200127233645168</v>
      </c>
      <c r="J12" s="867">
        <v>2.5786619498267627E-3</v>
      </c>
      <c r="K12" s="867">
        <v>0</v>
      </c>
      <c r="L12" s="867">
        <v>4.2853851873412188</v>
      </c>
      <c r="M12" s="867">
        <v>0</v>
      </c>
      <c r="N12" s="867">
        <v>0</v>
      </c>
      <c r="O12" s="867">
        <v>0</v>
      </c>
      <c r="P12" s="867">
        <v>0</v>
      </c>
      <c r="Q12" s="867">
        <v>0</v>
      </c>
      <c r="R12" s="868">
        <v>4.5079765726555623</v>
      </c>
      <c r="S12" s="867">
        <v>13.88867560093936</v>
      </c>
      <c r="T12" s="867">
        <v>0</v>
      </c>
      <c r="U12" s="867">
        <v>0</v>
      </c>
      <c r="V12" s="868">
        <v>13.88867560093936</v>
      </c>
      <c r="W12" s="868">
        <v>18.396652173594923</v>
      </c>
      <c r="X12" s="867">
        <v>0</v>
      </c>
      <c r="Y12" s="867">
        <v>1.6862706843630001E-2</v>
      </c>
      <c r="Z12" s="867">
        <v>16.806113157753899</v>
      </c>
      <c r="AA12" s="869">
        <v>0</v>
      </c>
      <c r="AB12" s="869">
        <v>0</v>
      </c>
      <c r="AC12" s="868">
        <v>35.219628038192454</v>
      </c>
    </row>
    <row r="13" spans="1:29">
      <c r="A13" s="3"/>
      <c r="B13" s="6" t="s">
        <v>161</v>
      </c>
      <c r="C13" s="867">
        <v>0</v>
      </c>
      <c r="D13" s="867">
        <v>0</v>
      </c>
      <c r="E13" s="867">
        <v>0</v>
      </c>
      <c r="F13" s="868">
        <v>0</v>
      </c>
      <c r="G13" s="867">
        <v>0</v>
      </c>
      <c r="H13" s="867">
        <v>0</v>
      </c>
      <c r="I13" s="867">
        <v>0.38523253116241429</v>
      </c>
      <c r="J13" s="867">
        <v>0</v>
      </c>
      <c r="K13" s="867">
        <v>0</v>
      </c>
      <c r="L13" s="867">
        <v>2.3937650608531347</v>
      </c>
      <c r="M13" s="867">
        <v>0</v>
      </c>
      <c r="N13" s="867">
        <v>0</v>
      </c>
      <c r="O13" s="867">
        <v>0</v>
      </c>
      <c r="P13" s="867">
        <v>0</v>
      </c>
      <c r="Q13" s="867">
        <v>0</v>
      </c>
      <c r="R13" s="868">
        <v>2.778997592015549</v>
      </c>
      <c r="S13" s="867">
        <v>8.3695813484690831</v>
      </c>
      <c r="T13" s="867">
        <v>0</v>
      </c>
      <c r="U13" s="867">
        <v>0</v>
      </c>
      <c r="V13" s="868">
        <v>8.3695813484690831</v>
      </c>
      <c r="W13" s="868">
        <v>11.148578940484633</v>
      </c>
      <c r="X13" s="867">
        <v>0</v>
      </c>
      <c r="Y13" s="867">
        <v>1.4485870999999999E-2</v>
      </c>
      <c r="Z13" s="867">
        <v>12.205763032688299</v>
      </c>
      <c r="AA13" s="869">
        <v>0</v>
      </c>
      <c r="AB13" s="869">
        <v>0</v>
      </c>
      <c r="AC13" s="868">
        <v>23.368827844172934</v>
      </c>
    </row>
    <row r="14" spans="1:29">
      <c r="A14" s="218"/>
      <c r="B14" s="219" t="s">
        <v>162</v>
      </c>
      <c r="C14" s="870">
        <v>0</v>
      </c>
      <c r="D14" s="870">
        <v>0</v>
      </c>
      <c r="E14" s="870">
        <v>0</v>
      </c>
      <c r="F14" s="871">
        <v>0</v>
      </c>
      <c r="G14" s="867">
        <v>0</v>
      </c>
      <c r="H14" s="867">
        <v>0</v>
      </c>
      <c r="I14" s="867">
        <v>7.1670488087237742E-3</v>
      </c>
      <c r="J14" s="867">
        <v>0</v>
      </c>
      <c r="K14" s="867">
        <v>0</v>
      </c>
      <c r="L14" s="867">
        <v>0.94809925210532353</v>
      </c>
      <c r="M14" s="867">
        <v>0</v>
      </c>
      <c r="N14" s="867">
        <v>0.1040954221070689</v>
      </c>
      <c r="O14" s="867">
        <v>0</v>
      </c>
      <c r="P14" s="867">
        <v>0</v>
      </c>
      <c r="Q14" s="867">
        <v>0</v>
      </c>
      <c r="R14" s="871">
        <v>1.0593617230211163</v>
      </c>
      <c r="S14" s="867">
        <v>4.4088276627818077</v>
      </c>
      <c r="T14" s="870">
        <v>0</v>
      </c>
      <c r="U14" s="870">
        <v>0</v>
      </c>
      <c r="V14" s="871">
        <v>4.4088276627818077</v>
      </c>
      <c r="W14" s="871">
        <v>5.4681893858029245</v>
      </c>
      <c r="X14" s="867">
        <v>1.8763489999999998</v>
      </c>
      <c r="Y14" s="867">
        <v>3.7559840848931336</v>
      </c>
      <c r="Z14" s="867">
        <v>4.7660702290101398</v>
      </c>
      <c r="AA14" s="872">
        <v>0</v>
      </c>
      <c r="AB14" s="872">
        <v>0</v>
      </c>
      <c r="AC14" s="871">
        <v>15.866592699706198</v>
      </c>
    </row>
    <row r="15" spans="1:29">
      <c r="A15" s="216" t="s">
        <v>163</v>
      </c>
      <c r="B15" s="220"/>
      <c r="C15" s="873">
        <v>0</v>
      </c>
      <c r="D15" s="873">
        <v>0.19343917840000008</v>
      </c>
      <c r="E15" s="873">
        <v>0.16806480000000013</v>
      </c>
      <c r="F15" s="873">
        <v>0.3615039784000002</v>
      </c>
      <c r="G15" s="873">
        <v>0</v>
      </c>
      <c r="H15" s="873">
        <v>0</v>
      </c>
      <c r="I15" s="873">
        <v>2.4200796840300405</v>
      </c>
      <c r="J15" s="873">
        <v>0.18831586442104797</v>
      </c>
      <c r="K15" s="873">
        <v>0</v>
      </c>
      <c r="L15" s="873">
        <v>9.1822405717342122</v>
      </c>
      <c r="M15" s="873">
        <v>0</v>
      </c>
      <c r="N15" s="873">
        <v>0.53652456753156952</v>
      </c>
      <c r="O15" s="873">
        <v>0</v>
      </c>
      <c r="P15" s="873">
        <v>0</v>
      </c>
      <c r="Q15" s="873">
        <v>0</v>
      </c>
      <c r="R15" s="873">
        <v>12.327160687716866</v>
      </c>
      <c r="S15" s="873">
        <v>31.652698741296245</v>
      </c>
      <c r="T15" s="873">
        <v>0</v>
      </c>
      <c r="U15" s="873">
        <v>0</v>
      </c>
      <c r="V15" s="873">
        <v>31.652698741296245</v>
      </c>
      <c r="W15" s="873">
        <v>44.341363407413112</v>
      </c>
      <c r="X15" s="873">
        <v>0</v>
      </c>
      <c r="Y15" s="873">
        <v>8.9791765668511214</v>
      </c>
      <c r="Z15" s="873">
        <v>44.590949286888645</v>
      </c>
      <c r="AA15" s="875">
        <v>0</v>
      </c>
      <c r="AB15" s="875">
        <v>0</v>
      </c>
      <c r="AC15" s="874">
        <v>97.911489261152866</v>
      </c>
    </row>
    <row r="16" spans="1:29">
      <c r="A16" s="5"/>
      <c r="B16" s="6" t="s">
        <v>35</v>
      </c>
      <c r="C16" s="876">
        <v>0</v>
      </c>
      <c r="D16" s="876">
        <v>0</v>
      </c>
      <c r="E16" s="876">
        <v>0</v>
      </c>
      <c r="F16" s="868">
        <v>0</v>
      </c>
      <c r="G16" s="876">
        <v>0</v>
      </c>
      <c r="H16" s="876">
        <v>0</v>
      </c>
      <c r="I16" s="876">
        <v>1.5080999999999998E-3</v>
      </c>
      <c r="J16" s="876">
        <v>0</v>
      </c>
      <c r="K16" s="876">
        <v>0</v>
      </c>
      <c r="L16" s="876">
        <v>6.7768586435859993E-2</v>
      </c>
      <c r="M16" s="876">
        <v>0</v>
      </c>
      <c r="N16" s="876">
        <v>1.8423510000000001E-2</v>
      </c>
      <c r="O16" s="876">
        <v>0</v>
      </c>
      <c r="P16" s="876">
        <v>0</v>
      </c>
      <c r="Q16" s="876">
        <v>0</v>
      </c>
      <c r="R16" s="868">
        <v>8.7700196435859995E-2</v>
      </c>
      <c r="S16" s="876">
        <v>0.33031616162024058</v>
      </c>
      <c r="T16" s="876">
        <v>0</v>
      </c>
      <c r="U16" s="876">
        <v>0</v>
      </c>
      <c r="V16" s="877">
        <v>0.33031616162024058</v>
      </c>
      <c r="W16" s="868">
        <v>0.4180163580561006</v>
      </c>
      <c r="X16" s="876">
        <v>0</v>
      </c>
      <c r="Y16" s="876">
        <v>0</v>
      </c>
      <c r="Z16" s="876">
        <v>0.69052132799999821</v>
      </c>
      <c r="AA16" s="869">
        <v>0</v>
      </c>
      <c r="AB16" s="869">
        <v>0</v>
      </c>
      <c r="AC16" s="868">
        <v>1.1085376860560987</v>
      </c>
    </row>
    <row r="17" spans="1:31">
      <c r="A17" s="5"/>
      <c r="B17" s="6" t="s">
        <v>38</v>
      </c>
      <c r="C17" s="876">
        <v>0</v>
      </c>
      <c r="D17" s="876">
        <v>0</v>
      </c>
      <c r="E17" s="876">
        <v>0.16806480000000013</v>
      </c>
      <c r="F17" s="868">
        <v>0.16806480000000013</v>
      </c>
      <c r="G17" s="876">
        <v>0</v>
      </c>
      <c r="H17" s="876">
        <v>0</v>
      </c>
      <c r="I17" s="876">
        <v>4.187761727E-3</v>
      </c>
      <c r="J17" s="876">
        <v>0</v>
      </c>
      <c r="K17" s="876">
        <v>0</v>
      </c>
      <c r="L17" s="876">
        <v>8.9212057588980015E-2</v>
      </c>
      <c r="M17" s="876">
        <v>0</v>
      </c>
      <c r="N17" s="876">
        <v>0</v>
      </c>
      <c r="O17" s="876">
        <v>0</v>
      </c>
      <c r="P17" s="876">
        <v>0</v>
      </c>
      <c r="Q17" s="876">
        <v>0</v>
      </c>
      <c r="R17" s="868">
        <v>9.3399819315980015E-2</v>
      </c>
      <c r="S17" s="876">
        <v>0.48841661584800011</v>
      </c>
      <c r="T17" s="876">
        <v>0</v>
      </c>
      <c r="U17" s="876">
        <v>0</v>
      </c>
      <c r="V17" s="877">
        <v>0.48841661584800011</v>
      </c>
      <c r="W17" s="868">
        <v>0.74988123516398031</v>
      </c>
      <c r="X17" s="876">
        <v>0</v>
      </c>
      <c r="Y17" s="876">
        <v>0</v>
      </c>
      <c r="Z17" s="876">
        <v>0.33713825760000127</v>
      </c>
      <c r="AA17" s="869">
        <v>0</v>
      </c>
      <c r="AB17" s="869">
        <v>0</v>
      </c>
      <c r="AC17" s="868">
        <v>1.0870194927639816</v>
      </c>
    </row>
    <row r="18" spans="1:31">
      <c r="A18" s="5"/>
      <c r="B18" s="6" t="s">
        <v>36</v>
      </c>
      <c r="C18" s="876">
        <v>0</v>
      </c>
      <c r="D18" s="876">
        <v>0</v>
      </c>
      <c r="E18" s="876">
        <v>0</v>
      </c>
      <c r="F18" s="868">
        <v>0</v>
      </c>
      <c r="G18" s="876">
        <v>0</v>
      </c>
      <c r="H18" s="876">
        <v>0</v>
      </c>
      <c r="I18" s="876">
        <v>6.1138272033187731E-2</v>
      </c>
      <c r="J18" s="876">
        <v>0</v>
      </c>
      <c r="K18" s="876">
        <v>0</v>
      </c>
      <c r="L18" s="876">
        <v>0.72735507723775938</v>
      </c>
      <c r="M18" s="876">
        <v>0</v>
      </c>
      <c r="N18" s="876">
        <v>1.4580914947284787E-2</v>
      </c>
      <c r="O18" s="876">
        <v>0</v>
      </c>
      <c r="P18" s="876">
        <v>0</v>
      </c>
      <c r="Q18" s="876">
        <v>0</v>
      </c>
      <c r="R18" s="868">
        <v>0.80307426421823191</v>
      </c>
      <c r="S18" s="876">
        <v>5.3257075122304656</v>
      </c>
      <c r="T18" s="876">
        <v>0</v>
      </c>
      <c r="U18" s="876">
        <v>0</v>
      </c>
      <c r="V18" s="877">
        <v>5.3257075122304656</v>
      </c>
      <c r="W18" s="868">
        <v>6.1287817764486974</v>
      </c>
      <c r="X18" s="876">
        <v>0</v>
      </c>
      <c r="Y18" s="876">
        <v>8.5157060279999988E-2</v>
      </c>
      <c r="Z18" s="876">
        <v>1.6990864910538126</v>
      </c>
      <c r="AA18" s="869">
        <v>0</v>
      </c>
      <c r="AB18" s="869">
        <v>0</v>
      </c>
      <c r="AC18" s="868">
        <v>7.9130253277825098</v>
      </c>
    </row>
    <row r="19" spans="1:31">
      <c r="A19" s="5"/>
      <c r="B19" s="6" t="s">
        <v>33</v>
      </c>
      <c r="C19" s="876">
        <v>0</v>
      </c>
      <c r="D19" s="876">
        <v>0</v>
      </c>
      <c r="E19" s="876">
        <v>0</v>
      </c>
      <c r="F19" s="868">
        <v>0</v>
      </c>
      <c r="G19" s="876">
        <v>0</v>
      </c>
      <c r="H19" s="876">
        <v>0</v>
      </c>
      <c r="I19" s="876">
        <v>2.1824399900561504</v>
      </c>
      <c r="J19" s="876">
        <v>0.18831586442104797</v>
      </c>
      <c r="K19" s="876">
        <v>0</v>
      </c>
      <c r="L19" s="876">
        <v>7.1568789401385189</v>
      </c>
      <c r="M19" s="876">
        <v>0</v>
      </c>
      <c r="N19" s="876">
        <v>0.20630048569270404</v>
      </c>
      <c r="O19" s="876">
        <v>0</v>
      </c>
      <c r="P19" s="876">
        <v>0</v>
      </c>
      <c r="Q19" s="876">
        <v>0</v>
      </c>
      <c r="R19" s="868">
        <v>9.7339352803084225</v>
      </c>
      <c r="S19" s="876">
        <v>6.441027061450141</v>
      </c>
      <c r="T19" s="876">
        <v>0</v>
      </c>
      <c r="U19" s="876">
        <v>0</v>
      </c>
      <c r="V19" s="877">
        <v>6.441027061450141</v>
      </c>
      <c r="W19" s="868">
        <v>16.174962341758565</v>
      </c>
      <c r="X19" s="876">
        <v>0</v>
      </c>
      <c r="Y19" s="876">
        <v>2.6747031446239999</v>
      </c>
      <c r="Z19" s="876">
        <v>8.5526391024131065</v>
      </c>
      <c r="AA19" s="869">
        <v>0</v>
      </c>
      <c r="AB19" s="869">
        <v>0</v>
      </c>
      <c r="AC19" s="868">
        <v>27.402304588795673</v>
      </c>
    </row>
    <row r="20" spans="1:31">
      <c r="A20" s="5"/>
      <c r="B20" s="6" t="s">
        <v>41</v>
      </c>
      <c r="C20" s="876">
        <v>0</v>
      </c>
      <c r="D20" s="876">
        <v>0</v>
      </c>
      <c r="E20" s="876">
        <v>0</v>
      </c>
      <c r="F20" s="868">
        <v>0</v>
      </c>
      <c r="G20" s="876">
        <v>0</v>
      </c>
      <c r="H20" s="876">
        <v>0</v>
      </c>
      <c r="I20" s="876">
        <v>5.4780452094109207E-2</v>
      </c>
      <c r="J20" s="876">
        <v>0</v>
      </c>
      <c r="K20" s="876">
        <v>0</v>
      </c>
      <c r="L20" s="876">
        <v>0.47861213564064325</v>
      </c>
      <c r="M20" s="876">
        <v>0</v>
      </c>
      <c r="N20" s="876">
        <v>9.0088094799999994E-3</v>
      </c>
      <c r="O20" s="876">
        <v>0</v>
      </c>
      <c r="P20" s="876">
        <v>0</v>
      </c>
      <c r="Q20" s="876">
        <v>0</v>
      </c>
      <c r="R20" s="868">
        <v>0.54240139721475256</v>
      </c>
      <c r="S20" s="876">
        <v>10.262513005960651</v>
      </c>
      <c r="T20" s="876">
        <v>0</v>
      </c>
      <c r="U20" s="876">
        <v>0</v>
      </c>
      <c r="V20" s="877">
        <v>10.262513005960651</v>
      </c>
      <c r="W20" s="868">
        <v>10.804914403175403</v>
      </c>
      <c r="X20" s="876">
        <v>0</v>
      </c>
      <c r="Y20" s="876">
        <v>0.80814495451976265</v>
      </c>
      <c r="Z20" s="876">
        <v>2.1548974499383249</v>
      </c>
      <c r="AA20" s="869">
        <v>0</v>
      </c>
      <c r="AB20" s="869">
        <v>0</v>
      </c>
      <c r="AC20" s="868">
        <v>13.767956807633491</v>
      </c>
    </row>
    <row r="21" spans="1:31">
      <c r="A21" s="5"/>
      <c r="B21" s="6" t="s">
        <v>40</v>
      </c>
      <c r="C21" s="876">
        <v>0</v>
      </c>
      <c r="D21" s="876">
        <v>0</v>
      </c>
      <c r="E21" s="876">
        <v>0</v>
      </c>
      <c r="F21" s="868">
        <v>0</v>
      </c>
      <c r="G21" s="876">
        <v>0</v>
      </c>
      <c r="H21" s="876">
        <v>0</v>
      </c>
      <c r="I21" s="876">
        <v>1.6927820408319288E-2</v>
      </c>
      <c r="J21" s="876">
        <v>0</v>
      </c>
      <c r="K21" s="876">
        <v>0</v>
      </c>
      <c r="L21" s="876">
        <v>0.12557121144127745</v>
      </c>
      <c r="M21" s="876">
        <v>0</v>
      </c>
      <c r="N21" s="876">
        <v>0.20133391732818626</v>
      </c>
      <c r="O21" s="876">
        <v>0</v>
      </c>
      <c r="P21" s="876">
        <v>0</v>
      </c>
      <c r="Q21" s="876">
        <v>0</v>
      </c>
      <c r="R21" s="868">
        <v>0.34383294917778295</v>
      </c>
      <c r="S21" s="876">
        <v>2.1181464164658594</v>
      </c>
      <c r="T21" s="876">
        <v>0</v>
      </c>
      <c r="U21" s="876">
        <v>0</v>
      </c>
      <c r="V21" s="877">
        <v>2.1181464164658594</v>
      </c>
      <c r="W21" s="868">
        <v>2.4619793656436424</v>
      </c>
      <c r="X21" s="876">
        <v>0</v>
      </c>
      <c r="Y21" s="876">
        <v>1.2393E-2</v>
      </c>
      <c r="Z21" s="876">
        <v>6.1661793012046822</v>
      </c>
      <c r="AA21" s="869">
        <v>0</v>
      </c>
      <c r="AB21" s="869">
        <v>0</v>
      </c>
      <c r="AC21" s="868">
        <v>8.6405516668483244</v>
      </c>
    </row>
    <row r="22" spans="1:31">
      <c r="A22" s="5"/>
      <c r="B22" s="6" t="s">
        <v>37</v>
      </c>
      <c r="C22" s="876">
        <v>0</v>
      </c>
      <c r="D22" s="876">
        <v>3.3090000000000619E-3</v>
      </c>
      <c r="E22" s="876">
        <v>0</v>
      </c>
      <c r="F22" s="868">
        <v>3.3090000000000619E-3</v>
      </c>
      <c r="G22" s="876">
        <v>0</v>
      </c>
      <c r="H22" s="876">
        <v>0</v>
      </c>
      <c r="I22" s="876">
        <v>6.0345343735897602E-2</v>
      </c>
      <c r="J22" s="876">
        <v>0</v>
      </c>
      <c r="K22" s="876">
        <v>0</v>
      </c>
      <c r="L22" s="876">
        <v>0.38076017370710402</v>
      </c>
      <c r="M22" s="876">
        <v>0</v>
      </c>
      <c r="N22" s="876">
        <v>8.2628930083394669E-2</v>
      </c>
      <c r="O22" s="876">
        <v>0</v>
      </c>
      <c r="P22" s="876">
        <v>0</v>
      </c>
      <c r="Q22" s="876">
        <v>0</v>
      </c>
      <c r="R22" s="868">
        <v>0.52373444752639631</v>
      </c>
      <c r="S22" s="876">
        <v>0.70477190120100808</v>
      </c>
      <c r="T22" s="876">
        <v>0</v>
      </c>
      <c r="U22" s="876">
        <v>0</v>
      </c>
      <c r="V22" s="877">
        <v>0.70477190120100808</v>
      </c>
      <c r="W22" s="868">
        <v>1.2318153487274044</v>
      </c>
      <c r="X22" s="876">
        <v>0</v>
      </c>
      <c r="Y22" s="876">
        <v>0</v>
      </c>
      <c r="Z22" s="876">
        <v>2.8401158445797829</v>
      </c>
      <c r="AA22" s="869">
        <v>0</v>
      </c>
      <c r="AB22" s="869">
        <v>0</v>
      </c>
      <c r="AC22" s="868">
        <v>4.0719311933071873</v>
      </c>
    </row>
    <row r="23" spans="1:31">
      <c r="A23" s="5"/>
      <c r="B23" s="6" t="s">
        <v>39</v>
      </c>
      <c r="C23" s="876">
        <v>0</v>
      </c>
      <c r="D23" s="876">
        <v>0.19013017840000002</v>
      </c>
      <c r="E23" s="876">
        <v>0</v>
      </c>
      <c r="F23" s="868">
        <v>0.19013017840000002</v>
      </c>
      <c r="G23" s="876">
        <v>0</v>
      </c>
      <c r="H23" s="876">
        <v>0</v>
      </c>
      <c r="I23" s="876">
        <v>1.2180430617196099E-2</v>
      </c>
      <c r="J23" s="876">
        <v>0</v>
      </c>
      <c r="K23" s="876">
        <v>0</v>
      </c>
      <c r="L23" s="876">
        <v>7.1380926332698158E-2</v>
      </c>
      <c r="M23" s="876">
        <v>0</v>
      </c>
      <c r="N23" s="876">
        <v>0</v>
      </c>
      <c r="O23" s="876">
        <v>0</v>
      </c>
      <c r="P23" s="876">
        <v>0</v>
      </c>
      <c r="Q23" s="876">
        <v>0</v>
      </c>
      <c r="R23" s="868">
        <v>8.356135694989425E-2</v>
      </c>
      <c r="S23" s="876">
        <v>0.37071793972367972</v>
      </c>
      <c r="T23" s="876">
        <v>0</v>
      </c>
      <c r="U23" s="876">
        <v>0</v>
      </c>
      <c r="V23" s="877">
        <v>0.37071793972367972</v>
      </c>
      <c r="W23" s="868">
        <v>0.64440947507357405</v>
      </c>
      <c r="X23" s="876">
        <v>0</v>
      </c>
      <c r="Y23" s="876">
        <v>5.1696862424513581</v>
      </c>
      <c r="Z23" s="876">
        <v>11.066638674201531</v>
      </c>
      <c r="AA23" s="869">
        <v>0</v>
      </c>
      <c r="AB23" s="869">
        <v>0</v>
      </c>
      <c r="AC23" s="868">
        <v>16.880734391726463</v>
      </c>
    </row>
    <row r="24" spans="1:31">
      <c r="A24" s="221"/>
      <c r="B24" s="219" t="s">
        <v>34</v>
      </c>
      <c r="C24" s="876">
        <v>0</v>
      </c>
      <c r="D24" s="876">
        <v>0</v>
      </c>
      <c r="E24" s="876">
        <v>0</v>
      </c>
      <c r="F24" s="868">
        <v>0</v>
      </c>
      <c r="G24" s="876">
        <v>0</v>
      </c>
      <c r="H24" s="876">
        <v>0</v>
      </c>
      <c r="I24" s="876">
        <v>2.6571513358180001E-2</v>
      </c>
      <c r="J24" s="876">
        <v>0</v>
      </c>
      <c r="K24" s="876">
        <v>0</v>
      </c>
      <c r="L24" s="876">
        <v>8.4701463211367983E-2</v>
      </c>
      <c r="M24" s="876">
        <v>0</v>
      </c>
      <c r="N24" s="876">
        <v>4.2479999999998075E-3</v>
      </c>
      <c r="O24" s="876">
        <v>0</v>
      </c>
      <c r="P24" s="876">
        <v>0</v>
      </c>
      <c r="Q24" s="876">
        <v>0</v>
      </c>
      <c r="R24" s="868">
        <v>0.1155209765695478</v>
      </c>
      <c r="S24" s="876">
        <v>5.6110821267961981</v>
      </c>
      <c r="T24" s="876">
        <v>0</v>
      </c>
      <c r="U24" s="876">
        <v>0</v>
      </c>
      <c r="V24" s="877">
        <v>5.6110821267961981</v>
      </c>
      <c r="W24" s="868">
        <v>5.7266031033657461</v>
      </c>
      <c r="X24" s="876">
        <v>0</v>
      </c>
      <c r="Y24" s="876">
        <v>0.22909216497599999</v>
      </c>
      <c r="Z24" s="876">
        <v>11.083732837897401</v>
      </c>
      <c r="AA24" s="869">
        <v>0</v>
      </c>
      <c r="AB24" s="869">
        <v>0</v>
      </c>
      <c r="AC24" s="868">
        <v>17.039428106239146</v>
      </c>
    </row>
    <row r="25" spans="1:31">
      <c r="A25" s="5" t="s">
        <v>659</v>
      </c>
      <c r="B25" s="128"/>
      <c r="C25" s="873">
        <v>0</v>
      </c>
      <c r="D25" s="873">
        <v>0.36754838452159339</v>
      </c>
      <c r="E25" s="873">
        <v>0</v>
      </c>
      <c r="F25" s="874">
        <v>0.36754838452159339</v>
      </c>
      <c r="G25" s="864">
        <v>0</v>
      </c>
      <c r="H25" s="864">
        <v>0</v>
      </c>
      <c r="I25" s="864">
        <v>6.5833912664878758E-2</v>
      </c>
      <c r="J25" s="864">
        <v>9.8111159713707263E-2</v>
      </c>
      <c r="K25" s="864">
        <v>0</v>
      </c>
      <c r="L25" s="864">
        <v>9.137929313167712</v>
      </c>
      <c r="M25" s="864">
        <v>0</v>
      </c>
      <c r="N25" s="864">
        <v>0.19403341828278278</v>
      </c>
      <c r="O25" s="864">
        <v>0</v>
      </c>
      <c r="P25" s="864">
        <v>0</v>
      </c>
      <c r="Q25" s="864">
        <v>0</v>
      </c>
      <c r="R25" s="874">
        <v>9.4959078038290805</v>
      </c>
      <c r="S25" s="864">
        <v>15.447935030220744</v>
      </c>
      <c r="T25" s="873">
        <v>0</v>
      </c>
      <c r="U25" s="873">
        <v>0</v>
      </c>
      <c r="V25" s="874">
        <v>15.447935030220744</v>
      </c>
      <c r="W25" s="874">
        <v>25.311391218571419</v>
      </c>
      <c r="X25" s="873">
        <v>0</v>
      </c>
      <c r="Y25" s="864">
        <v>3.5250777025727995</v>
      </c>
      <c r="Z25" s="866">
        <v>-2.0610465890427507</v>
      </c>
      <c r="AA25" s="875">
        <v>0</v>
      </c>
      <c r="AB25" s="875">
        <v>0</v>
      </c>
      <c r="AC25" s="865">
        <v>26.775422332101467</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2.553071552008769</v>
      </c>
      <c r="AA26" s="883"/>
      <c r="AB26" s="880"/>
      <c r="AC26" s="881"/>
      <c r="AE26" s="38"/>
    </row>
    <row r="27" spans="1:31">
      <c r="A27" s="3"/>
      <c r="B27" s="6" t="s">
        <v>164</v>
      </c>
      <c r="C27" s="867">
        <v>0</v>
      </c>
      <c r="D27" s="867">
        <v>6.4476425012852528E-2</v>
      </c>
      <c r="E27" s="867">
        <v>0</v>
      </c>
      <c r="F27" s="868">
        <v>6.4476425012852528E-2</v>
      </c>
      <c r="G27" s="867">
        <v>0</v>
      </c>
      <c r="H27" s="867">
        <v>0</v>
      </c>
      <c r="I27" s="867">
        <v>4.4539155351236495E-2</v>
      </c>
      <c r="J27" s="867">
        <v>6.2586324918953331E-4</v>
      </c>
      <c r="K27" s="867">
        <v>0</v>
      </c>
      <c r="L27" s="867">
        <v>5.5609339446082107</v>
      </c>
      <c r="M27" s="867">
        <v>0</v>
      </c>
      <c r="N27" s="867">
        <v>0</v>
      </c>
      <c r="O27" s="867">
        <v>0</v>
      </c>
      <c r="P27" s="867">
        <v>0</v>
      </c>
      <c r="Q27" s="867">
        <v>0</v>
      </c>
      <c r="R27" s="868">
        <v>5.6060989632086367</v>
      </c>
      <c r="S27" s="867">
        <v>0.22691084842530401</v>
      </c>
      <c r="T27" s="867">
        <v>0</v>
      </c>
      <c r="U27" s="867">
        <v>0</v>
      </c>
      <c r="V27" s="868">
        <v>0.22691084842530401</v>
      </c>
      <c r="W27" s="868">
        <v>5.8974862366467935</v>
      </c>
      <c r="X27" s="867">
        <v>0</v>
      </c>
      <c r="Y27" s="867">
        <v>1.2572373373727999</v>
      </c>
      <c r="Z27" s="867">
        <v>2.496900161019096</v>
      </c>
      <c r="AA27" s="869">
        <v>0</v>
      </c>
      <c r="AB27" s="869">
        <v>0</v>
      </c>
      <c r="AC27" s="868">
        <v>9.6516237350386902</v>
      </c>
    </row>
    <row r="28" spans="1:31">
      <c r="A28" s="3"/>
      <c r="B28" s="6" t="s">
        <v>165</v>
      </c>
      <c r="C28" s="867">
        <v>0</v>
      </c>
      <c r="D28" s="867">
        <v>2.8369394181579707E-4</v>
      </c>
      <c r="E28" s="867">
        <v>0</v>
      </c>
      <c r="F28" s="868">
        <v>2.8369394181579707E-4</v>
      </c>
      <c r="G28" s="867">
        <v>0</v>
      </c>
      <c r="H28" s="867">
        <v>0</v>
      </c>
      <c r="I28" s="867">
        <v>1.6188867916591078E-3</v>
      </c>
      <c r="J28" s="867">
        <v>4.9088732644940599E-4</v>
      </c>
      <c r="K28" s="867">
        <v>0</v>
      </c>
      <c r="L28" s="867">
        <v>1.9959635946355427</v>
      </c>
      <c r="M28" s="867">
        <v>0</v>
      </c>
      <c r="N28" s="867">
        <v>0</v>
      </c>
      <c r="O28" s="867">
        <v>0</v>
      </c>
      <c r="P28" s="867">
        <v>0</v>
      </c>
      <c r="Q28" s="867">
        <v>0</v>
      </c>
      <c r="R28" s="868">
        <v>1.9980733687536512</v>
      </c>
      <c r="S28" s="867">
        <v>0.2468938253688</v>
      </c>
      <c r="T28" s="867">
        <v>0</v>
      </c>
      <c r="U28" s="867">
        <v>0</v>
      </c>
      <c r="V28" s="868">
        <v>0.2468938253688</v>
      </c>
      <c r="W28" s="868">
        <v>2.245250888064267</v>
      </c>
      <c r="X28" s="867">
        <v>0</v>
      </c>
      <c r="Y28" s="867">
        <v>1.8958881773317997</v>
      </c>
      <c r="Z28" s="867">
        <v>6.7123015838887856E-2</v>
      </c>
      <c r="AA28" s="869">
        <v>0</v>
      </c>
      <c r="AB28" s="869">
        <v>0</v>
      </c>
      <c r="AC28" s="868">
        <v>4.2082620812349543</v>
      </c>
    </row>
    <row r="29" spans="1:31">
      <c r="A29" s="3"/>
      <c r="B29" s="6" t="s">
        <v>166</v>
      </c>
      <c r="C29" s="867">
        <v>0</v>
      </c>
      <c r="D29" s="867">
        <v>0.30278826556692506</v>
      </c>
      <c r="E29" s="867">
        <v>0</v>
      </c>
      <c r="F29" s="868">
        <v>0.30278826556692506</v>
      </c>
      <c r="G29" s="867">
        <v>0</v>
      </c>
      <c r="H29" s="867">
        <v>0</v>
      </c>
      <c r="I29" s="867">
        <v>1.1374946424292169E-2</v>
      </c>
      <c r="J29" s="867">
        <v>1.0973361729954556E-3</v>
      </c>
      <c r="K29" s="867">
        <v>0</v>
      </c>
      <c r="L29" s="867">
        <v>0.61130203309669995</v>
      </c>
      <c r="M29" s="867">
        <v>0</v>
      </c>
      <c r="N29" s="867">
        <v>0.18866219838654458</v>
      </c>
      <c r="O29" s="867">
        <v>0</v>
      </c>
      <c r="P29" s="867">
        <v>0</v>
      </c>
      <c r="Q29" s="867">
        <v>0</v>
      </c>
      <c r="R29" s="868">
        <v>0.81243651408053208</v>
      </c>
      <c r="S29" s="867">
        <v>14.97413035642664</v>
      </c>
      <c r="T29" s="867">
        <v>0</v>
      </c>
      <c r="U29" s="867">
        <v>0</v>
      </c>
      <c r="V29" s="868">
        <v>14.97413035642664</v>
      </c>
      <c r="W29" s="868">
        <v>16.089355136074097</v>
      </c>
      <c r="X29" s="867">
        <v>0</v>
      </c>
      <c r="Y29" s="867">
        <v>0.37184570850819992</v>
      </c>
      <c r="Z29" s="867">
        <v>-5.6729383426217348</v>
      </c>
      <c r="AA29" s="869">
        <v>0</v>
      </c>
      <c r="AB29" s="869">
        <v>0</v>
      </c>
      <c r="AC29" s="868">
        <v>10.788262501960563</v>
      </c>
    </row>
    <row r="30" spans="1:31">
      <c r="A30" s="3"/>
      <c r="B30" s="6" t="s">
        <v>167</v>
      </c>
      <c r="C30" s="867">
        <v>0</v>
      </c>
      <c r="D30" s="867">
        <v>0</v>
      </c>
      <c r="E30" s="867">
        <v>0</v>
      </c>
      <c r="F30" s="868">
        <v>0</v>
      </c>
      <c r="G30" s="867">
        <v>0</v>
      </c>
      <c r="H30" s="867">
        <v>0</v>
      </c>
      <c r="I30" s="867">
        <v>8.2991664105939913E-3</v>
      </c>
      <c r="J30" s="867">
        <v>6.1016075413733821E-3</v>
      </c>
      <c r="K30" s="867">
        <v>0</v>
      </c>
      <c r="L30" s="867">
        <v>0.95949955109545859</v>
      </c>
      <c r="M30" s="867">
        <v>0</v>
      </c>
      <c r="N30" s="867">
        <v>5.3712198962382182E-3</v>
      </c>
      <c r="O30" s="867">
        <v>0</v>
      </c>
      <c r="P30" s="867">
        <v>0</v>
      </c>
      <c r="Q30" s="867">
        <v>0</v>
      </c>
      <c r="R30" s="868">
        <v>0.9792715449436642</v>
      </c>
      <c r="S30" s="867">
        <v>0</v>
      </c>
      <c r="T30" s="867">
        <v>0</v>
      </c>
      <c r="U30" s="867">
        <v>0</v>
      </c>
      <c r="V30" s="868">
        <v>0</v>
      </c>
      <c r="W30" s="868">
        <v>0.9792715449436642</v>
      </c>
      <c r="X30" s="867">
        <v>0</v>
      </c>
      <c r="Y30" s="867">
        <v>1.0647935999999999E-4</v>
      </c>
      <c r="Z30" s="867">
        <v>1.0478685767209999</v>
      </c>
      <c r="AA30" s="869">
        <v>0</v>
      </c>
      <c r="AB30" s="869">
        <v>0</v>
      </c>
      <c r="AC30" s="868">
        <v>2.0272466010246641</v>
      </c>
    </row>
    <row r="31" spans="1:31">
      <c r="A31" s="3"/>
      <c r="B31" s="6" t="s">
        <v>168</v>
      </c>
      <c r="C31" s="867">
        <v>0</v>
      </c>
      <c r="D31" s="867">
        <v>0</v>
      </c>
      <c r="E31" s="867">
        <v>0</v>
      </c>
      <c r="F31" s="868">
        <v>0</v>
      </c>
      <c r="G31" s="867">
        <v>0</v>
      </c>
      <c r="H31" s="867">
        <v>0</v>
      </c>
      <c r="I31" s="867">
        <v>1.7576870969999998E-6</v>
      </c>
      <c r="J31" s="867">
        <v>8.6829831279295638E-2</v>
      </c>
      <c r="K31" s="867">
        <v>0</v>
      </c>
      <c r="L31" s="867">
        <v>6.8157765275399856E-3</v>
      </c>
      <c r="M31" s="867">
        <v>0</v>
      </c>
      <c r="N31" s="867">
        <v>0</v>
      </c>
      <c r="O31" s="867">
        <v>0</v>
      </c>
      <c r="P31" s="867">
        <v>0</v>
      </c>
      <c r="Q31" s="867">
        <v>0</v>
      </c>
      <c r="R31" s="868">
        <v>9.3647365493932613E-2</v>
      </c>
      <c r="S31" s="867">
        <v>0</v>
      </c>
      <c r="T31" s="867">
        <v>0</v>
      </c>
      <c r="U31" s="867">
        <v>0</v>
      </c>
      <c r="V31" s="868">
        <v>0</v>
      </c>
      <c r="W31" s="868">
        <v>9.3647365493932613E-2</v>
      </c>
      <c r="X31" s="867">
        <v>0</v>
      </c>
      <c r="Y31" s="867">
        <v>0</v>
      </c>
      <c r="Z31" s="867">
        <v>0</v>
      </c>
      <c r="AA31" s="869">
        <v>0</v>
      </c>
      <c r="AB31" s="869">
        <v>0</v>
      </c>
      <c r="AC31" s="868">
        <v>9.3647365493932613E-2</v>
      </c>
    </row>
    <row r="32" spans="1:31">
      <c r="A32" s="4"/>
      <c r="B32" s="127" t="s">
        <v>169</v>
      </c>
      <c r="C32" s="885">
        <v>0</v>
      </c>
      <c r="D32" s="885">
        <v>0</v>
      </c>
      <c r="E32" s="885">
        <v>0</v>
      </c>
      <c r="F32" s="884">
        <v>0</v>
      </c>
      <c r="G32" s="885">
        <v>0</v>
      </c>
      <c r="H32" s="885">
        <v>0</v>
      </c>
      <c r="I32" s="885">
        <v>0</v>
      </c>
      <c r="J32" s="885">
        <v>2.96563414440384E-3</v>
      </c>
      <c r="K32" s="885">
        <v>0</v>
      </c>
      <c r="L32" s="885">
        <v>3.4144132042593003E-3</v>
      </c>
      <c r="M32" s="885">
        <v>0</v>
      </c>
      <c r="N32" s="885">
        <v>0</v>
      </c>
      <c r="O32" s="885">
        <v>0</v>
      </c>
      <c r="P32" s="885">
        <v>0</v>
      </c>
      <c r="Q32" s="885">
        <v>0</v>
      </c>
      <c r="R32" s="884">
        <v>6.3800473486631398E-3</v>
      </c>
      <c r="S32" s="885">
        <v>0</v>
      </c>
      <c r="T32" s="885">
        <v>0</v>
      </c>
      <c r="U32" s="885">
        <v>0</v>
      </c>
      <c r="V32" s="884">
        <v>0</v>
      </c>
      <c r="W32" s="884">
        <v>6.3800473486631398E-3</v>
      </c>
      <c r="X32" s="885">
        <v>0</v>
      </c>
      <c r="Y32" s="885">
        <v>0</v>
      </c>
      <c r="Z32" s="885">
        <v>0</v>
      </c>
      <c r="AA32" s="886">
        <v>0</v>
      </c>
      <c r="AB32" s="886">
        <v>0</v>
      </c>
      <c r="AC32" s="884">
        <v>6.3800473486631398E-3</v>
      </c>
    </row>
    <row r="35" spans="5:8">
      <c r="E35" s="928"/>
      <c r="F35" s="928"/>
      <c r="G35" s="928"/>
      <c r="H35" s="928"/>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474</v>
      </c>
      <c r="B2" s="1208"/>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09" t="s">
        <v>194</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1015.564</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1015.564</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0.20639694588001592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209.60930794569248</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09" t="s">
        <v>155</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24289.362046999999</v>
      </c>
      <c r="C5" s="17">
        <f>IF(ISERROR('Eigen informatie GS &amp; warmtenet'!B57),0,'Eigen informatie GS &amp; warmtenet'!B57)</f>
        <v>0</v>
      </c>
      <c r="D5" s="30">
        <f>(SUM(HH_hh_gas_kWh,HH_rest_gas_kWh)/1000)*0.902</f>
        <v>51658.764466804001</v>
      </c>
      <c r="E5" s="17">
        <f>B46*B57</f>
        <v>5630.1010918827033</v>
      </c>
      <c r="F5" s="17">
        <f>B51*B62</f>
        <v>31990.45896847621</v>
      </c>
      <c r="G5" s="18"/>
      <c r="H5" s="17"/>
      <c r="I5" s="17"/>
      <c r="J5" s="17">
        <f>B50*B61+C50*C61</f>
        <v>0</v>
      </c>
      <c r="K5" s="17"/>
      <c r="L5" s="17"/>
      <c r="M5" s="17"/>
      <c r="N5" s="17">
        <f>B48*B59+C48*C59</f>
        <v>7077.4783367069385</v>
      </c>
      <c r="O5" s="17">
        <f>B69*B70*B71</f>
        <v>154.77000000000001</v>
      </c>
      <c r="P5" s="17">
        <f>B77*B78*B79/1000-B77*B78*B79/1000/B80</f>
        <v>476.66666666666663</v>
      </c>
    </row>
    <row r="6" spans="1:16">
      <c r="A6" s="16" t="s">
        <v>624</v>
      </c>
      <c r="B6" s="788">
        <f>kWh_PV_kleiner_dan_10kW</f>
        <v>2775.7431091832364</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27065.105156183236</v>
      </c>
      <c r="C8" s="21">
        <f>C5</f>
        <v>0</v>
      </c>
      <c r="D8" s="21">
        <f>D5</f>
        <v>51658.764466804001</v>
      </c>
      <c r="E8" s="21">
        <f>E5</f>
        <v>5630.1010918827033</v>
      </c>
      <c r="F8" s="21">
        <f>F5</f>
        <v>31990.45896847621</v>
      </c>
      <c r="G8" s="21"/>
      <c r="H8" s="21"/>
      <c r="I8" s="21"/>
      <c r="J8" s="21">
        <f>J5</f>
        <v>0</v>
      </c>
      <c r="K8" s="21"/>
      <c r="L8" s="21">
        <f>L5</f>
        <v>0</v>
      </c>
      <c r="M8" s="21">
        <f>M5</f>
        <v>0</v>
      </c>
      <c r="N8" s="21">
        <f>N5</f>
        <v>7077.4783367069385</v>
      </c>
      <c r="O8" s="21">
        <f>O5</f>
        <v>154.77000000000001</v>
      </c>
      <c r="P8" s="21">
        <f>P5</f>
        <v>476.66666666666663</v>
      </c>
    </row>
    <row r="9" spans="1:16">
      <c r="B9" s="19"/>
      <c r="C9" s="19"/>
      <c r="D9" s="258"/>
      <c r="E9" s="19"/>
      <c r="F9" s="19"/>
      <c r="G9" s="19"/>
      <c r="H9" s="19"/>
      <c r="I9" s="19"/>
      <c r="J9" s="19"/>
      <c r="K9" s="19"/>
      <c r="L9" s="19"/>
      <c r="M9" s="19"/>
      <c r="N9" s="19"/>
      <c r="O9" s="19"/>
      <c r="P9" s="19"/>
    </row>
    <row r="10" spans="1:16">
      <c r="A10" s="24" t="s">
        <v>214</v>
      </c>
      <c r="B10" s="25">
        <f ca="1">'EF ele_warmte'!B12</f>
        <v>0.20639694588001592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5586.155044157691</v>
      </c>
      <c r="C12" s="23">
        <f ca="1">C10*C8</f>
        <v>0</v>
      </c>
      <c r="D12" s="23">
        <f>D8*D10</f>
        <v>10435.07042229441</v>
      </c>
      <c r="E12" s="23">
        <f>E10*E8</f>
        <v>1278.0329478573738</v>
      </c>
      <c r="F12" s="23">
        <f>F10*F8</f>
        <v>8541.4525445831496</v>
      </c>
      <c r="G12" s="23"/>
      <c r="H12" s="23"/>
      <c r="I12" s="23"/>
      <c r="J12" s="23">
        <f>J10*J8</f>
        <v>0</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1691</v>
      </c>
      <c r="C18" s="166" t="s">
        <v>111</v>
      </c>
      <c r="D18" s="228"/>
      <c r="E18" s="15"/>
    </row>
    <row r="19" spans="1:7">
      <c r="A19" s="171" t="s">
        <v>72</v>
      </c>
      <c r="B19" s="37">
        <f>aantalw2001_ander</f>
        <v>2</v>
      </c>
      <c r="C19" s="166" t="s">
        <v>111</v>
      </c>
      <c r="D19" s="229"/>
      <c r="E19" s="15"/>
    </row>
    <row r="20" spans="1:7">
      <c r="A20" s="171" t="s">
        <v>73</v>
      </c>
      <c r="B20" s="37">
        <f>aantalw2001_propaan</f>
        <v>122</v>
      </c>
      <c r="C20" s="167">
        <f>IF(ISERROR(B20/SUM($B$20,$B$21,$B$22)*100),0,B20/SUM($B$20,$B$21,$B$22)*100)</f>
        <v>17.706821480406386</v>
      </c>
      <c r="D20" s="229"/>
      <c r="E20" s="15"/>
    </row>
    <row r="21" spans="1:7">
      <c r="A21" s="171" t="s">
        <v>74</v>
      </c>
      <c r="B21" s="37">
        <f>aantalw2001_elektriciteit</f>
        <v>513</v>
      </c>
      <c r="C21" s="167">
        <f>IF(ISERROR(B21/SUM($B$20,$B$21,$B$22)*100),0,B21/SUM($B$20,$B$21,$B$22)*100)</f>
        <v>74.45573294629898</v>
      </c>
      <c r="D21" s="229"/>
      <c r="E21" s="15"/>
    </row>
    <row r="22" spans="1:7">
      <c r="A22" s="171" t="s">
        <v>75</v>
      </c>
      <c r="B22" s="37">
        <f>aantalw2001_hout</f>
        <v>54</v>
      </c>
      <c r="C22" s="167">
        <f>IF(ISERROR(B22/SUM($B$20,$B$21,$B$22)*100),0,B22/SUM($B$20,$B$21,$B$22)*100)</f>
        <v>7.8374455732946293</v>
      </c>
      <c r="D22" s="229"/>
      <c r="E22" s="15"/>
    </row>
    <row r="23" spans="1:7">
      <c r="A23" s="171" t="s">
        <v>76</v>
      </c>
      <c r="B23" s="37">
        <f>aantalw2001_niet_gespec</f>
        <v>63</v>
      </c>
      <c r="C23" s="166" t="s">
        <v>111</v>
      </c>
      <c r="D23" s="228"/>
      <c r="E23" s="15"/>
    </row>
    <row r="24" spans="1:7">
      <c r="A24" s="171" t="s">
        <v>77</v>
      </c>
      <c r="B24" s="37">
        <f>aantalw2001_steenkool</f>
        <v>128</v>
      </c>
      <c r="C24" s="166" t="s">
        <v>111</v>
      </c>
      <c r="D24" s="229"/>
      <c r="E24" s="15"/>
    </row>
    <row r="25" spans="1:7">
      <c r="A25" s="171" t="s">
        <v>78</v>
      </c>
      <c r="B25" s="37">
        <f>aantalw2001_stookolie</f>
        <v>2909</v>
      </c>
      <c r="C25" s="166" t="s">
        <v>111</v>
      </c>
      <c r="D25" s="228"/>
      <c r="E25" s="52"/>
    </row>
    <row r="26" spans="1:7">
      <c r="A26" s="171" t="s">
        <v>79</v>
      </c>
      <c r="B26" s="37">
        <f>aantalw2001_WP</f>
        <v>6</v>
      </c>
      <c r="C26" s="166" t="s">
        <v>111</v>
      </c>
      <c r="D26" s="228"/>
      <c r="E26" s="15"/>
    </row>
    <row r="27" spans="1:7" s="15" customFormat="1">
      <c r="A27" s="171"/>
      <c r="B27" s="29"/>
      <c r="C27" s="36"/>
      <c r="D27" s="228"/>
    </row>
    <row r="28" spans="1:7" s="15" customFormat="1">
      <c r="A28" s="230" t="s">
        <v>698</v>
      </c>
      <c r="B28" s="37">
        <f>aantalHuishoudens2011</f>
        <v>6208</v>
      </c>
      <c r="C28" s="36"/>
      <c r="D28" s="228"/>
    </row>
    <row r="29" spans="1:7" s="15" customFormat="1">
      <c r="A29" s="230" t="s">
        <v>699</v>
      </c>
      <c r="B29" s="37">
        <f>SUM(HH_hh_gas_aantal,HH_rest_gas_aantal)</f>
        <v>3463</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3463</v>
      </c>
      <c r="C32" s="167">
        <f>IF(ISERROR(B32/SUM($B$32,$B$34,$B$35,$B$36,$B$38,$B$39)*100),0,B32/SUM($B$32,$B$34,$B$35,$B$36,$B$38,$B$39)*100)</f>
        <v>56.00841015688178</v>
      </c>
      <c r="D32" s="233"/>
      <c r="G32" s="15"/>
    </row>
    <row r="33" spans="1:7">
      <c r="A33" s="171" t="s">
        <v>72</v>
      </c>
      <c r="B33" s="34" t="s">
        <v>111</v>
      </c>
      <c r="C33" s="167"/>
      <c r="D33" s="233"/>
      <c r="G33" s="15"/>
    </row>
    <row r="34" spans="1:7">
      <c r="A34" s="171" t="s">
        <v>73</v>
      </c>
      <c r="B34" s="33">
        <f>IF((($B$28-$B$32-$B$39-$B$77-$B$38)*C20/100)&lt;0,0,($B$28-$B$32-$B$39-$B$77-$B$38)*C20/100)</f>
        <v>248.922496371553</v>
      </c>
      <c r="C34" s="167">
        <f>IF(ISERROR(B34/SUM($B$32,$B$34,$B$35,$B$36,$B$38,$B$39)*100),0,B34/SUM($B$32,$B$34,$B$35,$B$36,$B$38,$B$39)*100)</f>
        <v>4.02591778055237</v>
      </c>
      <c r="D34" s="233"/>
      <c r="G34" s="15"/>
    </row>
    <row r="35" spans="1:7">
      <c r="A35" s="171" t="s">
        <v>74</v>
      </c>
      <c r="B35" s="33">
        <f>IF((($B$28-$B$32-$B$39-$B$77-$B$38)*C21/100)&lt;0,0,($B$28-$B$32-$B$39-$B$77-$B$38)*C21/100)</f>
        <v>1046.6986937590709</v>
      </c>
      <c r="C35" s="167">
        <f>IF(ISERROR(B35/SUM($B$32,$B$34,$B$35,$B$36,$B$38,$B$39)*100),0,B35/SUM($B$32,$B$34,$B$35,$B$36,$B$38,$B$39)*100)</f>
        <v>16.92865427396201</v>
      </c>
      <c r="D35" s="233"/>
      <c r="G35" s="15"/>
    </row>
    <row r="36" spans="1:7">
      <c r="A36" s="171" t="s">
        <v>75</v>
      </c>
      <c r="B36" s="33">
        <f>IF((($B$28-$B$32-$B$39-$B$77-$B$38)*C22/100)&lt;0,0,($B$28-$B$32-$B$39-$B$77-$B$38)*C22/100)</f>
        <v>110.1788098693759</v>
      </c>
      <c r="C36" s="167">
        <f>IF(ISERROR(B36/SUM($B$32,$B$34,$B$35,$B$36,$B$38,$B$39)*100),0,B36/SUM($B$32,$B$34,$B$35,$B$36,$B$38,$B$39)*100)</f>
        <v>1.781963607785475</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1314.2</v>
      </c>
      <c r="C39" s="167">
        <f>IF(ISERROR(B39/SUM($B$32,$B$34,$B$35,$B$36,$B$38,$B$39)*100),0,B39/SUM($B$32,$B$34,$B$35,$B$36,$B$38,$B$39)*100)</f>
        <v>21.255054180818377</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3463</v>
      </c>
      <c r="C44" s="34" t="s">
        <v>111</v>
      </c>
      <c r="D44" s="174"/>
    </row>
    <row r="45" spans="1:7">
      <c r="A45" s="171" t="s">
        <v>72</v>
      </c>
      <c r="B45" s="33" t="str">
        <f t="shared" si="0"/>
        <v>-</v>
      </c>
      <c r="C45" s="34" t="s">
        <v>111</v>
      </c>
      <c r="D45" s="174"/>
    </row>
    <row r="46" spans="1:7">
      <c r="A46" s="171" t="s">
        <v>73</v>
      </c>
      <c r="B46" s="33">
        <f t="shared" si="0"/>
        <v>248.922496371553</v>
      </c>
      <c r="C46" s="34" t="s">
        <v>111</v>
      </c>
      <c r="D46" s="174"/>
    </row>
    <row r="47" spans="1:7">
      <c r="A47" s="171" t="s">
        <v>74</v>
      </c>
      <c r="B47" s="33">
        <f t="shared" si="0"/>
        <v>1046.6986937590709</v>
      </c>
      <c r="C47" s="34" t="s">
        <v>111</v>
      </c>
      <c r="D47" s="174"/>
    </row>
    <row r="48" spans="1:7">
      <c r="A48" s="171" t="s">
        <v>75</v>
      </c>
      <c r="B48" s="33">
        <f t="shared" si="0"/>
        <v>110.1788098693759</v>
      </c>
      <c r="C48" s="33">
        <f>B48*10</f>
        <v>1101.7880986937589</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1314.2</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99</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25</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N13" sqref="N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156</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21829.559639760002</v>
      </c>
      <c r="C5" s="17">
        <f>IF(ISERROR('Eigen informatie GS &amp; warmtenet'!B58),0,'Eigen informatie GS &amp; warmtenet'!B58)</f>
        <v>0</v>
      </c>
      <c r="D5" s="30">
        <f>SUM(D6:D12)</f>
        <v>17309.985076302601</v>
      </c>
      <c r="E5" s="17">
        <f>SUM(E6:E12)</f>
        <v>487.32871325576383</v>
      </c>
      <c r="F5" s="17">
        <f>SUM(F6:F12)</f>
        <v>5314.0267777153404</v>
      </c>
      <c r="G5" s="18"/>
      <c r="H5" s="17"/>
      <c r="I5" s="17"/>
      <c r="J5" s="17">
        <f>SUM(J6:J12)</f>
        <v>0</v>
      </c>
      <c r="K5" s="17"/>
      <c r="L5" s="17"/>
      <c r="M5" s="17"/>
      <c r="N5" s="17">
        <f>SUM(N6:N12)</f>
        <v>1263.2575478123335</v>
      </c>
      <c r="O5" s="17">
        <f>B38*B39*B40</f>
        <v>0</v>
      </c>
      <c r="P5" s="17">
        <f>B46*B47*B48/1000-B46*B47*B48/1000/B49</f>
        <v>0</v>
      </c>
      <c r="R5" s="32"/>
    </row>
    <row r="6" spans="1:18">
      <c r="A6" s="32" t="s">
        <v>54</v>
      </c>
      <c r="B6" s="37">
        <f>B26</f>
        <v>4003.7974187</v>
      </c>
      <c r="C6" s="33"/>
      <c r="D6" s="37">
        <f>IF(ISERROR(TER_kantoor_gas_kWh/1000),0,TER_kantoor_gas_kWh/1000)*0.902</f>
        <v>3053.5951415947998</v>
      </c>
      <c r="E6" s="33">
        <f>$C$26*'E Balans VL '!I12/100/3.6*1000000</f>
        <v>52.414640174048316</v>
      </c>
      <c r="F6" s="33">
        <f>$C$26*('E Balans VL '!L12+'E Balans VL '!N12)/100/3.6*1000000</f>
        <v>1020.9269680714855</v>
      </c>
      <c r="G6" s="34"/>
      <c r="H6" s="33"/>
      <c r="I6" s="33"/>
      <c r="J6" s="33">
        <f>$C$26*('E Balans VL '!D12+'E Balans VL '!E12)/100/3.6*1000000</f>
        <v>0</v>
      </c>
      <c r="K6" s="33"/>
      <c r="L6" s="33"/>
      <c r="M6" s="33"/>
      <c r="N6" s="33">
        <f>$C$26*'E Balans VL '!Y12/100/3.6*1000000</f>
        <v>4.0172799920528348</v>
      </c>
      <c r="O6" s="33"/>
      <c r="P6" s="33"/>
      <c r="R6" s="32"/>
    </row>
    <row r="7" spans="1:18">
      <c r="A7" s="32" t="s">
        <v>53</v>
      </c>
      <c r="B7" s="37">
        <f t="shared" ref="B7:B12" si="0">B27</f>
        <v>1255.1927298000001</v>
      </c>
      <c r="C7" s="33"/>
      <c r="D7" s="37">
        <f>IF(ISERROR(TER_horeca_gas_kWh/1000),0,TER_horeca_gas_kWh/1000)*0.902</f>
        <v>1466.3150756693999</v>
      </c>
      <c r="E7" s="33">
        <f>$C$27*'E Balans VL '!I9/100/3.6*1000000</f>
        <v>41.539244275130613</v>
      </c>
      <c r="F7" s="33">
        <f>$C$27*('E Balans VL '!L9+'E Balans VL '!N9)/100/3.6*1000000</f>
        <v>539.72806333277435</v>
      </c>
      <c r="G7" s="34"/>
      <c r="H7" s="33"/>
      <c r="I7" s="33"/>
      <c r="J7" s="33">
        <f>$C$27*('E Balans VL '!D9+'E Balans VL '!E9)/100/3.6*1000000</f>
        <v>0</v>
      </c>
      <c r="K7" s="33"/>
      <c r="L7" s="33"/>
      <c r="M7" s="33"/>
      <c r="N7" s="33">
        <f>$C$27*'E Balans VL '!Y9/100/3.6*1000000</f>
        <v>0.30214311746158756</v>
      </c>
      <c r="O7" s="33"/>
      <c r="P7" s="33"/>
      <c r="R7" s="32"/>
    </row>
    <row r="8" spans="1:18">
      <c r="A8" s="6" t="s">
        <v>52</v>
      </c>
      <c r="B8" s="37">
        <f t="shared" si="0"/>
        <v>8906.0615507000002</v>
      </c>
      <c r="C8" s="33"/>
      <c r="D8" s="37">
        <f>IF(ISERROR(TER_handel_gas_kWh/1000),0,TER_handel_gas_kWh/1000)*0.902</f>
        <v>2533.2347831758002</v>
      </c>
      <c r="E8" s="33">
        <f>$C$28*'E Balans VL '!I13/100/3.6*1000000</f>
        <v>281.08891059707611</v>
      </c>
      <c r="F8" s="33">
        <f>$C$28*('E Balans VL '!L13+'E Balans VL '!N13)/100/3.6*1000000</f>
        <v>1746.6354960995563</v>
      </c>
      <c r="G8" s="34"/>
      <c r="H8" s="33"/>
      <c r="I8" s="33"/>
      <c r="J8" s="33">
        <f>$C$28*('E Balans VL '!D13+'E Balans VL '!E13)/100/3.6*1000000</f>
        <v>0</v>
      </c>
      <c r="K8" s="33"/>
      <c r="L8" s="33"/>
      <c r="M8" s="33"/>
      <c r="N8" s="33">
        <f>$C$28*'E Balans VL '!Y13/100/3.6*1000000</f>
        <v>10.569765970057954</v>
      </c>
      <c r="O8" s="33"/>
      <c r="P8" s="33"/>
      <c r="R8" s="32"/>
    </row>
    <row r="9" spans="1:18">
      <c r="A9" s="32" t="s">
        <v>51</v>
      </c>
      <c r="B9" s="37">
        <f t="shared" si="0"/>
        <v>163.86696040000001</v>
      </c>
      <c r="C9" s="33"/>
      <c r="D9" s="37">
        <f>IF(ISERROR(TER_gezond_gas_kWh/1000),0,TER_gezond_gas_kWh/1000)*0.902</f>
        <v>240.46922905324004</v>
      </c>
      <c r="E9" s="33">
        <f>$C$29*'E Balans VL '!I10/100/3.6*1000000</f>
        <v>2.0979764752760588E-2</v>
      </c>
      <c r="F9" s="33">
        <f>$C$29*('E Balans VL '!L10+'E Balans VL '!N10)/100/3.6*1000000</f>
        <v>34.14035614506404</v>
      </c>
      <c r="G9" s="34"/>
      <c r="H9" s="33"/>
      <c r="I9" s="33"/>
      <c r="J9" s="33">
        <f>$C$29*('E Balans VL '!D10+'E Balans VL '!E10)/100/3.6*1000000</f>
        <v>0</v>
      </c>
      <c r="K9" s="33"/>
      <c r="L9" s="33"/>
      <c r="M9" s="33"/>
      <c r="N9" s="33">
        <f>$C$29*'E Balans VL '!Y10/100/3.6*1000000</f>
        <v>1.9246949036060006</v>
      </c>
      <c r="O9" s="33"/>
      <c r="P9" s="33"/>
      <c r="R9" s="32"/>
    </row>
    <row r="10" spans="1:18">
      <c r="A10" s="32" t="s">
        <v>50</v>
      </c>
      <c r="B10" s="37">
        <f t="shared" si="0"/>
        <v>879.22383294999997</v>
      </c>
      <c r="C10" s="33"/>
      <c r="D10" s="37">
        <f>IF(ISERROR(TER_ander_gas_kWh/1000),0,TER_ander_gas_kWh/1000)*0.902</f>
        <v>426.31098873923997</v>
      </c>
      <c r="E10" s="33">
        <f>$C$30*'E Balans VL '!I14/100/3.6*1000000</f>
        <v>1.3221458815672105</v>
      </c>
      <c r="F10" s="33">
        <f>$C$30*('E Balans VL '!L14+'E Balans VL '!N14)/100/3.6*1000000</f>
        <v>194.104280889443</v>
      </c>
      <c r="G10" s="34"/>
      <c r="H10" s="33"/>
      <c r="I10" s="33"/>
      <c r="J10" s="33">
        <f>$C$30*('E Balans VL '!D14+'E Balans VL '!E14)/100/3.6*1000000</f>
        <v>0</v>
      </c>
      <c r="K10" s="33"/>
      <c r="L10" s="33"/>
      <c r="M10" s="33"/>
      <c r="N10" s="33">
        <f>$C$30*'E Balans VL '!Y14/100/3.6*1000000</f>
        <v>692.88754989764413</v>
      </c>
      <c r="O10" s="33"/>
      <c r="P10" s="33"/>
      <c r="R10" s="32"/>
    </row>
    <row r="11" spans="1:18">
      <c r="A11" s="32" t="s">
        <v>55</v>
      </c>
      <c r="B11" s="37">
        <f t="shared" si="0"/>
        <v>355.76605240999999</v>
      </c>
      <c r="C11" s="33"/>
      <c r="D11" s="37">
        <f>IF(ISERROR(TER_onderwijs_gas_kWh/1000),0,TER_onderwijs_gas_kWh/1000)*0.902</f>
        <v>338.99315424612001</v>
      </c>
      <c r="E11" s="33">
        <f>$C$31*'E Balans VL '!I11/100/3.6*1000000</f>
        <v>0.62653383138614882</v>
      </c>
      <c r="F11" s="33">
        <f>$C$31*('E Balans VL '!L11+'E Balans VL '!N11)/100/3.6*1000000</f>
        <v>164.26362397376809</v>
      </c>
      <c r="G11" s="34"/>
      <c r="H11" s="33"/>
      <c r="I11" s="33"/>
      <c r="J11" s="33">
        <f>$C$31*('E Balans VL '!D11+'E Balans VL '!E11)/100/3.6*1000000</f>
        <v>0</v>
      </c>
      <c r="K11" s="33"/>
      <c r="L11" s="33"/>
      <c r="M11" s="33"/>
      <c r="N11" s="33">
        <f>$C$31*'E Balans VL '!Y11/100/3.6*1000000</f>
        <v>0.66279707544984157</v>
      </c>
      <c r="O11" s="33"/>
      <c r="P11" s="33"/>
      <c r="R11" s="32"/>
    </row>
    <row r="12" spans="1:18">
      <c r="A12" s="32" t="s">
        <v>260</v>
      </c>
      <c r="B12" s="37">
        <f t="shared" si="0"/>
        <v>6265.6510948000005</v>
      </c>
      <c r="C12" s="33"/>
      <c r="D12" s="37">
        <f>IF(ISERROR(TER_rest_gas_kWh/1000),0,TER_rest_gas_kWh/1000)*0.902</f>
        <v>9251.0667038240008</v>
      </c>
      <c r="E12" s="33">
        <f>$C$32*'E Balans VL '!I8/100/3.6*1000000</f>
        <v>110.31625873180262</v>
      </c>
      <c r="F12" s="33">
        <f>$C$32*('E Balans VL '!L8+'E Balans VL '!N8)/100/3.6*1000000</f>
        <v>1614.2279892032498</v>
      </c>
      <c r="G12" s="34"/>
      <c r="H12" s="33"/>
      <c r="I12" s="33"/>
      <c r="J12" s="33">
        <f>$C$32*('E Balans VL '!D8+'E Balans VL '!E8)/100/3.6*1000000</f>
        <v>0</v>
      </c>
      <c r="K12" s="33"/>
      <c r="L12" s="33"/>
      <c r="M12" s="33"/>
      <c r="N12" s="33">
        <f>$C$32*'E Balans VL '!Y8/100/3.6*1000000</f>
        <v>552.89331685606135</v>
      </c>
      <c r="O12" s="33"/>
      <c r="P12" s="33"/>
      <c r="R12" s="32"/>
    </row>
    <row r="13" spans="1:18">
      <c r="A13" s="16" t="s">
        <v>491</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21829.559639760002</v>
      </c>
      <c r="C16" s="21">
        <f t="shared" ca="1" si="1"/>
        <v>0</v>
      </c>
      <c r="D16" s="21">
        <f t="shared" ca="1" si="1"/>
        <v>17309.985076302601</v>
      </c>
      <c r="E16" s="21">
        <f t="shared" si="1"/>
        <v>487.32871325576383</v>
      </c>
      <c r="F16" s="21">
        <f t="shared" ca="1" si="1"/>
        <v>5314.0267777153404</v>
      </c>
      <c r="G16" s="21">
        <f t="shared" si="1"/>
        <v>0</v>
      </c>
      <c r="H16" s="21">
        <f t="shared" si="1"/>
        <v>0</v>
      </c>
      <c r="I16" s="21">
        <f t="shared" si="1"/>
        <v>0</v>
      </c>
      <c r="J16" s="21">
        <f t="shared" si="1"/>
        <v>0</v>
      </c>
      <c r="K16" s="21">
        <f t="shared" si="1"/>
        <v>0</v>
      </c>
      <c r="L16" s="21">
        <f t="shared" ca="1" si="1"/>
        <v>0</v>
      </c>
      <c r="M16" s="21">
        <f t="shared" si="1"/>
        <v>0</v>
      </c>
      <c r="N16" s="21">
        <f t="shared" ca="1" si="1"/>
        <v>1263.2575478123335</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0.20639694588001592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4505.5544395521247</v>
      </c>
      <c r="C20" s="23">
        <f t="shared" ref="C20:P20" ca="1" si="2">C16*C18</f>
        <v>0</v>
      </c>
      <c r="D20" s="23">
        <f t="shared" ca="1" si="2"/>
        <v>3496.6169854131253</v>
      </c>
      <c r="E20" s="23">
        <f t="shared" si="2"/>
        <v>110.6236179090584</v>
      </c>
      <c r="F20" s="23">
        <f t="shared" ca="1" si="2"/>
        <v>1418.8451496499958</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4003.7974187</v>
      </c>
      <c r="C26" s="39">
        <f>IF(ISERROR(B26*3.6/1000000/'E Balans VL '!Z12*100),0,B26*3.6/1000000/'E Balans VL '!Z12*100)</f>
        <v>8.5764451137649939E-2</v>
      </c>
      <c r="D26" s="237" t="s">
        <v>660</v>
      </c>
      <c r="F26" s="6"/>
    </row>
    <row r="27" spans="1:18">
      <c r="A27" s="231" t="s">
        <v>53</v>
      </c>
      <c r="B27" s="33">
        <f>IF(ISERROR(TER_horeca_ele_kWh/1000),0,TER_horeca_ele_kWh/1000)</f>
        <v>1255.1927298000001</v>
      </c>
      <c r="C27" s="39">
        <f>IF(ISERROR(B27*3.6/1000000/'E Balans VL '!Z9*100),0,B27*3.6/1000000/'E Balans VL '!Z9*100)</f>
        <v>0.10072485356105515</v>
      </c>
      <c r="D27" s="237" t="s">
        <v>660</v>
      </c>
      <c r="F27" s="6"/>
    </row>
    <row r="28" spans="1:18">
      <c r="A28" s="171" t="s">
        <v>52</v>
      </c>
      <c r="B28" s="33">
        <f>IF(ISERROR(TER_handel_ele_kWh/1000),0,TER_handel_ele_kWh/1000)</f>
        <v>8906.0615507000002</v>
      </c>
      <c r="C28" s="39">
        <f>IF(ISERROR(B28*3.6/1000000/'E Balans VL '!Z13*100),0,B28*3.6/1000000/'E Balans VL '!Z13*100)</f>
        <v>0.26267773261413579</v>
      </c>
      <c r="D28" s="237" t="s">
        <v>660</v>
      </c>
      <c r="F28" s="6"/>
    </row>
    <row r="29" spans="1:18">
      <c r="A29" s="231" t="s">
        <v>51</v>
      </c>
      <c r="B29" s="33">
        <f>IF(ISERROR(TER_gezond_ele_kWh/1000),0,TER_gezond_ele_kWh/1000)</f>
        <v>163.86696040000001</v>
      </c>
      <c r="C29" s="39">
        <f>IF(ISERROR(B29*3.6/1000000/'E Balans VL '!Z10*100),0,B29*3.6/1000000/'E Balans VL '!Z10*100)</f>
        <v>1.7496597932759109E-2</v>
      </c>
      <c r="D29" s="237" t="s">
        <v>660</v>
      </c>
      <c r="F29" s="6"/>
    </row>
    <row r="30" spans="1:18">
      <c r="A30" s="231" t="s">
        <v>50</v>
      </c>
      <c r="B30" s="33">
        <f>IF(ISERROR(TER_ander_ele_kWh/1000),0,TER_ander_ele_kWh/1000)</f>
        <v>879.22383294999997</v>
      </c>
      <c r="C30" s="39">
        <f>IF(ISERROR(B30*3.6/1000000/'E Balans VL '!Z14*100),0,B30*3.6/1000000/'E Balans VL '!Z14*100)</f>
        <v>6.6411228675440193E-2</v>
      </c>
      <c r="D30" s="237" t="s">
        <v>660</v>
      </c>
      <c r="F30" s="6"/>
    </row>
    <row r="31" spans="1:18">
      <c r="A31" s="231" t="s">
        <v>55</v>
      </c>
      <c r="B31" s="33">
        <f>IF(ISERROR(TER_onderwijs_ele_kWh/1000),0,TER_onderwijs_ele_kWh/1000)</f>
        <v>355.76605240999999</v>
      </c>
      <c r="C31" s="39">
        <f>IF(ISERROR(B31*3.6/1000000/'E Balans VL '!Z11*100),0,B31*3.6/1000000/'E Balans VL '!Z11*100)</f>
        <v>7.1841042369909458E-2</v>
      </c>
      <c r="D31" s="237" t="s">
        <v>660</v>
      </c>
    </row>
    <row r="32" spans="1:18">
      <c r="A32" s="231" t="s">
        <v>260</v>
      </c>
      <c r="B32" s="33">
        <f>IF(ISERROR(TER_rest_ele_kWh/1000),0,TER_rest_ele_kWh/1000)</f>
        <v>6265.6510948000005</v>
      </c>
      <c r="C32" s="39">
        <f>IF(ISERROR(B32*3.6/1000000/'E Balans VL '!Z8*100),0,B32*3.6/1000000/'E Balans VL '!Z8*100)</f>
        <v>5.1950972432099361E-2</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0</v>
      </c>
      <c r="C46" s="32"/>
      <c r="D46" s="232"/>
    </row>
    <row r="47" spans="1:4">
      <c r="A47" s="171" t="s">
        <v>450</v>
      </c>
      <c r="B47" s="558">
        <v>13</v>
      </c>
      <c r="C47" s="32" t="s">
        <v>263</v>
      </c>
      <c r="D47" s="309" t="s">
        <v>510</v>
      </c>
    </row>
    <row r="48" spans="1:4">
      <c r="A48" s="171" t="s">
        <v>451</v>
      </c>
      <c r="B48" s="558">
        <v>2000</v>
      </c>
      <c r="C48" s="32" t="s">
        <v>265</v>
      </c>
      <c r="D48" s="309" t="s">
        <v>510</v>
      </c>
    </row>
    <row r="49" spans="1:4">
      <c r="A49" s="171" t="s">
        <v>412</v>
      </c>
      <c r="B49" s="558">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163</v>
      </c>
      <c r="B1" s="1210" t="s">
        <v>195</v>
      </c>
      <c r="C1" s="1211"/>
      <c r="D1" s="1211"/>
      <c r="E1" s="1211"/>
      <c r="F1" s="1211"/>
      <c r="G1" s="1211"/>
      <c r="H1" s="1211"/>
      <c r="I1" s="1211"/>
      <c r="J1" s="1211"/>
      <c r="K1" s="1211"/>
      <c r="L1" s="1211"/>
      <c r="M1" s="1211"/>
      <c r="N1" s="1211"/>
      <c r="O1" s="1211"/>
      <c r="P1" s="1211"/>
      <c r="R1" s="773"/>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c r="R2" s="773"/>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9401.8019200899998</v>
      </c>
      <c r="C5" s="17">
        <f>IF(ISERROR('Eigen informatie GS &amp; warmtenet'!B59),0,'Eigen informatie GS &amp; warmtenet'!B59)</f>
        <v>0</v>
      </c>
      <c r="D5" s="30">
        <f>SUM(D6:D15)</f>
        <v>2725.9925045493796</v>
      </c>
      <c r="E5" s="17">
        <f>SUM(E6:E15)</f>
        <v>772.46941353809507</v>
      </c>
      <c r="F5" s="17">
        <f>SUM(F6:F15)</f>
        <v>2915.9118772794945</v>
      </c>
      <c r="G5" s="18"/>
      <c r="H5" s="17"/>
      <c r="I5" s="17"/>
      <c r="J5" s="17">
        <f>SUM(J6:J15)</f>
        <v>63.846567568943968</v>
      </c>
      <c r="K5" s="17"/>
      <c r="L5" s="17"/>
      <c r="M5" s="17"/>
      <c r="N5" s="17">
        <f>SUM(N6:N15)</f>
        <v>2060.8478545898774</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44.771841690000002</v>
      </c>
      <c r="C8" s="33"/>
      <c r="D8" s="37">
        <f>IF( ISERROR(IND_metaal_Gas_kWH/1000),0,IND_metaal_Gas_kWH/1000)*0.902</f>
        <v>0</v>
      </c>
      <c r="E8" s="33">
        <f>C30*'E Balans VL '!I18/100/3.6*1000000</f>
        <v>1.6110263080087912</v>
      </c>
      <c r="F8" s="33">
        <f>C30*'E Balans VL '!L18/100/3.6*1000000+C30*'E Balans VL '!N18/100/3.6*1000000</f>
        <v>19.550411919065645</v>
      </c>
      <c r="G8" s="34"/>
      <c r="H8" s="33"/>
      <c r="I8" s="33"/>
      <c r="J8" s="40">
        <f>C30*'E Balans VL '!D18/100/3.6*1000000+C30*'E Balans VL '!E18/100/3.6*1000000</f>
        <v>0</v>
      </c>
      <c r="K8" s="33"/>
      <c r="L8" s="33"/>
      <c r="M8" s="33"/>
      <c r="N8" s="33">
        <f>C30*'E Balans VL '!Y18/100/3.6*1000000</f>
        <v>2.2439342798124779</v>
      </c>
      <c r="O8" s="33"/>
      <c r="P8" s="33"/>
      <c r="R8" s="32"/>
    </row>
    <row r="9" spans="1:18">
      <c r="A9" s="6" t="s">
        <v>33</v>
      </c>
      <c r="B9" s="37">
        <f t="shared" si="0"/>
        <v>1330.8611966999999</v>
      </c>
      <c r="C9" s="33"/>
      <c r="D9" s="37">
        <f>IF( ISERROR(IND_andere_gas_kWh/1000),0,IND_andere_gas_kWh/1000)*0.902</f>
        <v>540.70216556224</v>
      </c>
      <c r="E9" s="33">
        <f>C31*'E Balans VL '!I19/100/3.6*1000000</f>
        <v>339.60566581987064</v>
      </c>
      <c r="F9" s="33">
        <f>C31*'E Balans VL '!L19/100/3.6*1000000+C31*'E Balans VL '!N19/100/3.6*1000000</f>
        <v>1145.7714589422685</v>
      </c>
      <c r="G9" s="34"/>
      <c r="H9" s="33"/>
      <c r="I9" s="33"/>
      <c r="J9" s="40">
        <f>C31*'E Balans VL '!D19/100/3.6*1000000+C31*'E Balans VL '!E19/100/3.6*1000000</f>
        <v>0</v>
      </c>
      <c r="K9" s="33"/>
      <c r="L9" s="33"/>
      <c r="M9" s="33"/>
      <c r="N9" s="33">
        <f>C31*'E Balans VL '!Y19/100/3.6*1000000</f>
        <v>416.20587344404606</v>
      </c>
      <c r="O9" s="33"/>
      <c r="P9" s="33"/>
      <c r="R9" s="32"/>
    </row>
    <row r="10" spans="1:18">
      <c r="A10" s="6" t="s">
        <v>41</v>
      </c>
      <c r="B10" s="37">
        <f t="shared" si="0"/>
        <v>150.79481469999999</v>
      </c>
      <c r="C10" s="33"/>
      <c r="D10" s="37">
        <f>IF( ISERROR(IND_voed_gas_kWh/1000),0,IND_voed_gas_kWh/1000)*0.902</f>
        <v>149.17178653454002</v>
      </c>
      <c r="E10" s="33">
        <f>C32*'E Balans VL '!I20/100/3.6*1000000</f>
        <v>3.8334112479226561</v>
      </c>
      <c r="F10" s="33">
        <f>C32*'E Balans VL '!L20/100/3.6*1000000+C32*'E Balans VL '!N20/100/3.6*1000000</f>
        <v>34.12260294122617</v>
      </c>
      <c r="G10" s="34"/>
      <c r="H10" s="33"/>
      <c r="I10" s="33"/>
      <c r="J10" s="40">
        <f>C32*'E Balans VL '!D20/100/3.6*1000000+C32*'E Balans VL '!E20/100/3.6*1000000</f>
        <v>0</v>
      </c>
      <c r="K10" s="33"/>
      <c r="L10" s="33"/>
      <c r="M10" s="33"/>
      <c r="N10" s="33">
        <f>C32*'E Balans VL '!Y20/100/3.6*1000000</f>
        <v>56.552142966726976</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7875.3740669999997</v>
      </c>
      <c r="C15" s="33"/>
      <c r="D15" s="37">
        <f>IF( ISERROR(IND_rest_gas_kWh/1000),0,IND_rest_gas_kWh/1000)*0.902</f>
        <v>2036.1185524525997</v>
      </c>
      <c r="E15" s="33">
        <f>C37*'E Balans VL '!I15/100/3.6*1000000</f>
        <v>427.41931016229302</v>
      </c>
      <c r="F15" s="33">
        <f>C37*'E Balans VL '!L15/100/3.6*1000000+C37*'E Balans VL '!N15/100/3.6*1000000</f>
        <v>1716.4674034769339</v>
      </c>
      <c r="G15" s="34"/>
      <c r="H15" s="33"/>
      <c r="I15" s="33"/>
      <c r="J15" s="40">
        <f>C37*'E Balans VL '!D15/100/3.6*1000000+C37*'E Balans VL '!E15/100/3.6*1000000</f>
        <v>63.846567568943968</v>
      </c>
      <c r="K15" s="33"/>
      <c r="L15" s="33"/>
      <c r="M15" s="33"/>
      <c r="N15" s="33">
        <f>C37*'E Balans VL '!Y15/100/3.6*1000000</f>
        <v>1585.8459038992919</v>
      </c>
      <c r="O15" s="33"/>
      <c r="P15" s="33"/>
      <c r="R15" s="32"/>
    </row>
    <row r="16" spans="1:18">
      <c r="A16" s="16" t="s">
        <v>491</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9401.8019200899998</v>
      </c>
      <c r="C18" s="21">
        <f>C5+C16</f>
        <v>0</v>
      </c>
      <c r="D18" s="21">
        <f>MAX((D5+D16),0)</f>
        <v>2725.9925045493796</v>
      </c>
      <c r="E18" s="21">
        <f>MAX((E5+E16),0)</f>
        <v>772.46941353809507</v>
      </c>
      <c r="F18" s="21">
        <f>MAX((F5+F16),0)</f>
        <v>2915.9118772794945</v>
      </c>
      <c r="G18" s="21"/>
      <c r="H18" s="21"/>
      <c r="I18" s="21"/>
      <c r="J18" s="21">
        <f>MAX((J5+J16),0)</f>
        <v>63.846567568943968</v>
      </c>
      <c r="K18" s="21"/>
      <c r="L18" s="21">
        <f>MAX((L5+L16),0)</f>
        <v>0</v>
      </c>
      <c r="M18" s="21"/>
      <c r="N18" s="21">
        <f>MAX((N5+N16),0)</f>
        <v>2060.8478545898774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0.20639694588001592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1940.5032020754454</v>
      </c>
      <c r="C22" s="23">
        <f ca="1">C18*C20</f>
        <v>0</v>
      </c>
      <c r="D22" s="23">
        <f>D18*D20</f>
        <v>550.65048591897471</v>
      </c>
      <c r="E22" s="23">
        <f>E18*E20</f>
        <v>175.35055687314758</v>
      </c>
      <c r="F22" s="23">
        <f>F18*F20</f>
        <v>778.54847123362504</v>
      </c>
      <c r="G22" s="23"/>
      <c r="H22" s="23"/>
      <c r="I22" s="23"/>
      <c r="J22" s="23">
        <f>J18*J20</f>
        <v>22.601684919406164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44.771841690000002</v>
      </c>
      <c r="C30" s="39">
        <f>IF(ISERROR(B30*3.6/1000000/'E Balans VL '!Z18*100),0,B30*3.6/1000000/'E Balans VL '!Z18*100)</f>
        <v>9.486193371123405E-3</v>
      </c>
      <c r="D30" s="237" t="s">
        <v>660</v>
      </c>
    </row>
    <row r="31" spans="1:18">
      <c r="A31" s="6" t="s">
        <v>33</v>
      </c>
      <c r="B31" s="37">
        <f>IF( ISERROR(IND_ander_ele_kWh/1000),0,IND_ander_ele_kWh/1000)</f>
        <v>1330.8611966999999</v>
      </c>
      <c r="C31" s="39">
        <f>IF(ISERROR(B31*3.6/1000000/'E Balans VL '!Z19*100),0,B31*3.6/1000000/'E Balans VL '!Z19*100)</f>
        <v>5.601896970922346E-2</v>
      </c>
      <c r="D31" s="237" t="s">
        <v>660</v>
      </c>
    </row>
    <row r="32" spans="1:18">
      <c r="A32" s="171" t="s">
        <v>41</v>
      </c>
      <c r="B32" s="37">
        <f>IF( ISERROR(IND_voed_ele_kWh/1000),0,IND_voed_ele_kWh/1000)</f>
        <v>150.79481469999999</v>
      </c>
      <c r="C32" s="39">
        <f>IF(ISERROR(B32*3.6/1000000/'E Balans VL '!Z20*100),0,B32*3.6/1000000/'E Balans VL '!Z20*100)</f>
        <v>2.5191979921621661E-2</v>
      </c>
      <c r="D32" s="237" t="s">
        <v>660</v>
      </c>
    </row>
    <row r="33" spans="1:5">
      <c r="A33" s="171" t="s">
        <v>40</v>
      </c>
      <c r="B33" s="37">
        <f>IF( ISERROR(IND_textiel_ele_kWh/1000),0,IND_textiel_ele_kWh/1000)</f>
        <v>0</v>
      </c>
      <c r="C33" s="39">
        <f>IF(ISERROR(B33*3.6/1000000/'E Balans VL '!Z21*100),0,B33*3.6/1000000/'E Balans VL '!Z21*100)</f>
        <v>0</v>
      </c>
      <c r="D33" s="237" t="s">
        <v>660</v>
      </c>
    </row>
    <row r="34" spans="1:5">
      <c r="A34" s="171" t="s">
        <v>37</v>
      </c>
      <c r="B34" s="37">
        <f>IF( ISERROR(IND_min_ele_kWh/1000),0,IND_min_ele_kWh/1000)</f>
        <v>0</v>
      </c>
      <c r="C34" s="39">
        <f>IF(ISERROR(B34*3.6/1000000/'E Balans VL '!Z22*100),0,B34*3.6/1000000/'E Balans VL '!Z22*100)</f>
        <v>0</v>
      </c>
      <c r="D34" s="237" t="s">
        <v>660</v>
      </c>
    </row>
    <row r="35" spans="1:5">
      <c r="A35" s="171" t="s">
        <v>39</v>
      </c>
      <c r="B35" s="37">
        <f>IF( ISERROR(IND_papier_ele_kWh/1000),0,IND_papier_ele_kWh/1000)</f>
        <v>0</v>
      </c>
      <c r="C35" s="39">
        <f>IF(ISERROR(B35*3.6/1000000/'E Balans VL '!Z22*100),0,B35*3.6/1000000/'E Balans VL '!Z22*100)</f>
        <v>0</v>
      </c>
      <c r="D35" s="237" t="s">
        <v>660</v>
      </c>
    </row>
    <row r="36" spans="1:5">
      <c r="A36" s="171" t="s">
        <v>34</v>
      </c>
      <c r="B36" s="37">
        <f>IF( ISERROR(IND_chemie_ele_kWh/1000),0,IND_chemie_ele_kWh/1000)</f>
        <v>0</v>
      </c>
      <c r="C36" s="39">
        <f>IF(ISERROR(B36*3.6/1000000/'E Balans VL '!Z24*100),0,B36*3.6/1000000/'E Balans VL '!Z24*100)</f>
        <v>0</v>
      </c>
      <c r="D36" s="237" t="s">
        <v>660</v>
      </c>
    </row>
    <row r="37" spans="1:5">
      <c r="A37" s="171" t="s">
        <v>270</v>
      </c>
      <c r="B37" s="37">
        <f>IF( ISERROR(IND_rest_ele_kWh/1000),0,IND_rest_ele_kWh/1000)</f>
        <v>7875.3740669999997</v>
      </c>
      <c r="C37" s="39">
        <f>IF(ISERROR(B37*3.6/1000000/'E Balans VL '!Z15*100),0,B37*3.6/1000000/'E Balans VL '!Z15*100)</f>
        <v>6.3580944327499042E-2</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271</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342.39972164</v>
      </c>
      <c r="C5" s="17">
        <f>'Eigen informatie GS &amp; warmtenet'!B60</f>
        <v>0</v>
      </c>
      <c r="D5" s="30">
        <f>IF(ISERROR(SUM(LB_lb_gas_kWh,LB_rest_gas_kWh)/1000),0,SUM(LB_lb_gas_kWh,LB_rest_gas_kWh)/1000)*0.902</f>
        <v>153.21746820688</v>
      </c>
      <c r="E5" s="17">
        <f>B17*'E Balans VL '!I25/3.6*1000000/100</f>
        <v>8.8291741581589385</v>
      </c>
      <c r="F5" s="17">
        <f>B17*('E Balans VL '!L25/3.6*1000000+'E Balans VL '!N25/3.6*1000000)/100</f>
        <v>1251.5361894536236</v>
      </c>
      <c r="G5" s="18"/>
      <c r="H5" s="17"/>
      <c r="I5" s="17"/>
      <c r="J5" s="17">
        <f>('E Balans VL '!D25+'E Balans VL '!E25)/3.6*1000000*landbouw!B17/100</f>
        <v>49.292964175017772</v>
      </c>
      <c r="K5" s="17"/>
      <c r="L5" s="17">
        <f>L6*(-1)</f>
        <v>0</v>
      </c>
      <c r="M5" s="17"/>
      <c r="N5" s="17">
        <f>N6*(-1)</f>
        <v>0</v>
      </c>
      <c r="O5" s="17"/>
      <c r="P5" s="17"/>
      <c r="R5" s="32"/>
    </row>
    <row r="6" spans="1:18">
      <c r="A6" s="16" t="s">
        <v>491</v>
      </c>
      <c r="B6" s="17" t="s">
        <v>211</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342.39972164</v>
      </c>
      <c r="C8" s="21">
        <f>C5+C6</f>
        <v>0</v>
      </c>
      <c r="D8" s="21">
        <f>MAX((D5+D6),0)</f>
        <v>153.21746820688</v>
      </c>
      <c r="E8" s="21">
        <f>MAX((E5+E6),0)</f>
        <v>8.8291741581589385</v>
      </c>
      <c r="F8" s="21">
        <f>MAX((F5+F6),0)</f>
        <v>1251.5361894536236</v>
      </c>
      <c r="G8" s="21"/>
      <c r="H8" s="21"/>
      <c r="I8" s="21"/>
      <c r="J8" s="21">
        <f>MAX((J5+J6),0)</f>
        <v>49.292964175017772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0.20639694588001592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70.670256816663596</v>
      </c>
      <c r="C12" s="23">
        <f ca="1">C8*C10</f>
        <v>0</v>
      </c>
      <c r="D12" s="23">
        <f>D8*D10</f>
        <v>30.949928577789763</v>
      </c>
      <c r="E12" s="23">
        <f>E8*E10</f>
        <v>2.0042225339020789</v>
      </c>
      <c r="F12" s="23">
        <f>F8*F10</f>
        <v>334.16016258411753</v>
      </c>
      <c r="G12" s="23"/>
      <c r="H12" s="23"/>
      <c r="I12" s="23"/>
      <c r="J12" s="23">
        <f>J8*J10</f>
        <v>17.449709317956291</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4.8280628756140961E-2</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303</v>
      </c>
      <c r="B22" s="1220" t="s">
        <v>304</v>
      </c>
      <c r="C22" s="1220" t="s">
        <v>496</v>
      </c>
    </row>
    <row r="23" spans="1:4">
      <c r="A23" s="1218"/>
      <c r="B23" s="1221"/>
      <c r="C23" s="1221"/>
    </row>
    <row r="24" spans="1:4" ht="15.75" thickBot="1">
      <c r="A24" s="1219"/>
      <c r="B24" s="1222"/>
      <c r="C24" s="1222"/>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117.21473499620107</v>
      </c>
      <c r="C26" s="247">
        <f>B26*'GWP N2O_CH4'!B5</f>
        <v>2461.5094349202227</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15.91787665052304</v>
      </c>
      <c r="C27" s="247">
        <f>B27*'GWP N2O_CH4'!B5</f>
        <v>334.27540966098383</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1.4899148026296709</v>
      </c>
      <c r="C28" s="247">
        <f>B28*'GWP N2O_CH4'!B4</f>
        <v>461.87358881519799</v>
      </c>
      <c r="D28" s="50"/>
    </row>
    <row r="29" spans="1:4">
      <c r="A29" s="41" t="s">
        <v>277</v>
      </c>
      <c r="B29" s="247">
        <f>B34*'ha_N2O bodem landbouw'!B4</f>
        <v>6.7715733981584707</v>
      </c>
      <c r="C29" s="247">
        <f>B29*'GWP N2O_CH4'!B4</f>
        <v>2099.1877534291261</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1.5239719925883694E-3</v>
      </c>
      <c r="C34" s="92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70" zoomScaleNormal="70" workbookViewId="0">
      <selection activeCell="C31" sqref="C31"/>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09" t="s">
        <v>500</v>
      </c>
      <c r="B1" s="1210" t="s">
        <v>549</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1.9318073191467686E-4</v>
      </c>
      <c r="C5" s="463" t="s">
        <v>211</v>
      </c>
      <c r="D5" s="448">
        <f>SUM(D6:D11)</f>
        <v>4.5476979428860152E-4</v>
      </c>
      <c r="E5" s="448">
        <f>SUM(E6:E11)</f>
        <v>2.0223439244620345E-3</v>
      </c>
      <c r="F5" s="461" t="s">
        <v>211</v>
      </c>
      <c r="G5" s="448">
        <f>SUM(G6:G11)</f>
        <v>0.69304840337372642</v>
      </c>
      <c r="H5" s="448">
        <f>SUM(H6:H11)</f>
        <v>0.12529202043236162</v>
      </c>
      <c r="I5" s="463" t="s">
        <v>211</v>
      </c>
      <c r="J5" s="463" t="s">
        <v>211</v>
      </c>
      <c r="K5" s="463" t="s">
        <v>211</v>
      </c>
      <c r="L5" s="463" t="s">
        <v>211</v>
      </c>
      <c r="M5" s="448">
        <f>SUM(M6:M11)</f>
        <v>2.5588091613735472E-2</v>
      </c>
      <c r="N5" s="463" t="s">
        <v>211</v>
      </c>
      <c r="O5" s="463" t="s">
        <v>211</v>
      </c>
      <c r="P5" s="464" t="s">
        <v>211</v>
      </c>
    </row>
    <row r="6" spans="1:18">
      <c r="A6" s="261" t="s">
        <v>668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1.9896058967961147E-5</v>
      </c>
      <c r="C6" s="449"/>
      <c r="D6" s="892">
        <f>vkm_2011_GW_PW*SUMIFS(TableVerdeelsleutelVkm[CNG],TableVerdeelsleutelVkm[Voertuigtype],"Lichte voertuigen")*SUMIFS(TableECFTransport[EnergieConsumptieFactor (PJ per km)],TableECFTransport[Index],CONCATENATE($A6,"_CNG_CNG"))</f>
        <v>3.9533817679341353E-5</v>
      </c>
      <c r="E6" s="892">
        <f>vkm_2011_GW_PW*SUMIFS(TableVerdeelsleutelVkm[LPG],TableVerdeelsleutelVkm[Voertuigtype],"Lichte voertuigen")*SUMIFS(TableECFTransport[EnergieConsumptieFactor (PJ per km)],TableECFTransport[Index],CONCATENATE($A6,"_LPG_LPG"))</f>
        <v>1.55579744379464E-4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3.6991524961124324E-2</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1.0702993794408594E-2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1.4862052461849643E-3</v>
      </c>
      <c r="N6" s="449"/>
      <c r="O6" s="449"/>
      <c r="P6" s="450"/>
    </row>
    <row r="7" spans="1:18">
      <c r="A7" s="261" t="s">
        <v>669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4.2246456555173374E-2</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1.3647409961671852E-5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1.3311212057614708E-3</v>
      </c>
      <c r="N7" s="449"/>
      <c r="O7" s="449"/>
      <c r="P7" s="450"/>
      <c r="R7" s="88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3.8094773313483864E-5</v>
      </c>
      <c r="C8" s="449"/>
      <c r="D8" s="451">
        <f>vkm_2011_NGW_PW*SUMIFS(TableVerdeelsleutelVkm[CNG],TableVerdeelsleutelVkm[Voertuigtype],"Lichte voertuigen")*SUMIFS(TableECFTransport[EnergieConsumptieFactor (PJ per km)],TableECFTransport[Index],CONCATENATE($A8,"_CNG_CNG"))</f>
        <v>1.3402820008259571E-4</v>
      </c>
      <c r="E8" s="451">
        <f>vkm_2011_NGW_PW*SUMIFS(TableVerdeelsleutelVkm[LPG],TableVerdeelsleutelVkm[Voertuigtype],"Lichte voertuigen")*SUMIFS(TableECFTransport[EnergieConsumptieFactor (PJ per km)],TableECFTransport[Index],CONCATENATE($A8,"_LPG_LPG"))</f>
        <v>4.8779715520790007E-4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0.10830468093342711</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3.5184365140990319E-2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4.4667580134284401E-3</v>
      </c>
      <c r="N8" s="449"/>
      <c r="O8" s="449"/>
      <c r="P8" s="450"/>
      <c r="R8" s="88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3.7270061985832138E-2</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1.1386319953453772E-5</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1.1743030265106626E-3</v>
      </c>
      <c r="N9" s="449"/>
      <c r="O9" s="449"/>
      <c r="P9" s="450"/>
      <c r="R9" s="88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1.3518989963323187E-4</v>
      </c>
      <c r="C10" s="449"/>
      <c r="D10" s="451">
        <f>vkm_2011_SW_PW*SUMIFS(TableVerdeelsleutelVkm[CNG],TableVerdeelsleutelVkm[Voertuigtype],"Lichte voertuigen")*SUMIFS(TableECFTransport[EnergieConsumptieFactor (PJ per km)],TableECFTransport[Index],CONCATENATE($A10,"_CNG_CNG"))</f>
        <v>2.8120777652666443E-4</v>
      </c>
      <c r="E10" s="451">
        <f>vkm_2011_SW_PW*SUMIFS(TableVerdeelsleutelVkm[LPG],TableVerdeelsleutelVkm[Voertuigtype],"Lichte voertuigen")*SUMIFS(TableECFTransport[EnergieConsumptieFactor (PJ per km)],TableECFTransport[Index],CONCATENATE($A10,"_LPG_LPG"))</f>
        <v>1.3789670248746703E-3</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0.29370414351777424</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7.9318880584376847E-2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1.1630351535598845E-2</v>
      </c>
      <c r="N10" s="449"/>
      <c r="O10" s="449"/>
      <c r="P10" s="450"/>
      <c r="R10" s="88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0.17453153542039526</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6.0747182670732883E-5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5.4993525862510884E-3</v>
      </c>
      <c r="N11" s="452"/>
      <c r="O11" s="452"/>
      <c r="P11" s="454"/>
      <c r="R11" s="88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53.661314420743572</v>
      </c>
      <c r="C14" s="21"/>
      <c r="D14" s="21">
        <f t="shared" ref="D14:M14" si="0">((D5)*10^9/3600)+D12</f>
        <v>126.32494285794486</v>
      </c>
      <c r="E14" s="21">
        <f t="shared" si="0"/>
        <v>561.76220123945404</v>
      </c>
      <c r="F14" s="21"/>
      <c r="G14" s="21">
        <f t="shared" si="0"/>
        <v>192513.44538159066</v>
      </c>
      <c r="H14" s="21">
        <f t="shared" si="0"/>
        <v>34803.339008989336</v>
      </c>
      <c r="I14" s="21"/>
      <c r="J14" s="21"/>
      <c r="K14" s="21"/>
      <c r="L14" s="21"/>
      <c r="M14" s="21">
        <f t="shared" si="0"/>
        <v>7107.8032260376312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0.20639694588001592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11.075531408348729</v>
      </c>
      <c r="C18" s="23"/>
      <c r="D18" s="23">
        <f t="shared" ref="D18:M18" si="1">D14*D16</f>
        <v>25.517638457304862</v>
      </c>
      <c r="E18" s="23">
        <f t="shared" si="1"/>
        <v>127.52001968135608</v>
      </c>
      <c r="F18" s="23"/>
      <c r="G18" s="23">
        <f t="shared" si="1"/>
        <v>51401.08991688471</v>
      </c>
      <c r="H18" s="23">
        <f t="shared" si="1"/>
        <v>8666.0314132383446</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674</v>
      </c>
      <c r="D23" s="929" t="s">
        <v>675</v>
      </c>
      <c r="E23" s="929" t="s">
        <v>676</v>
      </c>
      <c r="F23" s="929" t="s">
        <v>651</v>
      </c>
      <c r="G23" s="929" t="s">
        <v>677</v>
      </c>
      <c r="H23" s="929" t="s">
        <v>678</v>
      </c>
      <c r="I23" s="929" t="s">
        <v>119</v>
      </c>
      <c r="J23" s="929" t="s">
        <v>679</v>
      </c>
      <c r="K23" s="929" t="s">
        <v>680</v>
      </c>
      <c r="L23" s="930" t="s">
        <v>681</v>
      </c>
      <c r="M23" s="129" t="s">
        <v>182</v>
      </c>
      <c r="N23" s="268" t="s">
        <v>316</v>
      </c>
    </row>
    <row r="24" spans="1:18">
      <c r="A24" s="32" t="s">
        <v>666</v>
      </c>
      <c r="B24" s="914">
        <v>6.917209725570793E-4</v>
      </c>
      <c r="C24" s="914">
        <v>0.7736533124238355</v>
      </c>
      <c r="D24" s="890"/>
      <c r="E24" s="914"/>
      <c r="F24" s="914">
        <v>2.0167997068004534E-5</v>
      </c>
      <c r="G24" s="914">
        <v>9.924786749950698E-4</v>
      </c>
      <c r="H24" s="890"/>
      <c r="I24" s="890">
        <v>3.08527784353005E-3</v>
      </c>
      <c r="J24" s="890">
        <v>0.21781338224224689</v>
      </c>
      <c r="K24" s="890">
        <v>4.7361385207626361E-3</v>
      </c>
      <c r="M24" s="269" t="s">
        <v>714</v>
      </c>
      <c r="N24" s="891">
        <f>SUM(B24:K24)</f>
        <v>1.0009924786749953</v>
      </c>
      <c r="O24" s="888" t="s">
        <v>652</v>
      </c>
    </row>
    <row r="25" spans="1:18">
      <c r="A25" s="32" t="s">
        <v>667</v>
      </c>
      <c r="B25" s="890" t="s">
        <v>715</v>
      </c>
      <c r="C25" s="914">
        <v>0.99949792595839149</v>
      </c>
      <c r="D25" s="890"/>
      <c r="E25" s="890"/>
      <c r="F25" s="914" t="s">
        <v>715</v>
      </c>
      <c r="G25" s="890" t="s">
        <v>715</v>
      </c>
      <c r="H25" s="890"/>
      <c r="I25" s="890" t="s">
        <v>715</v>
      </c>
      <c r="J25" s="890">
        <v>5.0207404160854336E-4</v>
      </c>
      <c r="K25" s="89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2015</v>
      </c>
      <c r="D30" s="274" t="s">
        <v>319</v>
      </c>
      <c r="E30" s="243" t="s">
        <v>182</v>
      </c>
      <c r="F30" s="271"/>
      <c r="G30" s="243"/>
      <c r="H30" s="243"/>
      <c r="I30" s="243"/>
      <c r="J30" s="243"/>
      <c r="K30" s="243"/>
      <c r="L30" s="272"/>
    </row>
    <row r="31" spans="1:18">
      <c r="A31" s="275" t="s">
        <v>320</v>
      </c>
      <c r="B31" s="276"/>
      <c r="C31" s="277"/>
      <c r="D31" s="276">
        <v>4.2694999999999997E-2</v>
      </c>
      <c r="E31" s="926" t="s">
        <v>755</v>
      </c>
      <c r="F31" s="53"/>
      <c r="G31" s="43"/>
      <c r="H31" s="43"/>
      <c r="I31" s="43"/>
      <c r="J31" s="43"/>
      <c r="K31" s="43"/>
      <c r="L31" s="174"/>
    </row>
    <row r="32" spans="1:18">
      <c r="A32" s="278" t="s">
        <v>321</v>
      </c>
      <c r="B32" s="279"/>
      <c r="C32" s="280"/>
      <c r="D32" s="279">
        <v>3.73E-2</v>
      </c>
      <c r="E32" s="926" t="s">
        <v>755</v>
      </c>
      <c r="F32" s="53"/>
      <c r="G32" s="43"/>
      <c r="H32" s="43"/>
      <c r="I32" s="43"/>
      <c r="J32" s="43"/>
      <c r="K32" s="43"/>
      <c r="L32" s="174"/>
    </row>
    <row r="33" spans="1:16">
      <c r="A33" s="278" t="s">
        <v>322</v>
      </c>
      <c r="B33" s="281"/>
      <c r="C33" s="282"/>
      <c r="D33" s="58"/>
      <c r="E33" s="925"/>
      <c r="F33" s="53"/>
      <c r="G33" s="43"/>
      <c r="H33" s="43"/>
      <c r="I33" s="43"/>
      <c r="J33" s="43"/>
      <c r="K33" s="43"/>
      <c r="L33" s="174"/>
    </row>
    <row r="34" spans="1:16">
      <c r="A34" s="278" t="s">
        <v>323</v>
      </c>
      <c r="B34" s="281"/>
      <c r="C34" s="283">
        <v>3.4799999999999998E-2</v>
      </c>
      <c r="D34" s="58"/>
      <c r="E34" s="92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2015</v>
      </c>
      <c r="D37" s="274" t="s">
        <v>319</v>
      </c>
      <c r="E37" s="927" t="s">
        <v>182</v>
      </c>
      <c r="F37" s="286"/>
      <c r="G37" s="267"/>
      <c r="H37" s="267"/>
      <c r="I37" s="267"/>
      <c r="J37" s="267"/>
      <c r="K37" s="267"/>
      <c r="L37" s="268"/>
    </row>
    <row r="38" spans="1:16">
      <c r="A38" s="278" t="s">
        <v>325</v>
      </c>
      <c r="B38" s="279"/>
      <c r="C38" s="280"/>
      <c r="D38" s="279">
        <v>4.3774E-2</v>
      </c>
      <c r="E38" s="926" t="s">
        <v>755</v>
      </c>
      <c r="F38" s="282"/>
      <c r="G38" s="58"/>
      <c r="H38" s="58"/>
      <c r="I38" s="58"/>
      <c r="J38" s="58"/>
      <c r="K38" s="58"/>
      <c r="L38" s="284"/>
    </row>
    <row r="39" spans="1:16">
      <c r="A39" s="278" t="s">
        <v>326</v>
      </c>
      <c r="B39" s="279"/>
      <c r="C39" s="280"/>
      <c r="D39" s="279">
        <v>2.8799999999999999E-2</v>
      </c>
      <c r="E39" s="926" t="s">
        <v>755</v>
      </c>
      <c r="F39" s="282"/>
      <c r="G39" s="58"/>
      <c r="H39" s="58"/>
      <c r="I39" s="58"/>
      <c r="J39" s="58"/>
      <c r="K39" s="58"/>
      <c r="L39" s="284"/>
    </row>
    <row r="40" spans="1:16">
      <c r="A40" s="278" t="s">
        <v>322</v>
      </c>
      <c r="B40" s="281"/>
      <c r="C40" s="282"/>
      <c r="D40" s="282"/>
      <c r="E40" s="926"/>
      <c r="F40" s="58"/>
      <c r="G40" s="58"/>
      <c r="H40" s="58"/>
      <c r="I40" s="58"/>
      <c r="J40" s="58"/>
      <c r="K40" s="58"/>
      <c r="L40" s="284"/>
    </row>
    <row r="41" spans="1:16">
      <c r="A41" s="278" t="s">
        <v>327</v>
      </c>
      <c r="B41" s="281"/>
      <c r="C41" s="283">
        <v>4.36E-2</v>
      </c>
      <c r="D41" s="282"/>
      <c r="E41" s="92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501</v>
      </c>
      <c r="B46" s="1224" t="s">
        <v>548</v>
      </c>
      <c r="C46" s="1225"/>
      <c r="D46" s="1225"/>
      <c r="E46" s="1225"/>
      <c r="F46" s="1225"/>
      <c r="G46" s="1225"/>
      <c r="H46" s="1225"/>
      <c r="I46" s="1225"/>
      <c r="J46" s="1225"/>
      <c r="K46" s="1225"/>
      <c r="L46" s="1225"/>
      <c r="M46" s="1225"/>
      <c r="N46" s="1225"/>
      <c r="O46" s="1225"/>
      <c r="P46" s="1225"/>
    </row>
    <row r="47" spans="1:16" s="15" customFormat="1" ht="15.75" thickTop="1">
      <c r="A47" s="1223"/>
      <c r="B47" s="1226" t="s">
        <v>21</v>
      </c>
      <c r="C47" s="1226" t="s">
        <v>196</v>
      </c>
      <c r="D47" s="1228" t="s">
        <v>197</v>
      </c>
      <c r="E47" s="1229"/>
      <c r="F47" s="1229"/>
      <c r="G47" s="1229"/>
      <c r="H47" s="1229"/>
      <c r="I47" s="1229"/>
      <c r="J47" s="1229"/>
      <c r="K47" s="1230"/>
      <c r="L47" s="1228" t="s">
        <v>198</v>
      </c>
      <c r="M47" s="1229"/>
      <c r="N47" s="1229"/>
      <c r="O47" s="1229"/>
      <c r="P47" s="1230"/>
    </row>
    <row r="48" spans="1:16" s="15" customFormat="1" ht="45">
      <c r="A48" s="1223"/>
      <c r="B48" s="1227"/>
      <c r="C48" s="1227"/>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6.3687451288190009E-3</v>
      </c>
      <c r="H50" s="321">
        <f t="shared" si="2"/>
        <v>0</v>
      </c>
      <c r="I50" s="321">
        <f t="shared" si="2"/>
        <v>0</v>
      </c>
      <c r="J50" s="321">
        <f t="shared" si="2"/>
        <v>0</v>
      </c>
      <c r="K50" s="321">
        <f t="shared" si="2"/>
        <v>0</v>
      </c>
      <c r="L50" s="321">
        <f t="shared" si="2"/>
        <v>0</v>
      </c>
      <c r="M50" s="321">
        <f t="shared" si="2"/>
        <v>1.9754422585343935E-4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6.3687451288190009E-3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1.9754422585343935E-4</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1769.0958691163892</v>
      </c>
      <c r="H54" s="21">
        <f t="shared" si="3"/>
        <v>0</v>
      </c>
      <c r="I54" s="21">
        <f t="shared" si="3"/>
        <v>0</v>
      </c>
      <c r="J54" s="21">
        <f t="shared" si="3"/>
        <v>0</v>
      </c>
      <c r="K54" s="21">
        <f t="shared" si="3"/>
        <v>0</v>
      </c>
      <c r="L54" s="21">
        <f t="shared" si="3"/>
        <v>0</v>
      </c>
      <c r="M54" s="21">
        <f t="shared" si="3"/>
        <v>54.873396070399821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0.20639694588001592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472.34859705407592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887">
        <f>C30</f>
        <v>2015</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51" t="s">
        <v>221</v>
      </c>
      <c r="B2" s="1151"/>
      <c r="C2" s="1151"/>
      <c r="D2" s="59"/>
      <c r="E2" s="59"/>
      <c r="F2" s="59"/>
      <c r="G2" s="59"/>
      <c r="H2" s="60"/>
      <c r="I2" s="60"/>
      <c r="J2" s="61"/>
      <c r="K2" s="61"/>
      <c r="L2" s="60"/>
      <c r="M2" s="60"/>
      <c r="N2" s="60"/>
      <c r="O2" s="60"/>
      <c r="P2" s="60"/>
      <c r="Q2" s="60"/>
      <c r="R2" s="60"/>
    </row>
    <row r="3" spans="1:19">
      <c r="A3" s="1152"/>
      <c r="B3" s="1152"/>
      <c r="C3" s="1152"/>
      <c r="D3" s="1152"/>
      <c r="E3" s="1152"/>
      <c r="F3" s="1152"/>
      <c r="G3" s="1152"/>
      <c r="H3" s="1152"/>
      <c r="I3" s="1152"/>
      <c r="J3" s="1152"/>
      <c r="K3" s="1152"/>
      <c r="L3" s="1152"/>
      <c r="M3" s="1152"/>
      <c r="N3" s="1152"/>
      <c r="O3" s="1152"/>
      <c r="P3" s="1152"/>
      <c r="Q3" s="1152"/>
      <c r="R3" s="1152"/>
    </row>
    <row r="4" spans="1:19" ht="15.75" thickBot="1">
      <c r="A4" s="472"/>
      <c r="B4" s="472"/>
      <c r="C4" s="63"/>
      <c r="D4" s="63"/>
      <c r="E4" s="63"/>
      <c r="F4" s="63"/>
      <c r="G4" s="63"/>
      <c r="H4" s="63"/>
      <c r="I4" s="63"/>
      <c r="J4" s="63"/>
      <c r="K4" s="63"/>
      <c r="L4" s="63"/>
      <c r="M4" s="63"/>
      <c r="N4" s="63"/>
      <c r="O4" s="63"/>
      <c r="P4" s="63"/>
      <c r="Q4" s="63"/>
      <c r="R4" s="63"/>
    </row>
    <row r="5" spans="1:19" ht="16.5" thickBot="1">
      <c r="A5" s="1153" t="s">
        <v>222</v>
      </c>
      <c r="B5" s="801"/>
      <c r="C5" s="1156" t="s">
        <v>343</v>
      </c>
      <c r="D5" s="1157"/>
      <c r="E5" s="1157"/>
      <c r="F5" s="1157"/>
      <c r="G5" s="1157"/>
      <c r="H5" s="1157"/>
      <c r="I5" s="1157"/>
      <c r="J5" s="1157"/>
      <c r="K5" s="1157"/>
      <c r="L5" s="1157"/>
      <c r="M5" s="1157"/>
      <c r="N5" s="1157"/>
      <c r="O5" s="1157"/>
      <c r="P5" s="1157"/>
      <c r="Q5" s="1157"/>
      <c r="R5" s="1158"/>
    </row>
    <row r="6" spans="1:19" ht="16.5" thickTop="1">
      <c r="A6" s="1154"/>
      <c r="B6" s="802"/>
      <c r="C6" s="1159" t="s">
        <v>21</v>
      </c>
      <c r="D6" s="1161" t="s">
        <v>196</v>
      </c>
      <c r="E6" s="1163" t="s">
        <v>197</v>
      </c>
      <c r="F6" s="1164"/>
      <c r="G6" s="1164"/>
      <c r="H6" s="1164"/>
      <c r="I6" s="1164"/>
      <c r="J6" s="1164"/>
      <c r="K6" s="1164"/>
      <c r="L6" s="1165"/>
      <c r="M6" s="1163" t="s">
        <v>198</v>
      </c>
      <c r="N6" s="1164"/>
      <c r="O6" s="1164"/>
      <c r="P6" s="1164"/>
      <c r="Q6" s="1164"/>
      <c r="R6" s="1166" t="s">
        <v>116</v>
      </c>
    </row>
    <row r="7" spans="1:19" ht="45.75" thickBot="1">
      <c r="A7" s="1155"/>
      <c r="B7" s="803"/>
      <c r="C7" s="1160"/>
      <c r="D7" s="1162"/>
      <c r="E7" s="1004" t="s">
        <v>199</v>
      </c>
      <c r="F7" s="1004" t="s">
        <v>200</v>
      </c>
      <c r="G7" s="64" t="s">
        <v>201</v>
      </c>
      <c r="H7" s="1004" t="s">
        <v>202</v>
      </c>
      <c r="I7" s="1004" t="s">
        <v>120</v>
      </c>
      <c r="J7" s="1004" t="s">
        <v>203</v>
      </c>
      <c r="K7" s="469" t="s">
        <v>204</v>
      </c>
      <c r="L7" s="469" t="s">
        <v>205</v>
      </c>
      <c r="M7" s="64" t="s">
        <v>206</v>
      </c>
      <c r="N7" s="65" t="s">
        <v>207</v>
      </c>
      <c r="O7" s="65" t="s">
        <v>208</v>
      </c>
      <c r="P7" s="65" t="s">
        <v>209</v>
      </c>
      <c r="Q7" s="66" t="s">
        <v>210</v>
      </c>
      <c r="R7" s="1167"/>
    </row>
    <row r="8" spans="1:19" ht="18.75" customHeight="1" thickTop="1">
      <c r="A8" s="808" t="s">
        <v>344</v>
      </c>
      <c r="B8" s="813"/>
      <c r="C8" s="1138"/>
      <c r="D8" s="1138"/>
      <c r="E8" s="1138"/>
      <c r="F8" s="1138"/>
      <c r="G8" s="1138"/>
      <c r="H8" s="1138"/>
      <c r="I8" s="1138"/>
      <c r="J8" s="1138"/>
      <c r="K8" s="1138"/>
      <c r="L8" s="1138"/>
      <c r="M8" s="1138"/>
      <c r="N8" s="1138"/>
      <c r="O8" s="1138"/>
      <c r="P8" s="1138"/>
      <c r="Q8" s="1138"/>
      <c r="R8" s="308"/>
    </row>
    <row r="9" spans="1:19" s="473" customFormat="1">
      <c r="A9" s="809" t="s">
        <v>223</v>
      </c>
      <c r="B9" s="814"/>
      <c r="C9" s="1012">
        <f>'Eigen gebouwen'!B15</f>
        <v>0</v>
      </c>
      <c r="D9" s="1012">
        <f>'Eigen gebouwen'!C15</f>
        <v>0</v>
      </c>
      <c r="E9" s="1012">
        <f>'Eigen gebouwen'!D15</f>
        <v>0</v>
      </c>
      <c r="F9" s="1012">
        <f>'Eigen gebouwen'!E15</f>
        <v>0</v>
      </c>
      <c r="G9" s="1012">
        <f>'Eigen gebouwen'!F15</f>
        <v>0</v>
      </c>
      <c r="H9" s="1012">
        <f>'Eigen gebouwen'!G15</f>
        <v>0</v>
      </c>
      <c r="I9" s="1012">
        <f>'Eigen gebouwen'!H15</f>
        <v>0</v>
      </c>
      <c r="J9" s="1012">
        <f>'Eigen gebouwen'!I15</f>
        <v>0</v>
      </c>
      <c r="K9" s="1012">
        <f>'Eigen gebouwen'!J15</f>
        <v>0</v>
      </c>
      <c r="L9" s="1012">
        <f>'Eigen gebouwen'!K15</f>
        <v>0</v>
      </c>
      <c r="M9" s="1012">
        <f>'Eigen gebouwen'!L15</f>
        <v>0</v>
      </c>
      <c r="N9" s="1012">
        <f>'Eigen gebouwen'!M15</f>
        <v>0</v>
      </c>
      <c r="O9" s="1012">
        <f>'Eigen gebouwen'!N15</f>
        <v>0</v>
      </c>
      <c r="P9" s="1012">
        <f>'Eigen gebouwen'!O15</f>
        <v>0</v>
      </c>
      <c r="Q9" s="1013">
        <f>'Eigen gebouwen'!P15</f>
        <v>0</v>
      </c>
      <c r="R9" s="699">
        <f>SUM(C9:Q9)</f>
        <v>0</v>
      </c>
      <c r="S9" s="67"/>
    </row>
    <row r="10" spans="1:19" s="473" customFormat="1">
      <c r="A10" s="810" t="s">
        <v>224</v>
      </c>
      <c r="B10" s="815"/>
      <c r="C10" s="1012">
        <f ca="1">tertiair!B16+'openbare verlichting'!B8</f>
        <v>22845.123639760001</v>
      </c>
      <c r="D10" s="1012">
        <f ca="1">tertiair!C16</f>
        <v>0</v>
      </c>
      <c r="E10" s="1012">
        <f ca="1">tertiair!D16</f>
        <v>17309.985076302601</v>
      </c>
      <c r="F10" s="1012">
        <f>tertiair!E16</f>
        <v>487.32871325576383</v>
      </c>
      <c r="G10" s="1012">
        <f ca="1">tertiair!F16</f>
        <v>5314.0267777153404</v>
      </c>
      <c r="H10" s="1012">
        <f>tertiair!G16</f>
        <v>0</v>
      </c>
      <c r="I10" s="1012">
        <f>tertiair!H16</f>
        <v>0</v>
      </c>
      <c r="J10" s="1012">
        <f>tertiair!I16</f>
        <v>0</v>
      </c>
      <c r="K10" s="1012">
        <f>tertiair!J16</f>
        <v>0</v>
      </c>
      <c r="L10" s="1012">
        <f>tertiair!K16</f>
        <v>0</v>
      </c>
      <c r="M10" s="1012">
        <f ca="1">tertiair!L16</f>
        <v>0</v>
      </c>
      <c r="N10" s="1012">
        <f>tertiair!M16</f>
        <v>0</v>
      </c>
      <c r="O10" s="1012">
        <f ca="1">tertiair!N16</f>
        <v>1263.2575478123335</v>
      </c>
      <c r="P10" s="1012">
        <f>tertiair!O16</f>
        <v>0</v>
      </c>
      <c r="Q10" s="1013">
        <f>tertiair!P16</f>
        <v>0</v>
      </c>
      <c r="R10" s="700">
        <f ca="1">SUM(C10:Q10)</f>
        <v>47219.721754846047</v>
      </c>
      <c r="S10" s="67"/>
    </row>
    <row r="11" spans="1:19" s="473" customFormat="1">
      <c r="A11" s="809" t="s">
        <v>225</v>
      </c>
      <c r="B11" s="814"/>
      <c r="C11" s="1012">
        <f>huishoudens!B8</f>
        <v>27065.105156183236</v>
      </c>
      <c r="D11" s="1012">
        <f>huishoudens!C8</f>
        <v>0</v>
      </c>
      <c r="E11" s="1012">
        <f>huishoudens!D8</f>
        <v>51658.764466804001</v>
      </c>
      <c r="F11" s="1012">
        <f>huishoudens!E8</f>
        <v>5630.1010918827033</v>
      </c>
      <c r="G11" s="1012">
        <f>huishoudens!F8</f>
        <v>31990.45896847621</v>
      </c>
      <c r="H11" s="1012">
        <f>huishoudens!G8</f>
        <v>0</v>
      </c>
      <c r="I11" s="1012">
        <f>huishoudens!H8</f>
        <v>0</v>
      </c>
      <c r="J11" s="1012">
        <f>huishoudens!I8</f>
        <v>0</v>
      </c>
      <c r="K11" s="1012">
        <f>huishoudens!J8</f>
        <v>0</v>
      </c>
      <c r="L11" s="1012">
        <f>huishoudens!K8</f>
        <v>0</v>
      </c>
      <c r="M11" s="1012">
        <f>huishoudens!L8</f>
        <v>0</v>
      </c>
      <c r="N11" s="1012">
        <f>huishoudens!M8</f>
        <v>0</v>
      </c>
      <c r="O11" s="1012">
        <f>huishoudens!N8</f>
        <v>7077.4783367069385</v>
      </c>
      <c r="P11" s="1012">
        <f>huishoudens!O8</f>
        <v>154.77000000000001</v>
      </c>
      <c r="Q11" s="1013">
        <f>huishoudens!P8</f>
        <v>476.66666666666663</v>
      </c>
      <c r="R11" s="700">
        <f>SUM(C11:Q11)</f>
        <v>124053.34468671976</v>
      </c>
      <c r="S11" s="67"/>
    </row>
    <row r="12" spans="1:19" s="473" customFormat="1">
      <c r="A12" s="809" t="s">
        <v>504</v>
      </c>
      <c r="B12" s="814"/>
      <c r="C12" s="1012">
        <f>'Eigen openbare verlichting'!B15</f>
        <v>0</v>
      </c>
      <c r="D12" s="1012"/>
      <c r="E12" s="1012"/>
      <c r="F12" s="1012"/>
      <c r="G12" s="1012"/>
      <c r="H12" s="1012"/>
      <c r="I12" s="1012"/>
      <c r="J12" s="1012"/>
      <c r="K12" s="1012"/>
      <c r="L12" s="1012"/>
      <c r="M12" s="1012"/>
      <c r="N12" s="1012"/>
      <c r="O12" s="1012"/>
      <c r="P12" s="1012"/>
      <c r="Q12" s="1012"/>
      <c r="R12" s="700">
        <f>SUM(C12:Q12)</f>
        <v>0</v>
      </c>
      <c r="S12" s="67"/>
    </row>
    <row r="13" spans="1:19" s="473" customFormat="1">
      <c r="A13" s="809" t="s">
        <v>641</v>
      </c>
      <c r="B13" s="818" t="s">
        <v>639</v>
      </c>
      <c r="C13" s="1012">
        <f>industrie!B18</f>
        <v>9401.8019200899998</v>
      </c>
      <c r="D13" s="1012">
        <f>industrie!C18</f>
        <v>0</v>
      </c>
      <c r="E13" s="1012">
        <f>industrie!D18</f>
        <v>2725.9925045493796</v>
      </c>
      <c r="F13" s="1012">
        <f>industrie!E18</f>
        <v>772.46941353809507</v>
      </c>
      <c r="G13" s="1012">
        <f>industrie!F18</f>
        <v>2915.9118772794945</v>
      </c>
      <c r="H13" s="1012">
        <f>industrie!G18</f>
        <v>0</v>
      </c>
      <c r="I13" s="1012">
        <f>industrie!H18</f>
        <v>0</v>
      </c>
      <c r="J13" s="1012">
        <f>industrie!I18</f>
        <v>0</v>
      </c>
      <c r="K13" s="1012">
        <f>industrie!J18</f>
        <v>63.846567568943968</v>
      </c>
      <c r="L13" s="1012">
        <f>industrie!K18</f>
        <v>0</v>
      </c>
      <c r="M13" s="1012">
        <f>industrie!L18</f>
        <v>0</v>
      </c>
      <c r="N13" s="1012">
        <f>industrie!M18</f>
        <v>0</v>
      </c>
      <c r="O13" s="1012">
        <f>industrie!N18</f>
        <v>2060.8478545898774</v>
      </c>
      <c r="P13" s="1012">
        <f>industrie!O18</f>
        <v>0</v>
      </c>
      <c r="Q13" s="1013">
        <f>industrie!P18</f>
        <v>0</v>
      </c>
      <c r="R13" s="700">
        <f>SUM(C13:Q13)</f>
        <v>17940.870137615788</v>
      </c>
      <c r="S13" s="67"/>
    </row>
    <row r="14" spans="1:19" s="473" customFormat="1">
      <c r="A14" s="809"/>
      <c r="B14" s="818" t="s">
        <v>640</v>
      </c>
      <c r="C14" s="1012"/>
      <c r="D14" s="1012"/>
      <c r="E14" s="1012"/>
      <c r="F14" s="1012"/>
      <c r="G14" s="1012"/>
      <c r="H14" s="1012"/>
      <c r="I14" s="1012"/>
      <c r="J14" s="1012"/>
      <c r="K14" s="1012"/>
      <c r="L14" s="1012"/>
      <c r="M14" s="1012"/>
      <c r="N14" s="1012"/>
      <c r="O14" s="1012"/>
      <c r="P14" s="1012"/>
      <c r="Q14" s="1012"/>
      <c r="R14" s="700"/>
      <c r="S14" s="67"/>
    </row>
    <row r="15" spans="1:19" s="473" customFormat="1" ht="15" thickBot="1">
      <c r="A15" s="1014" t="s">
        <v>846</v>
      </c>
      <c r="B15" s="1015"/>
      <c r="C15" s="1016"/>
      <c r="D15" s="1016"/>
      <c r="E15" s="1016"/>
      <c r="F15" s="1016"/>
      <c r="G15" s="1016"/>
      <c r="H15" s="1016"/>
      <c r="I15" s="1016"/>
      <c r="J15" s="1016"/>
      <c r="K15" s="1016"/>
      <c r="L15" s="1016"/>
      <c r="M15" s="1016"/>
      <c r="N15" s="1016"/>
      <c r="O15" s="1016"/>
      <c r="P15" s="1016"/>
      <c r="Q15" s="1017"/>
      <c r="R15" s="699"/>
      <c r="S15" s="67"/>
    </row>
    <row r="16" spans="1:19" s="473" customFormat="1" ht="15.75" thickBot="1">
      <c r="A16" s="701" t="s">
        <v>226</v>
      </c>
      <c r="B16" s="816"/>
      <c r="C16" s="732">
        <f ca="1">SUM(C9:C15)</f>
        <v>59312.030716033238</v>
      </c>
      <c r="D16" s="732">
        <f t="shared" ref="D16:R16" ca="1" si="0">SUM(D9:D15)</f>
        <v>0</v>
      </c>
      <c r="E16" s="732">
        <f t="shared" ca="1" si="0"/>
        <v>71694.742047655978</v>
      </c>
      <c r="F16" s="732">
        <f t="shared" si="0"/>
        <v>6889.8992186765618</v>
      </c>
      <c r="G16" s="732">
        <f t="shared" ca="1" si="0"/>
        <v>40220.39762347105</v>
      </c>
      <c r="H16" s="732">
        <f t="shared" si="0"/>
        <v>0</v>
      </c>
      <c r="I16" s="732">
        <f t="shared" si="0"/>
        <v>0</v>
      </c>
      <c r="J16" s="732">
        <f t="shared" si="0"/>
        <v>0</v>
      </c>
      <c r="K16" s="732">
        <f t="shared" si="0"/>
        <v>63.846567568943968</v>
      </c>
      <c r="L16" s="732">
        <f t="shared" si="0"/>
        <v>0</v>
      </c>
      <c r="M16" s="732">
        <f t="shared" ca="1" si="0"/>
        <v>0</v>
      </c>
      <c r="N16" s="732">
        <f t="shared" si="0"/>
        <v>0</v>
      </c>
      <c r="O16" s="732">
        <f t="shared" ca="1" si="0"/>
        <v>10401.58373910915</v>
      </c>
      <c r="P16" s="732">
        <f t="shared" si="0"/>
        <v>154.77000000000001</v>
      </c>
      <c r="Q16" s="732">
        <f t="shared" si="0"/>
        <v>476.66666666666663</v>
      </c>
      <c r="R16" s="732">
        <f t="shared" ca="1" si="0"/>
        <v>189213.93657918161</v>
      </c>
      <c r="S16" s="67"/>
    </row>
    <row r="17" spans="1:19" s="473" customFormat="1" ht="15.75">
      <c r="A17" s="811" t="s">
        <v>227</v>
      </c>
      <c r="B17" s="736"/>
      <c r="C17" s="1139"/>
      <c r="D17" s="1139"/>
      <c r="E17" s="1139"/>
      <c r="F17" s="1139"/>
      <c r="G17" s="1139"/>
      <c r="H17" s="1139"/>
      <c r="I17" s="1139"/>
      <c r="J17" s="1139"/>
      <c r="K17" s="1139"/>
      <c r="L17" s="1139"/>
      <c r="M17" s="1139"/>
      <c r="N17" s="1139"/>
      <c r="O17" s="1139"/>
      <c r="P17" s="1139"/>
      <c r="Q17" s="1139"/>
      <c r="R17" s="702"/>
      <c r="S17" s="67"/>
    </row>
    <row r="18" spans="1:19" s="473" customFormat="1">
      <c r="A18" s="809" t="s">
        <v>228</v>
      </c>
      <c r="B18" s="814"/>
      <c r="C18" s="1012">
        <f>'Eigen vloot'!B27</f>
        <v>0</v>
      </c>
      <c r="D18" s="1012">
        <f>'Eigen vloot'!C27</f>
        <v>0</v>
      </c>
      <c r="E18" s="1012">
        <f>'Eigen vloot'!D27</f>
        <v>0</v>
      </c>
      <c r="F18" s="1012">
        <f>'Eigen vloot'!E27</f>
        <v>0</v>
      </c>
      <c r="G18" s="1012">
        <f>'Eigen vloot'!F27</f>
        <v>0</v>
      </c>
      <c r="H18" s="1012">
        <f>'Eigen vloot'!G27</f>
        <v>0</v>
      </c>
      <c r="I18" s="1012">
        <f>'Eigen vloot'!H27</f>
        <v>0</v>
      </c>
      <c r="J18" s="1012">
        <f>'Eigen vloot'!I27</f>
        <v>0</v>
      </c>
      <c r="K18" s="1012">
        <f>'Eigen vloot'!J27</f>
        <v>0</v>
      </c>
      <c r="L18" s="1012">
        <f>'Eigen vloot'!K27</f>
        <v>0</v>
      </c>
      <c r="M18" s="1012">
        <f>'Eigen vloot'!L27</f>
        <v>0</v>
      </c>
      <c r="N18" s="1012">
        <f>'Eigen vloot'!M27</f>
        <v>0</v>
      </c>
      <c r="O18" s="1012">
        <f>'Eigen vloot'!N27</f>
        <v>0</v>
      </c>
      <c r="P18" s="1012">
        <f>'Eigen vloot'!O27</f>
        <v>0</v>
      </c>
      <c r="Q18" s="1013">
        <f>'Eigen vloot'!P27</f>
        <v>0</v>
      </c>
      <c r="R18" s="700">
        <f>SUM(C18:Q18)</f>
        <v>0</v>
      </c>
      <c r="S18" s="67"/>
    </row>
    <row r="19" spans="1:19" s="473" customFormat="1">
      <c r="A19" s="809" t="s">
        <v>229</v>
      </c>
      <c r="B19" s="814"/>
      <c r="C19" s="1012">
        <f>transport!B54</f>
        <v>0</v>
      </c>
      <c r="D19" s="1012">
        <f>transport!C54</f>
        <v>0</v>
      </c>
      <c r="E19" s="1012">
        <f>transport!D54</f>
        <v>0</v>
      </c>
      <c r="F19" s="1012">
        <f>transport!E54</f>
        <v>0</v>
      </c>
      <c r="G19" s="1012">
        <f>transport!F54</f>
        <v>0</v>
      </c>
      <c r="H19" s="1012">
        <f>transport!G54</f>
        <v>1769.0958691163892</v>
      </c>
      <c r="I19" s="1012">
        <f>transport!H54</f>
        <v>0</v>
      </c>
      <c r="J19" s="1012">
        <f>transport!I54</f>
        <v>0</v>
      </c>
      <c r="K19" s="1012">
        <f>transport!J54</f>
        <v>0</v>
      </c>
      <c r="L19" s="1012">
        <f>transport!K54</f>
        <v>0</v>
      </c>
      <c r="M19" s="1012">
        <f>transport!L54</f>
        <v>0</v>
      </c>
      <c r="N19" s="1012">
        <f>transport!M54</f>
        <v>54.873396070399821</v>
      </c>
      <c r="O19" s="1012">
        <f>transport!N54</f>
        <v>0</v>
      </c>
      <c r="P19" s="1012">
        <f>transport!O54</f>
        <v>0</v>
      </c>
      <c r="Q19" s="1013">
        <f>transport!P54</f>
        <v>0</v>
      </c>
      <c r="R19" s="700">
        <f>SUM(C19:Q19)</f>
        <v>1823.969265186789</v>
      </c>
      <c r="S19" s="67"/>
    </row>
    <row r="20" spans="1:19" s="473" customFormat="1">
      <c r="A20" s="809" t="s">
        <v>307</v>
      </c>
      <c r="B20" s="814"/>
      <c r="C20" s="1012">
        <f>transport!B14</f>
        <v>53.661314420743572</v>
      </c>
      <c r="D20" s="1012">
        <f>transport!C14</f>
        <v>0</v>
      </c>
      <c r="E20" s="1012">
        <f>transport!D14</f>
        <v>126.32494285794486</v>
      </c>
      <c r="F20" s="1012">
        <f>transport!E14</f>
        <v>561.76220123945404</v>
      </c>
      <c r="G20" s="1012">
        <f>transport!F14</f>
        <v>0</v>
      </c>
      <c r="H20" s="1012">
        <f>transport!G14</f>
        <v>192513.44538159066</v>
      </c>
      <c r="I20" s="1012">
        <f>transport!H14</f>
        <v>34803.339008989336</v>
      </c>
      <c r="J20" s="1012">
        <f>transport!I14</f>
        <v>0</v>
      </c>
      <c r="K20" s="1012">
        <f>transport!J14</f>
        <v>0</v>
      </c>
      <c r="L20" s="1012">
        <f>transport!K14</f>
        <v>0</v>
      </c>
      <c r="M20" s="1012">
        <f>transport!L14</f>
        <v>0</v>
      </c>
      <c r="N20" s="1012">
        <f>transport!M14</f>
        <v>7107.8032260376312</v>
      </c>
      <c r="O20" s="1012">
        <f>transport!N14</f>
        <v>0</v>
      </c>
      <c r="P20" s="1012">
        <f>transport!O14</f>
        <v>0</v>
      </c>
      <c r="Q20" s="1013">
        <f>transport!P14</f>
        <v>0</v>
      </c>
      <c r="R20" s="700">
        <f>SUM(C20:Q20)</f>
        <v>235166.33607513577</v>
      </c>
      <c r="S20" s="67"/>
    </row>
    <row r="21" spans="1:19" s="473" customFormat="1" ht="15" thickBot="1">
      <c r="A21" s="831" t="s">
        <v>847</v>
      </c>
      <c r="B21" s="1015"/>
      <c r="C21" s="1016"/>
      <c r="D21" s="1016"/>
      <c r="E21" s="1016"/>
      <c r="F21" s="1016"/>
      <c r="G21" s="1016"/>
      <c r="H21" s="1016"/>
      <c r="I21" s="1016"/>
      <c r="J21" s="1016"/>
      <c r="K21" s="1016"/>
      <c r="L21" s="1016"/>
      <c r="M21" s="1016"/>
      <c r="N21" s="1016"/>
      <c r="O21" s="1016"/>
      <c r="P21" s="1016"/>
      <c r="Q21" s="1017"/>
      <c r="R21" s="699"/>
      <c r="S21" s="67"/>
    </row>
    <row r="22" spans="1:19" s="473" customFormat="1" ht="15.75" thickBot="1">
      <c r="A22" s="705" t="s">
        <v>230</v>
      </c>
      <c r="B22" s="817"/>
      <c r="C22" s="812">
        <f>SUM(C18:C21)</f>
        <v>53.661314420743572</v>
      </c>
      <c r="D22" s="812">
        <f t="shared" ref="D22:R22" si="1">SUM(D18:D21)</f>
        <v>0</v>
      </c>
      <c r="E22" s="812">
        <f t="shared" si="1"/>
        <v>126.32494285794486</v>
      </c>
      <c r="F22" s="812">
        <f t="shared" si="1"/>
        <v>561.76220123945404</v>
      </c>
      <c r="G22" s="812">
        <f t="shared" si="1"/>
        <v>0</v>
      </c>
      <c r="H22" s="812">
        <f t="shared" si="1"/>
        <v>194282.54125070706</v>
      </c>
      <c r="I22" s="812">
        <f t="shared" si="1"/>
        <v>34803.339008989336</v>
      </c>
      <c r="J22" s="812">
        <f t="shared" si="1"/>
        <v>0</v>
      </c>
      <c r="K22" s="812">
        <f t="shared" si="1"/>
        <v>0</v>
      </c>
      <c r="L22" s="812">
        <f t="shared" si="1"/>
        <v>0</v>
      </c>
      <c r="M22" s="812">
        <f t="shared" si="1"/>
        <v>0</v>
      </c>
      <c r="N22" s="812">
        <f t="shared" si="1"/>
        <v>7162.6766221080306</v>
      </c>
      <c r="O22" s="812">
        <f t="shared" si="1"/>
        <v>0</v>
      </c>
      <c r="P22" s="812">
        <f t="shared" si="1"/>
        <v>0</v>
      </c>
      <c r="Q22" s="812">
        <f t="shared" si="1"/>
        <v>0</v>
      </c>
      <c r="R22" s="812">
        <f t="shared" si="1"/>
        <v>236990.30534032255</v>
      </c>
      <c r="S22" s="67"/>
    </row>
    <row r="23" spans="1:19" s="473" customFormat="1" ht="15.75">
      <c r="A23" s="811" t="s">
        <v>237</v>
      </c>
      <c r="B23" s="736"/>
      <c r="C23" s="1139"/>
      <c r="D23" s="1139"/>
      <c r="E23" s="1139"/>
      <c r="F23" s="1139"/>
      <c r="G23" s="1139"/>
      <c r="H23" s="1139"/>
      <c r="I23" s="1139"/>
      <c r="J23" s="1139"/>
      <c r="K23" s="1139"/>
      <c r="L23" s="1139"/>
      <c r="M23" s="1139"/>
      <c r="N23" s="1139"/>
      <c r="O23" s="1139"/>
      <c r="P23" s="1139"/>
      <c r="Q23" s="1139"/>
      <c r="R23" s="702"/>
      <c r="S23" s="67"/>
    </row>
    <row r="24" spans="1:19" s="473" customFormat="1">
      <c r="A24" s="809" t="s">
        <v>636</v>
      </c>
      <c r="B24" s="814"/>
      <c r="C24" s="1012">
        <f>+landbouw!B8</f>
        <v>342.39972164</v>
      </c>
      <c r="D24" s="1012">
        <f>+landbouw!C8</f>
        <v>0</v>
      </c>
      <c r="E24" s="1012">
        <f>+landbouw!D8</f>
        <v>153.21746820688</v>
      </c>
      <c r="F24" s="1012">
        <f>+landbouw!E8</f>
        <v>8.8291741581589385</v>
      </c>
      <c r="G24" s="1012">
        <f>+landbouw!F8</f>
        <v>1251.5361894536236</v>
      </c>
      <c r="H24" s="1012">
        <f>+landbouw!G8</f>
        <v>0</v>
      </c>
      <c r="I24" s="1012">
        <f>+landbouw!H8</f>
        <v>0</v>
      </c>
      <c r="J24" s="1012">
        <f>+landbouw!I8</f>
        <v>0</v>
      </c>
      <c r="K24" s="1012">
        <f>+landbouw!J8</f>
        <v>49.292964175017772</v>
      </c>
      <c r="L24" s="1012">
        <f>+landbouw!K8</f>
        <v>0</v>
      </c>
      <c r="M24" s="1012">
        <f>+landbouw!L8</f>
        <v>0</v>
      </c>
      <c r="N24" s="1012">
        <f>+landbouw!M8</f>
        <v>0</v>
      </c>
      <c r="O24" s="1012">
        <f>+landbouw!N8</f>
        <v>0</v>
      </c>
      <c r="P24" s="1012">
        <f>+landbouw!O8</f>
        <v>0</v>
      </c>
      <c r="Q24" s="1013">
        <f>+landbouw!P8</f>
        <v>0</v>
      </c>
      <c r="R24" s="700">
        <f>SUM(C24:Q24)</f>
        <v>1805.2755176336802</v>
      </c>
      <c r="S24" s="67"/>
    </row>
    <row r="25" spans="1:19" s="473" customFormat="1" ht="15" thickBot="1">
      <c r="A25" s="831" t="s">
        <v>848</v>
      </c>
      <c r="B25" s="1015"/>
      <c r="C25" s="1016">
        <f>IF(Onbekend_ele_kWh="---",0,Onbekend_ele_kWh)/1000+IF(REST_rest_ele_kWh="---",0,REST_rest_ele_kWh)/1000</f>
        <v>669.62874412000008</v>
      </c>
      <c r="D25" s="1016"/>
      <c r="E25" s="1016">
        <f>IF(onbekend_gas_kWh="---",0,onbekend_gas_kWh)/1000+IF(REST_rest_gas_kWh="---",0,REST_rest_gas_kWh)/1000</f>
        <v>1731.0771198</v>
      </c>
      <c r="F25" s="1016"/>
      <c r="G25" s="1016"/>
      <c r="H25" s="1016"/>
      <c r="I25" s="1016"/>
      <c r="J25" s="1016"/>
      <c r="K25" s="1016"/>
      <c r="L25" s="1016"/>
      <c r="M25" s="1016"/>
      <c r="N25" s="1016"/>
      <c r="O25" s="1016"/>
      <c r="P25" s="1016"/>
      <c r="Q25" s="1017"/>
      <c r="R25" s="700">
        <f>SUM(C25:Q25)</f>
        <v>2400.70586392</v>
      </c>
      <c r="S25" s="67"/>
    </row>
    <row r="26" spans="1:19" s="473" customFormat="1" ht="15.75" thickBot="1">
      <c r="A26" s="705" t="s">
        <v>849</v>
      </c>
      <c r="B26" s="817"/>
      <c r="C26" s="812">
        <f>SUM(C24:C25)</f>
        <v>1012.02846576</v>
      </c>
      <c r="D26" s="812">
        <f t="shared" ref="D26:R26" si="2">SUM(D24:D25)</f>
        <v>0</v>
      </c>
      <c r="E26" s="812">
        <f t="shared" si="2"/>
        <v>1884.2945880068801</v>
      </c>
      <c r="F26" s="812">
        <f t="shared" si="2"/>
        <v>8.8291741581589385</v>
      </c>
      <c r="G26" s="812">
        <f t="shared" si="2"/>
        <v>1251.5361894536236</v>
      </c>
      <c r="H26" s="812">
        <f t="shared" si="2"/>
        <v>0</v>
      </c>
      <c r="I26" s="812">
        <f t="shared" si="2"/>
        <v>0</v>
      </c>
      <c r="J26" s="812">
        <f t="shared" si="2"/>
        <v>0</v>
      </c>
      <c r="K26" s="812">
        <f t="shared" si="2"/>
        <v>49.292964175017772</v>
      </c>
      <c r="L26" s="812">
        <f t="shared" si="2"/>
        <v>0</v>
      </c>
      <c r="M26" s="812">
        <f t="shared" si="2"/>
        <v>0</v>
      </c>
      <c r="N26" s="812">
        <f t="shared" si="2"/>
        <v>0</v>
      </c>
      <c r="O26" s="812">
        <f t="shared" si="2"/>
        <v>0</v>
      </c>
      <c r="P26" s="812">
        <f t="shared" si="2"/>
        <v>0</v>
      </c>
      <c r="Q26" s="812">
        <f t="shared" si="2"/>
        <v>0</v>
      </c>
      <c r="R26" s="812">
        <f t="shared" si="2"/>
        <v>4205.98138155368</v>
      </c>
      <c r="S26" s="67"/>
    </row>
    <row r="27" spans="1:19" s="473" customFormat="1" ht="17.25" thickTop="1" thickBot="1">
      <c r="A27" s="706" t="s">
        <v>116</v>
      </c>
      <c r="B27" s="805"/>
      <c r="C27" s="707">
        <f ca="1">C22+C16+C26</f>
        <v>60377.72049621398</v>
      </c>
      <c r="D27" s="707">
        <f t="shared" ref="D27:R27" ca="1" si="3">D22+D16+D26</f>
        <v>0</v>
      </c>
      <c r="E27" s="707">
        <f t="shared" ca="1" si="3"/>
        <v>73705.361578520795</v>
      </c>
      <c r="F27" s="707">
        <f t="shared" si="3"/>
        <v>7460.4905940741746</v>
      </c>
      <c r="G27" s="707">
        <f t="shared" ca="1" si="3"/>
        <v>41471.933812924675</v>
      </c>
      <c r="H27" s="707">
        <f t="shared" si="3"/>
        <v>194282.54125070706</v>
      </c>
      <c r="I27" s="707">
        <f t="shared" si="3"/>
        <v>34803.339008989336</v>
      </c>
      <c r="J27" s="707">
        <f t="shared" si="3"/>
        <v>0</v>
      </c>
      <c r="K27" s="707">
        <f t="shared" si="3"/>
        <v>113.13953174396174</v>
      </c>
      <c r="L27" s="707">
        <f t="shared" si="3"/>
        <v>0</v>
      </c>
      <c r="M27" s="707">
        <f t="shared" ca="1" si="3"/>
        <v>0</v>
      </c>
      <c r="N27" s="707">
        <f t="shared" si="3"/>
        <v>7162.6766221080306</v>
      </c>
      <c r="O27" s="707">
        <f t="shared" ca="1" si="3"/>
        <v>10401.58373910915</v>
      </c>
      <c r="P27" s="707">
        <f t="shared" si="3"/>
        <v>154.77000000000001</v>
      </c>
      <c r="Q27" s="707">
        <f t="shared" si="3"/>
        <v>476.66666666666663</v>
      </c>
      <c r="R27" s="707">
        <f t="shared" ca="1" si="3"/>
        <v>430410.22330105782</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40"/>
      <c r="B31" s="1140"/>
      <c r="C31" s="1140"/>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41"/>
      <c r="B35" s="819"/>
      <c r="C35" s="1143" t="s">
        <v>347</v>
      </c>
      <c r="D35" s="1144"/>
      <c r="E35" s="1144"/>
      <c r="F35" s="1144"/>
      <c r="G35" s="1144"/>
      <c r="H35" s="1144"/>
      <c r="I35" s="1144"/>
      <c r="J35" s="1144"/>
      <c r="K35" s="1144"/>
      <c r="L35" s="1144"/>
      <c r="M35" s="1144"/>
      <c r="N35" s="1144"/>
      <c r="O35" s="1144"/>
      <c r="P35" s="1144"/>
      <c r="Q35" s="1144"/>
      <c r="R35" s="1145"/>
    </row>
    <row r="36" spans="1:18" ht="16.5" thickTop="1">
      <c r="A36" s="1142"/>
      <c r="B36" s="820"/>
      <c r="C36" s="1146" t="s">
        <v>21</v>
      </c>
      <c r="D36" s="1089" t="s">
        <v>232</v>
      </c>
      <c r="E36" s="1148" t="s">
        <v>197</v>
      </c>
      <c r="F36" s="1149"/>
      <c r="G36" s="1149"/>
      <c r="H36" s="1149"/>
      <c r="I36" s="1149"/>
      <c r="J36" s="1149"/>
      <c r="K36" s="1149"/>
      <c r="L36" s="1150"/>
      <c r="M36" s="1148" t="s">
        <v>198</v>
      </c>
      <c r="N36" s="1149"/>
      <c r="O36" s="1149"/>
      <c r="P36" s="1149"/>
      <c r="Q36" s="1149"/>
      <c r="R36" s="1104" t="s">
        <v>116</v>
      </c>
    </row>
    <row r="37" spans="1:18" ht="45.75" thickBot="1">
      <c r="A37" s="1142"/>
      <c r="B37" s="820"/>
      <c r="C37" s="1147"/>
      <c r="D37" s="1092"/>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106"/>
    </row>
    <row r="38" spans="1:18" ht="17.25" thickTop="1" thickBot="1">
      <c r="A38" s="832" t="s">
        <v>344</v>
      </c>
      <c r="B38" s="833"/>
      <c r="C38" s="725" t="s">
        <v>236</v>
      </c>
      <c r="D38" s="726"/>
      <c r="E38" s="727"/>
      <c r="F38" s="727"/>
      <c r="G38" s="727"/>
      <c r="H38" s="727"/>
      <c r="I38" s="727"/>
      <c r="J38" s="727"/>
      <c r="K38" s="727"/>
      <c r="L38" s="727"/>
      <c r="M38" s="1018"/>
      <c r="N38" s="1018"/>
      <c r="O38" s="727"/>
      <c r="P38" s="1018"/>
      <c r="Q38" s="728"/>
      <c r="R38" s="729"/>
    </row>
    <row r="39" spans="1:18" ht="15" thickTop="1">
      <c r="A39" s="1019" t="s">
        <v>223</v>
      </c>
      <c r="B39" s="829"/>
      <c r="C39" s="1012">
        <f ca="1">'Eigen gebouwen'!B19</f>
        <v>0</v>
      </c>
      <c r="D39" s="1012">
        <f ca="1">'Eigen gebouwen'!C19</f>
        <v>0</v>
      </c>
      <c r="E39" s="1012">
        <f>'Eigen gebouwen'!D19</f>
        <v>0</v>
      </c>
      <c r="F39" s="1012">
        <f>'Eigen gebouwen'!E19</f>
        <v>0</v>
      </c>
      <c r="G39" s="1012">
        <f>'Eigen gebouwen'!F19</f>
        <v>0</v>
      </c>
      <c r="H39" s="1012">
        <f>'Eigen gebouwen'!G19</f>
        <v>0</v>
      </c>
      <c r="I39" s="1012">
        <f>'Eigen gebouwen'!H19</f>
        <v>0</v>
      </c>
      <c r="J39" s="1012">
        <f>'Eigen gebouwen'!I19</f>
        <v>0</v>
      </c>
      <c r="K39" s="1012">
        <f>'Eigen gebouwen'!J19</f>
        <v>0</v>
      </c>
      <c r="L39" s="1012">
        <f>'Eigen gebouwen'!K19</f>
        <v>0</v>
      </c>
      <c r="M39" s="1012">
        <f>'Eigen gebouwen'!L19</f>
        <v>0</v>
      </c>
      <c r="N39" s="1012">
        <f>'Eigen gebouwen'!M19</f>
        <v>0</v>
      </c>
      <c r="O39" s="1012">
        <f>'Eigen gebouwen'!N19</f>
        <v>0</v>
      </c>
      <c r="P39" s="1012">
        <f>'Eigen gebouwen'!O19</f>
        <v>0</v>
      </c>
      <c r="Q39" s="774">
        <f>'Eigen gebouwen'!P19</f>
        <v>0</v>
      </c>
      <c r="R39" s="1020">
        <f t="shared" ref="R39:R44" ca="1" si="4">SUM(C39:Q39)</f>
        <v>0</v>
      </c>
    </row>
    <row r="40" spans="1:18">
      <c r="A40" s="810" t="s">
        <v>224</v>
      </c>
      <c r="B40" s="830"/>
      <c r="C40" s="1012">
        <f ca="1">tertiair!B20+'openbare verlichting'!B12</f>
        <v>4715.163747497817</v>
      </c>
      <c r="D40" s="1012">
        <f ca="1">tertiair!C20</f>
        <v>0</v>
      </c>
      <c r="E40" s="1012">
        <f ca="1">tertiair!D20</f>
        <v>3496.6169854131253</v>
      </c>
      <c r="F40" s="1012">
        <f>tertiair!E20</f>
        <v>110.6236179090584</v>
      </c>
      <c r="G40" s="1012">
        <f ca="1">tertiair!F20</f>
        <v>1418.8451496499958</v>
      </c>
      <c r="H40" s="1012">
        <f>tertiair!G20</f>
        <v>0</v>
      </c>
      <c r="I40" s="1012">
        <f>tertiair!H20</f>
        <v>0</v>
      </c>
      <c r="J40" s="1012">
        <f>tertiair!I20</f>
        <v>0</v>
      </c>
      <c r="K40" s="1012">
        <f>tertiair!J20</f>
        <v>0</v>
      </c>
      <c r="L40" s="1012">
        <f>tertiair!K20</f>
        <v>0</v>
      </c>
      <c r="M40" s="1012">
        <f ca="1">tertiair!L20</f>
        <v>0</v>
      </c>
      <c r="N40" s="1012">
        <f>tertiair!M20</f>
        <v>0</v>
      </c>
      <c r="O40" s="1012">
        <f ca="1">tertiair!N20</f>
        <v>0</v>
      </c>
      <c r="P40" s="1012">
        <f>tertiair!O20</f>
        <v>0</v>
      </c>
      <c r="Q40" s="774">
        <f>tertiair!P20</f>
        <v>0</v>
      </c>
      <c r="R40" s="850">
        <f t="shared" ca="1" si="4"/>
        <v>9741.2495004699977</v>
      </c>
    </row>
    <row r="41" spans="1:18">
      <c r="A41" s="822" t="s">
        <v>225</v>
      </c>
      <c r="B41" s="829"/>
      <c r="C41" s="1012">
        <f ca="1">huishoudens!B12</f>
        <v>5586.155044157691</v>
      </c>
      <c r="D41" s="1012">
        <f ca="1">huishoudens!C12</f>
        <v>0</v>
      </c>
      <c r="E41" s="1012">
        <f>huishoudens!D12</f>
        <v>10435.07042229441</v>
      </c>
      <c r="F41" s="1012">
        <f>huishoudens!E12</f>
        <v>1278.0329478573738</v>
      </c>
      <c r="G41" s="1012">
        <f>huishoudens!F12</f>
        <v>8541.4525445831496</v>
      </c>
      <c r="H41" s="1012">
        <f>huishoudens!G12</f>
        <v>0</v>
      </c>
      <c r="I41" s="1012">
        <f>huishoudens!H12</f>
        <v>0</v>
      </c>
      <c r="J41" s="1012">
        <f>huishoudens!I12</f>
        <v>0</v>
      </c>
      <c r="K41" s="1012">
        <f>huishoudens!J12</f>
        <v>0</v>
      </c>
      <c r="L41" s="1012">
        <f>huishoudens!K12</f>
        <v>0</v>
      </c>
      <c r="M41" s="1012">
        <f>huishoudens!L12</f>
        <v>0</v>
      </c>
      <c r="N41" s="1012">
        <f>huishoudens!M12</f>
        <v>0</v>
      </c>
      <c r="O41" s="1012">
        <f>huishoudens!N12</f>
        <v>0</v>
      </c>
      <c r="P41" s="1012">
        <f>huishoudens!O12</f>
        <v>0</v>
      </c>
      <c r="Q41" s="774">
        <f>huishoudens!P12</f>
        <v>0</v>
      </c>
      <c r="R41" s="850">
        <f t="shared" ca="1" si="4"/>
        <v>25840.710958892625</v>
      </c>
    </row>
    <row r="42" spans="1:18">
      <c r="A42" s="822" t="s">
        <v>504</v>
      </c>
      <c r="B42" s="829"/>
      <c r="C42" s="1012">
        <f ca="1">'Eigen openbare verlichting'!B19</f>
        <v>0</v>
      </c>
      <c r="D42" s="1012"/>
      <c r="E42" s="1012"/>
      <c r="F42" s="1012"/>
      <c r="G42" s="1012"/>
      <c r="H42" s="1012"/>
      <c r="I42" s="1012"/>
      <c r="J42" s="1012"/>
      <c r="K42" s="1012"/>
      <c r="L42" s="1012"/>
      <c r="M42" s="1012"/>
      <c r="N42" s="1012"/>
      <c r="O42" s="1012"/>
      <c r="P42" s="1012"/>
      <c r="Q42" s="774"/>
      <c r="R42" s="850">
        <f t="shared" ca="1" si="4"/>
        <v>0</v>
      </c>
    </row>
    <row r="43" spans="1:18">
      <c r="A43" s="822" t="s">
        <v>642</v>
      </c>
      <c r="B43" s="837" t="s">
        <v>639</v>
      </c>
      <c r="C43" s="1012">
        <f ca="1">industrie!B22</f>
        <v>1940.5032020754454</v>
      </c>
      <c r="D43" s="1012">
        <f ca="1">industrie!C22</f>
        <v>0</v>
      </c>
      <c r="E43" s="1012">
        <f>industrie!D22</f>
        <v>550.65048591897471</v>
      </c>
      <c r="F43" s="1012">
        <f>industrie!E22</f>
        <v>175.35055687314758</v>
      </c>
      <c r="G43" s="1012">
        <f>industrie!F22</f>
        <v>778.54847123362504</v>
      </c>
      <c r="H43" s="1012">
        <f>industrie!G22</f>
        <v>0</v>
      </c>
      <c r="I43" s="1012">
        <f>industrie!H22</f>
        <v>0</v>
      </c>
      <c r="J43" s="1012">
        <f>industrie!I22</f>
        <v>0</v>
      </c>
      <c r="K43" s="1012">
        <f>industrie!J22</f>
        <v>22.601684919406164</v>
      </c>
      <c r="L43" s="1012">
        <f>industrie!K22</f>
        <v>0</v>
      </c>
      <c r="M43" s="1012">
        <f>industrie!L22</f>
        <v>0</v>
      </c>
      <c r="N43" s="1012">
        <f>industrie!M22</f>
        <v>0</v>
      </c>
      <c r="O43" s="1012">
        <f>industrie!N22</f>
        <v>0</v>
      </c>
      <c r="P43" s="1012">
        <f>industrie!O22</f>
        <v>0</v>
      </c>
      <c r="Q43" s="774">
        <f>industrie!P22</f>
        <v>0</v>
      </c>
      <c r="R43" s="849">
        <f t="shared" ca="1" si="4"/>
        <v>3467.6544010205989</v>
      </c>
    </row>
    <row r="44" spans="1:18">
      <c r="A44" s="822"/>
      <c r="B44" s="829" t="s">
        <v>640</v>
      </c>
      <c r="C44" s="1012"/>
      <c r="D44" s="1012"/>
      <c r="E44" s="1012"/>
      <c r="F44" s="1012"/>
      <c r="G44" s="1012"/>
      <c r="H44" s="1012"/>
      <c r="I44" s="1012"/>
      <c r="J44" s="1012"/>
      <c r="K44" s="1012"/>
      <c r="L44" s="1012"/>
      <c r="M44" s="1012"/>
      <c r="N44" s="1012"/>
      <c r="O44" s="1012"/>
      <c r="P44" s="1012"/>
      <c r="Q44" s="774"/>
      <c r="R44" s="850">
        <f t="shared" si="4"/>
        <v>0</v>
      </c>
    </row>
    <row r="45" spans="1:18" ht="15" thickBot="1">
      <c r="A45" s="1014" t="s">
        <v>846</v>
      </c>
      <c r="B45" s="1021"/>
      <c r="C45" s="1016"/>
      <c r="D45" s="1016"/>
      <c r="E45" s="1016"/>
      <c r="F45" s="1016"/>
      <c r="G45" s="1016"/>
      <c r="H45" s="1016"/>
      <c r="I45" s="1016"/>
      <c r="J45" s="1016"/>
      <c r="K45" s="1016"/>
      <c r="L45" s="1016"/>
      <c r="M45" s="1016"/>
      <c r="N45" s="1016"/>
      <c r="O45" s="1016"/>
      <c r="P45" s="1016"/>
      <c r="Q45" s="1017"/>
      <c r="R45" s="1022"/>
    </row>
    <row r="46" spans="1:18" ht="15.75" thickBot="1">
      <c r="A46" s="823" t="s">
        <v>226</v>
      </c>
      <c r="B46" s="836"/>
      <c r="C46" s="732">
        <f ca="1">SUM(C39:C45)</f>
        <v>12241.821993730953</v>
      </c>
      <c r="D46" s="732">
        <f t="shared" ref="D46:Q46" ca="1" si="5">SUM(D39:D45)</f>
        <v>0</v>
      </c>
      <c r="E46" s="732">
        <f t="shared" ca="1" si="5"/>
        <v>14482.337893626511</v>
      </c>
      <c r="F46" s="732">
        <f t="shared" si="5"/>
        <v>1564.0071226395796</v>
      </c>
      <c r="G46" s="732">
        <f t="shared" ca="1" si="5"/>
        <v>10738.846165466772</v>
      </c>
      <c r="H46" s="732">
        <f t="shared" si="5"/>
        <v>0</v>
      </c>
      <c r="I46" s="732">
        <f t="shared" si="5"/>
        <v>0</v>
      </c>
      <c r="J46" s="732">
        <f t="shared" si="5"/>
        <v>0</v>
      </c>
      <c r="K46" s="732">
        <f t="shared" si="5"/>
        <v>22.601684919406164</v>
      </c>
      <c r="L46" s="732">
        <f t="shared" si="5"/>
        <v>0</v>
      </c>
      <c r="M46" s="732">
        <f t="shared" ca="1" si="5"/>
        <v>0</v>
      </c>
      <c r="N46" s="732">
        <f t="shared" si="5"/>
        <v>0</v>
      </c>
      <c r="O46" s="732">
        <f t="shared" ca="1" si="5"/>
        <v>0</v>
      </c>
      <c r="P46" s="732">
        <f t="shared" si="5"/>
        <v>0</v>
      </c>
      <c r="Q46" s="732">
        <f t="shared" si="5"/>
        <v>0</v>
      </c>
      <c r="R46" s="732">
        <f ca="1">SUM(R39:R45)</f>
        <v>39049.614860383219</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2">
        <f ca="1">'Eigen vloot'!B31</f>
        <v>0</v>
      </c>
      <c r="D48" s="1012">
        <f>'Eigen vloot'!C31</f>
        <v>0</v>
      </c>
      <c r="E48" s="1012">
        <f>'Eigen vloot'!D31</f>
        <v>0</v>
      </c>
      <c r="F48" s="1012">
        <f>'Eigen vloot'!E31</f>
        <v>0</v>
      </c>
      <c r="G48" s="1012">
        <f>'Eigen vloot'!F31</f>
        <v>0</v>
      </c>
      <c r="H48" s="1012">
        <f>'Eigen vloot'!G31</f>
        <v>0</v>
      </c>
      <c r="I48" s="1012">
        <f>'Eigen vloot'!H31</f>
        <v>0</v>
      </c>
      <c r="J48" s="1012">
        <f>'Eigen vloot'!I31</f>
        <v>0</v>
      </c>
      <c r="K48" s="1012">
        <f>'Eigen vloot'!J31</f>
        <v>0</v>
      </c>
      <c r="L48" s="1012">
        <f>'Eigen vloot'!K31</f>
        <v>0</v>
      </c>
      <c r="M48" s="1012">
        <f>'Eigen vloot'!L31</f>
        <v>0</v>
      </c>
      <c r="N48" s="1012">
        <f>'Eigen vloot'!M31</f>
        <v>0</v>
      </c>
      <c r="O48" s="1012">
        <f>'Eigen vloot'!N31</f>
        <v>0</v>
      </c>
      <c r="P48" s="1012">
        <f>'Eigen vloot'!O31</f>
        <v>0</v>
      </c>
      <c r="Q48" s="1012">
        <f>'Eigen vloot'!P31</f>
        <v>0</v>
      </c>
      <c r="R48" s="730">
        <f ca="1">SUM(C48:Q48)</f>
        <v>0</v>
      </c>
    </row>
    <row r="49" spans="1:18">
      <c r="A49" s="822" t="s">
        <v>229</v>
      </c>
      <c r="B49" s="829"/>
      <c r="C49" s="1012">
        <f ca="1">transport!B58</f>
        <v>0</v>
      </c>
      <c r="D49" s="1012">
        <f ca="1">transport!C58</f>
        <v>0</v>
      </c>
      <c r="E49" s="1012">
        <f>transport!D58</f>
        <v>0</v>
      </c>
      <c r="F49" s="1012">
        <f>transport!E58</f>
        <v>0</v>
      </c>
      <c r="G49" s="1012">
        <f>transport!F58</f>
        <v>0</v>
      </c>
      <c r="H49" s="1012">
        <f>transport!G58</f>
        <v>472.34859705407592</v>
      </c>
      <c r="I49" s="1012">
        <f>transport!H58</f>
        <v>0</v>
      </c>
      <c r="J49" s="1012">
        <f>transport!I58</f>
        <v>0</v>
      </c>
      <c r="K49" s="1012">
        <f>transport!J58</f>
        <v>0</v>
      </c>
      <c r="L49" s="1012">
        <f>transport!K58</f>
        <v>0</v>
      </c>
      <c r="M49" s="1012">
        <f>transport!L58</f>
        <v>0</v>
      </c>
      <c r="N49" s="1012">
        <f>transport!M58</f>
        <v>0</v>
      </c>
      <c r="O49" s="1012">
        <f>transport!N58</f>
        <v>0</v>
      </c>
      <c r="P49" s="1012">
        <f>transport!O58</f>
        <v>0</v>
      </c>
      <c r="Q49" s="1013">
        <f>transport!P58</f>
        <v>0</v>
      </c>
      <c r="R49" s="730">
        <f ca="1">SUM(C49:Q49)</f>
        <v>472.34859705407592</v>
      </c>
    </row>
    <row r="50" spans="1:18">
      <c r="A50" s="825" t="s">
        <v>307</v>
      </c>
      <c r="B50" s="835"/>
      <c r="C50" s="703">
        <f ca="1">transport!B18</f>
        <v>11.075531408348729</v>
      </c>
      <c r="D50" s="703">
        <f>transport!C18</f>
        <v>0</v>
      </c>
      <c r="E50" s="703">
        <f>transport!D18</f>
        <v>25.517638457304862</v>
      </c>
      <c r="F50" s="703">
        <f>transport!E18</f>
        <v>127.52001968135608</v>
      </c>
      <c r="G50" s="703">
        <f>transport!F18</f>
        <v>0</v>
      </c>
      <c r="H50" s="703">
        <f>transport!G18</f>
        <v>51401.08991688471</v>
      </c>
      <c r="I50" s="703">
        <f>transport!H18</f>
        <v>8666.0314132383446</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60231.234519670063</v>
      </c>
    </row>
    <row r="51" spans="1:18" ht="15" thickBot="1">
      <c r="A51" s="822" t="s">
        <v>847</v>
      </c>
      <c r="B51" s="829"/>
      <c r="C51" s="1012"/>
      <c r="D51" s="1012"/>
      <c r="E51" s="1012"/>
      <c r="F51" s="1012"/>
      <c r="G51" s="1012"/>
      <c r="H51" s="1012"/>
      <c r="I51" s="1012"/>
      <c r="J51" s="1012"/>
      <c r="K51" s="1012"/>
      <c r="L51" s="1012"/>
      <c r="M51" s="1012"/>
      <c r="N51" s="1012"/>
      <c r="O51" s="1012"/>
      <c r="P51" s="1012"/>
      <c r="Q51" s="1013"/>
      <c r="R51" s="730"/>
    </row>
    <row r="52" spans="1:18" ht="15.75" thickBot="1">
      <c r="A52" s="823" t="s">
        <v>230</v>
      </c>
      <c r="B52" s="836"/>
      <c r="C52" s="732">
        <f ca="1">SUM(C48:C51)</f>
        <v>11.075531408348729</v>
      </c>
      <c r="D52" s="732">
        <f t="shared" ref="D52:Q52" ca="1" si="6">SUM(D48:D51)</f>
        <v>0</v>
      </c>
      <c r="E52" s="732">
        <f t="shared" si="6"/>
        <v>25.517638457304862</v>
      </c>
      <c r="F52" s="732">
        <f t="shared" si="6"/>
        <v>127.52001968135608</v>
      </c>
      <c r="G52" s="732">
        <f t="shared" si="6"/>
        <v>0</v>
      </c>
      <c r="H52" s="732">
        <f t="shared" si="6"/>
        <v>51873.438513938789</v>
      </c>
      <c r="I52" s="732">
        <f t="shared" si="6"/>
        <v>8666.0314132383446</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60703.583116724141</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636</v>
      </c>
      <c r="B54" s="835"/>
      <c r="C54" s="703">
        <f ca="1">+landbouw!B12</f>
        <v>70.670256816663596</v>
      </c>
      <c r="D54" s="703">
        <f ca="1">+landbouw!C12</f>
        <v>0</v>
      </c>
      <c r="E54" s="703">
        <f>+landbouw!D12</f>
        <v>30.949928577789763</v>
      </c>
      <c r="F54" s="703">
        <f>+landbouw!E12</f>
        <v>2.0042225339020789</v>
      </c>
      <c r="G54" s="703">
        <f>+landbouw!F12</f>
        <v>334.16016258411753</v>
      </c>
      <c r="H54" s="703">
        <f>+landbouw!G12</f>
        <v>0</v>
      </c>
      <c r="I54" s="703">
        <f>+landbouw!H12</f>
        <v>0</v>
      </c>
      <c r="J54" s="703">
        <f>+landbouw!I12</f>
        <v>0</v>
      </c>
      <c r="K54" s="703">
        <f>+landbouw!J12</f>
        <v>17.449709317956291</v>
      </c>
      <c r="L54" s="703">
        <f>+landbouw!K12</f>
        <v>0</v>
      </c>
      <c r="M54" s="703">
        <f>+landbouw!L12</f>
        <v>0</v>
      </c>
      <c r="N54" s="703">
        <f>+landbouw!M12</f>
        <v>0</v>
      </c>
      <c r="O54" s="703">
        <f>+landbouw!N12</f>
        <v>0</v>
      </c>
      <c r="P54" s="703">
        <f>+landbouw!O12</f>
        <v>0</v>
      </c>
      <c r="Q54" s="704">
        <f>+landbouw!P12</f>
        <v>0</v>
      </c>
      <c r="R54" s="731">
        <f ca="1">SUM(C54:Q54)</f>
        <v>455.23427983042927</v>
      </c>
    </row>
    <row r="55" spans="1:18" ht="15" thickBot="1">
      <c r="A55" s="825" t="s">
        <v>848</v>
      </c>
      <c r="B55" s="835"/>
      <c r="C55" s="703">
        <f ca="1">C25*'EF ele_warmte'!B12</f>
        <v>138.20932765983869</v>
      </c>
      <c r="D55" s="703"/>
      <c r="E55" s="703">
        <f>E25*EF_CO2_aardgas</f>
        <v>349.67757819960002</v>
      </c>
      <c r="F55" s="703"/>
      <c r="G55" s="703"/>
      <c r="H55" s="703"/>
      <c r="I55" s="703"/>
      <c r="J55" s="703"/>
      <c r="K55" s="703"/>
      <c r="L55" s="703"/>
      <c r="M55" s="703"/>
      <c r="N55" s="703"/>
      <c r="O55" s="703"/>
      <c r="P55" s="703"/>
      <c r="Q55" s="704"/>
      <c r="R55" s="731">
        <f ca="1">SUM(C55:Q55)</f>
        <v>487.88690585943868</v>
      </c>
    </row>
    <row r="56" spans="1:18" ht="15.75" thickBot="1">
      <c r="A56" s="823" t="s">
        <v>849</v>
      </c>
      <c r="B56" s="836"/>
      <c r="C56" s="732">
        <f ca="1">SUM(C54:C55)</f>
        <v>208.87958447650229</v>
      </c>
      <c r="D56" s="732">
        <f t="shared" ref="D56:Q56" ca="1" si="7">SUM(D54:D55)</f>
        <v>0</v>
      </c>
      <c r="E56" s="732">
        <f t="shared" si="7"/>
        <v>380.62750677738978</v>
      </c>
      <c r="F56" s="732">
        <f t="shared" si="7"/>
        <v>2.0042225339020789</v>
      </c>
      <c r="G56" s="732">
        <f t="shared" si="7"/>
        <v>334.16016258411753</v>
      </c>
      <c r="H56" s="732">
        <f t="shared" si="7"/>
        <v>0</v>
      </c>
      <c r="I56" s="732">
        <f t="shared" si="7"/>
        <v>0</v>
      </c>
      <c r="J56" s="732">
        <f t="shared" si="7"/>
        <v>0</v>
      </c>
      <c r="K56" s="732">
        <f t="shared" si="7"/>
        <v>17.449709317956291</v>
      </c>
      <c r="L56" s="732">
        <f t="shared" si="7"/>
        <v>0</v>
      </c>
      <c r="M56" s="732">
        <f t="shared" si="7"/>
        <v>0</v>
      </c>
      <c r="N56" s="732">
        <f t="shared" si="7"/>
        <v>0</v>
      </c>
      <c r="O56" s="732">
        <f t="shared" si="7"/>
        <v>0</v>
      </c>
      <c r="P56" s="732">
        <f t="shared" si="7"/>
        <v>0</v>
      </c>
      <c r="Q56" s="733">
        <f t="shared" si="7"/>
        <v>0</v>
      </c>
      <c r="R56" s="734">
        <f ca="1">SUM(R54:R55)</f>
        <v>943.12118568986796</v>
      </c>
    </row>
    <row r="57" spans="1:18" ht="15.75">
      <c r="A57" s="804" t="s">
        <v>637</v>
      </c>
      <c r="B57" s="804"/>
      <c r="C57" s="737"/>
      <c r="D57" s="726"/>
      <c r="E57" s="726"/>
      <c r="F57" s="726"/>
      <c r="G57" s="726"/>
      <c r="H57" s="726"/>
      <c r="I57" s="726"/>
      <c r="J57" s="726"/>
      <c r="K57" s="726"/>
      <c r="L57" s="726"/>
      <c r="M57" s="735"/>
      <c r="N57" s="735"/>
      <c r="O57" s="726"/>
      <c r="P57" s="735"/>
      <c r="Q57" s="735"/>
      <c r="R57" s="729"/>
    </row>
    <row r="58" spans="1:18" ht="15">
      <c r="A58" s="826" t="s">
        <v>238</v>
      </c>
      <c r="B58" s="840"/>
      <c r="C58" s="1134"/>
      <c r="D58" s="1135"/>
      <c r="E58" s="1135"/>
      <c r="F58" s="1135"/>
      <c r="G58" s="1135"/>
      <c r="H58" s="1135"/>
      <c r="I58" s="1135"/>
      <c r="J58" s="1135"/>
      <c r="K58" s="1135"/>
      <c r="L58" s="1135"/>
      <c r="M58" s="1135"/>
      <c r="N58" s="1135"/>
      <c r="O58" s="1135"/>
      <c r="P58" s="1135"/>
      <c r="Q58" s="1135"/>
      <c r="R58" s="738"/>
    </row>
    <row r="59" spans="1:18" ht="15">
      <c r="A59" s="827" t="s">
        <v>239</v>
      </c>
      <c r="B59" s="814"/>
      <c r="C59" s="1136"/>
      <c r="D59" s="1137"/>
      <c r="E59" s="1137"/>
      <c r="F59" s="1137"/>
      <c r="G59" s="1137"/>
      <c r="H59" s="1137"/>
      <c r="I59" s="1137"/>
      <c r="J59" s="1137"/>
      <c r="K59" s="1137"/>
      <c r="L59" s="1137"/>
      <c r="M59" s="1137"/>
      <c r="N59" s="1137"/>
      <c r="O59" s="1137"/>
      <c r="P59" s="1137"/>
      <c r="Q59" s="1137"/>
      <c r="R59" s="739"/>
    </row>
    <row r="60" spans="1:18" ht="15" thickBot="1">
      <c r="A60" s="838" t="s">
        <v>240</v>
      </c>
      <c r="B60" s="839"/>
      <c r="C60" s="1136"/>
      <c r="D60" s="1137"/>
      <c r="E60" s="1137"/>
      <c r="F60" s="1137"/>
      <c r="G60" s="1137"/>
      <c r="H60" s="1137"/>
      <c r="I60" s="1137"/>
      <c r="J60" s="1137"/>
      <c r="K60" s="1137"/>
      <c r="L60" s="1137"/>
      <c r="M60" s="1137"/>
      <c r="N60" s="1137"/>
      <c r="O60" s="1137"/>
      <c r="P60" s="1137"/>
      <c r="Q60" s="1137"/>
      <c r="R60" s="731"/>
    </row>
    <row r="61" spans="1:18" ht="16.5" thickBot="1">
      <c r="A61" s="841" t="s">
        <v>116</v>
      </c>
      <c r="B61" s="842"/>
      <c r="C61" s="740">
        <f ca="1">C46+C52+C56</f>
        <v>12461.777109615805</v>
      </c>
      <c r="D61" s="740">
        <f t="shared" ref="D61:Q61" ca="1" si="8">D46+D52+D56</f>
        <v>0</v>
      </c>
      <c r="E61" s="740">
        <f t="shared" ca="1" si="8"/>
        <v>14888.483038861204</v>
      </c>
      <c r="F61" s="740">
        <f t="shared" si="8"/>
        <v>1693.5313648548376</v>
      </c>
      <c r="G61" s="740">
        <f t="shared" ca="1" si="8"/>
        <v>11073.006328050889</v>
      </c>
      <c r="H61" s="740">
        <f t="shared" si="8"/>
        <v>51873.438513938789</v>
      </c>
      <c r="I61" s="740">
        <f t="shared" si="8"/>
        <v>8666.0314132383446</v>
      </c>
      <c r="J61" s="740">
        <f t="shared" si="8"/>
        <v>0</v>
      </c>
      <c r="K61" s="740">
        <f t="shared" si="8"/>
        <v>40.051394237362459</v>
      </c>
      <c r="L61" s="740">
        <f t="shared" si="8"/>
        <v>0</v>
      </c>
      <c r="M61" s="740">
        <f t="shared" ca="1" si="8"/>
        <v>0</v>
      </c>
      <c r="N61" s="740">
        <f t="shared" si="8"/>
        <v>0</v>
      </c>
      <c r="O61" s="740">
        <f t="shared" ca="1" si="8"/>
        <v>0</v>
      </c>
      <c r="P61" s="740">
        <f t="shared" si="8"/>
        <v>0</v>
      </c>
      <c r="Q61" s="740">
        <f t="shared" si="8"/>
        <v>0</v>
      </c>
      <c r="R61" s="740">
        <f ca="1">R46+R52+R56</f>
        <v>100696.31916279724</v>
      </c>
    </row>
    <row r="62" spans="1:18" ht="15.75" thickTop="1" thickBot="1">
      <c r="A62" s="1002"/>
      <c r="B62" s="1002"/>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0.20639694588001592</v>
      </c>
      <c r="D63" s="781">
        <f t="shared" ca="1" si="9"/>
        <v>0</v>
      </c>
      <c r="E63" s="1023">
        <f t="shared" ca="1" si="9"/>
        <v>0.20200000000000004</v>
      </c>
      <c r="F63" s="781">
        <f t="shared" si="9"/>
        <v>0.22700000000000001</v>
      </c>
      <c r="G63" s="781">
        <f t="shared" ca="1" si="9"/>
        <v>0.26700000000000002</v>
      </c>
      <c r="H63" s="781">
        <f t="shared" si="9"/>
        <v>0.26700000000000002</v>
      </c>
      <c r="I63" s="781">
        <f t="shared" si="9"/>
        <v>0.249</v>
      </c>
      <c r="J63" s="781">
        <f t="shared" si="9"/>
        <v>0</v>
      </c>
      <c r="K63" s="781">
        <f t="shared" si="9"/>
        <v>0.35400000000000004</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103"/>
      <c r="B67" s="1103"/>
      <c r="C67" s="1103"/>
      <c r="D67" s="1103"/>
      <c r="E67" s="1103"/>
      <c r="F67" s="1103"/>
      <c r="G67" s="1103"/>
      <c r="H67" s="1103"/>
      <c r="I67" s="1103"/>
      <c r="J67" s="1103"/>
      <c r="K67" s="1103"/>
      <c r="L67" s="1103"/>
      <c r="M67" s="1103"/>
      <c r="N67" s="1103"/>
      <c r="O67" s="1103"/>
      <c r="P67" s="1103"/>
      <c r="Q67" s="1103"/>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104" t="s">
        <v>241</v>
      </c>
      <c r="B69" s="1082" t="s">
        <v>351</v>
      </c>
      <c r="C69" s="1083"/>
      <c r="D69" s="1126" t="s">
        <v>352</v>
      </c>
      <c r="E69" s="1127"/>
      <c r="F69" s="1127"/>
      <c r="G69" s="1127"/>
      <c r="H69" s="1127"/>
      <c r="I69" s="1127"/>
      <c r="J69" s="1127"/>
      <c r="K69" s="1127"/>
      <c r="L69" s="1127"/>
      <c r="M69" s="1127"/>
      <c r="N69" s="1127"/>
      <c r="O69" s="1128"/>
      <c r="P69" s="1024" t="s">
        <v>645</v>
      </c>
      <c r="Q69" s="1129" t="s">
        <v>644</v>
      </c>
      <c r="R69" s="1130"/>
    </row>
    <row r="70" spans="1:18" ht="61.5" thickTop="1" thickBot="1">
      <c r="A70" s="1105"/>
      <c r="B70" s="1124"/>
      <c r="C70" s="1125"/>
      <c r="D70" s="1131" t="s">
        <v>197</v>
      </c>
      <c r="E70" s="1132"/>
      <c r="F70" s="1132"/>
      <c r="G70" s="1132"/>
      <c r="H70" s="1133"/>
      <c r="I70" s="995" t="s">
        <v>246</v>
      </c>
      <c r="J70" s="995" t="s">
        <v>234</v>
      </c>
      <c r="K70" s="995" t="s">
        <v>209</v>
      </c>
      <c r="L70" s="995" t="s">
        <v>210</v>
      </c>
      <c r="M70" s="749" t="s">
        <v>245</v>
      </c>
      <c r="N70" s="995" t="s">
        <v>247</v>
      </c>
      <c r="O70" s="997" t="s">
        <v>127</v>
      </c>
      <c r="P70" s="1025"/>
      <c r="Q70" s="856"/>
      <c r="R70" s="857"/>
    </row>
    <row r="71" spans="1:18" ht="95.25" customHeight="1" thickTop="1" thickBot="1">
      <c r="A71" s="1106"/>
      <c r="B71" s="1000" t="s">
        <v>643</v>
      </c>
      <c r="C71" s="1000" t="s">
        <v>850</v>
      </c>
      <c r="D71" s="1026" t="s">
        <v>199</v>
      </c>
      <c r="E71" s="1027" t="s">
        <v>200</v>
      </c>
      <c r="F71" s="995" t="s">
        <v>201</v>
      </c>
      <c r="G71" s="992" t="s">
        <v>203</v>
      </c>
      <c r="H71" s="1028" t="s">
        <v>204</v>
      </c>
      <c r="I71" s="996"/>
      <c r="J71" s="996"/>
      <c r="K71" s="996"/>
      <c r="L71" s="996"/>
      <c r="M71" s="993"/>
      <c r="N71" s="996"/>
      <c r="O71" s="1001"/>
      <c r="P71" s="1029"/>
      <c r="Q71" s="1003" t="s">
        <v>646</v>
      </c>
      <c r="R71" s="1001" t="s">
        <v>647</v>
      </c>
    </row>
    <row r="72" spans="1:18" ht="15.75" thickTop="1">
      <c r="A72" s="750" t="s">
        <v>249</v>
      </c>
      <c r="B72" s="843">
        <f>'lokale energieproductie'!B4</f>
        <v>0</v>
      </c>
      <c r="C72" s="1122"/>
      <c r="D72" s="1122"/>
      <c r="E72" s="1123"/>
      <c r="F72" s="1123"/>
      <c r="G72" s="1113"/>
      <c r="H72" s="1116"/>
      <c r="I72" s="1119"/>
      <c r="J72" s="998"/>
      <c r="K72" s="1097"/>
      <c r="L72" s="1097"/>
      <c r="M72" s="1097"/>
      <c r="N72" s="1097"/>
      <c r="O72" s="1100"/>
      <c r="P72" s="851">
        <v>0</v>
      </c>
      <c r="Q72" s="1030"/>
      <c r="R72" s="851">
        <v>0</v>
      </c>
    </row>
    <row r="73" spans="1:18" ht="15">
      <c r="A73" s="751" t="s">
        <v>250</v>
      </c>
      <c r="B73" s="750">
        <f>'lokale energieproductie'!B5</f>
        <v>0</v>
      </c>
      <c r="C73" s="1120"/>
      <c r="D73" s="1120"/>
      <c r="E73" s="1098"/>
      <c r="F73" s="1098"/>
      <c r="G73" s="1114"/>
      <c r="H73" s="1117"/>
      <c r="I73" s="1120"/>
      <c r="J73" s="999"/>
      <c r="K73" s="1098"/>
      <c r="L73" s="1098"/>
      <c r="M73" s="1098"/>
      <c r="N73" s="1098"/>
      <c r="O73" s="1101"/>
      <c r="P73" s="852">
        <v>0</v>
      </c>
      <c r="Q73" s="858"/>
      <c r="R73" s="852">
        <v>0</v>
      </c>
    </row>
    <row r="74" spans="1:18" ht="15">
      <c r="A74" s="751" t="s">
        <v>251</v>
      </c>
      <c r="B74" s="750">
        <f>'lokale energieproductie'!B6</f>
        <v>3989.5887784954039</v>
      </c>
      <c r="C74" s="1120"/>
      <c r="D74" s="1120"/>
      <c r="E74" s="1098"/>
      <c r="F74" s="1098"/>
      <c r="G74" s="1114"/>
      <c r="H74" s="1117"/>
      <c r="I74" s="1120"/>
      <c r="J74" s="999"/>
      <c r="K74" s="1098"/>
      <c r="L74" s="1098"/>
      <c r="M74" s="1098"/>
      <c r="N74" s="1098"/>
      <c r="O74" s="1101"/>
      <c r="P74" s="852">
        <v>0</v>
      </c>
      <c r="Q74" s="858"/>
      <c r="R74" s="852">
        <v>0</v>
      </c>
    </row>
    <row r="75" spans="1:18" ht="15.75" thickBot="1">
      <c r="A75" s="751" t="s">
        <v>851</v>
      </c>
      <c r="B75" s="750">
        <f>'lokale energieproductie'!B7</f>
        <v>0</v>
      </c>
      <c r="C75" s="1121"/>
      <c r="D75" s="1121"/>
      <c r="E75" s="1099"/>
      <c r="F75" s="1099"/>
      <c r="G75" s="1115"/>
      <c r="H75" s="1118"/>
      <c r="I75" s="1121"/>
      <c r="J75" s="1031"/>
      <c r="K75" s="1099"/>
      <c r="L75" s="1099"/>
      <c r="M75" s="1099"/>
      <c r="N75" s="1099"/>
      <c r="O75" s="1102"/>
      <c r="P75" s="852">
        <v>0</v>
      </c>
      <c r="Q75" s="1032"/>
      <c r="R75" s="852">
        <v>0</v>
      </c>
    </row>
    <row r="76" spans="1:18" ht="15">
      <c r="A76" s="752" t="s">
        <v>252</v>
      </c>
      <c r="B76" s="750">
        <f>'lokale energieproductie'!B8*IFERROR(SUM(I76:O76)/SUM(D76:O76),0)</f>
        <v>0</v>
      </c>
      <c r="C76" s="750">
        <f>'lokale energieproductie'!B8*IFERROR(SUM(D76:H76)/SUM(D76:O76),0)</f>
        <v>0</v>
      </c>
      <c r="D76" s="1033">
        <f>'lokale energieproductie'!C8</f>
        <v>0</v>
      </c>
      <c r="E76" s="1034">
        <f>'lokale energieproductie'!D8</f>
        <v>0</v>
      </c>
      <c r="F76" s="1034">
        <f>'lokale energieproductie'!E8</f>
        <v>0</v>
      </c>
      <c r="G76" s="1034">
        <f>'lokale energieproductie'!F8</f>
        <v>0</v>
      </c>
      <c r="H76" s="1034">
        <f>'lokale energieproductie'!G8</f>
        <v>0</v>
      </c>
      <c r="I76" s="1034">
        <f>'lokale energieproductie'!I8</f>
        <v>0</v>
      </c>
      <c r="J76" s="1034">
        <f>'lokale energieproductie'!J8</f>
        <v>0</v>
      </c>
      <c r="K76" s="1034">
        <f>'lokale energieproductie'!M8</f>
        <v>0</v>
      </c>
      <c r="L76" s="1034">
        <f>'lokale energieproductie'!N8</f>
        <v>0</v>
      </c>
      <c r="M76" s="1034">
        <f>'lokale energieproductie'!H8</f>
        <v>0</v>
      </c>
      <c r="N76" s="1034">
        <f>'lokale energieproductie'!K8</f>
        <v>0</v>
      </c>
      <c r="O76" s="1035">
        <f>'lokale energieproductie'!L8</f>
        <v>0</v>
      </c>
      <c r="P76" s="1036"/>
      <c r="Q76" s="853">
        <f>D76*EF_CO2_aardgas+E76*EF_VLgas_CO2+'SEAP template'!F76*EF_stookolie_CO2+EF_bruinkool_CO2*'SEAP template'!G76+'SEAP template'!H76*EF_steenkool_CO2+'EF brandstof'!M4*'SEAP template'!M76+'SEAP template'!O76*EF_anderfossiel_CO2</f>
        <v>0</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4">
        <f>'lokale energieproductie'!I9</f>
        <v>0</v>
      </c>
      <c r="J77" s="1034">
        <f>'lokale energieproductie'!J9</f>
        <v>0</v>
      </c>
      <c r="K77" s="1034">
        <f>'lokale energieproductie'!M9</f>
        <v>0</v>
      </c>
      <c r="L77" s="1034">
        <f>'lokale energieproductie'!N9</f>
        <v>0</v>
      </c>
      <c r="M77" s="1034">
        <f>'lokale energieproductie'!H9</f>
        <v>0</v>
      </c>
      <c r="N77" s="1034">
        <f>'lokale energieproductie'!K9</f>
        <v>0</v>
      </c>
      <c r="O77" s="1035">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3989.5887784954039</v>
      </c>
      <c r="C78" s="755">
        <f>SUM(C72:C77)</f>
        <v>0</v>
      </c>
      <c r="D78" s="756">
        <f t="shared" ref="D78:H78" si="10">SUM(D76:D77)</f>
        <v>0</v>
      </c>
      <c r="E78" s="756">
        <f t="shared" si="10"/>
        <v>0</v>
      </c>
      <c r="F78" s="756">
        <f t="shared" si="10"/>
        <v>0</v>
      </c>
      <c r="G78" s="756">
        <f t="shared" si="10"/>
        <v>0</v>
      </c>
      <c r="H78" s="756">
        <f t="shared" si="10"/>
        <v>0</v>
      </c>
      <c r="I78" s="756">
        <f>SUM(I76:I77)</f>
        <v>0</v>
      </c>
      <c r="J78" s="756">
        <f>SUM(J76:J77)</f>
        <v>0</v>
      </c>
      <c r="K78" s="756">
        <f t="shared" ref="K78:L78" si="11">SUM(K76:K77)</f>
        <v>0</v>
      </c>
      <c r="L78" s="756">
        <f t="shared" si="11"/>
        <v>0</v>
      </c>
      <c r="M78" s="756">
        <f>SUM(M76:M77)</f>
        <v>0</v>
      </c>
      <c r="N78" s="756">
        <f>SUM(N76:N77)</f>
        <v>0</v>
      </c>
      <c r="O78" s="860">
        <f>SUM(O76:O77)</f>
        <v>0</v>
      </c>
      <c r="P78" s="757">
        <v>0</v>
      </c>
      <c r="Q78" s="757">
        <f>SUM(Q76:Q77)</f>
        <v>0</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1002"/>
      <c r="B80" s="1002"/>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103"/>
      <c r="B82" s="1103"/>
      <c r="C82" s="1103"/>
      <c r="D82" s="1103"/>
      <c r="E82" s="1103"/>
      <c r="F82" s="1103"/>
      <c r="G82" s="1103"/>
      <c r="H82" s="1103"/>
      <c r="I82" s="1103"/>
      <c r="J82" s="1103"/>
      <c r="K82" s="1103"/>
      <c r="L82" s="1103"/>
      <c r="M82" s="1103"/>
      <c r="N82" s="1103"/>
      <c r="O82" s="1103"/>
      <c r="P82" s="1103"/>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104" t="s">
        <v>253</v>
      </c>
      <c r="B84" s="1082" t="s">
        <v>355</v>
      </c>
      <c r="C84" s="1107"/>
      <c r="D84" s="1110" t="s">
        <v>356</v>
      </c>
      <c r="E84" s="1111"/>
      <c r="F84" s="1111"/>
      <c r="G84" s="1111"/>
      <c r="H84" s="1111"/>
      <c r="I84" s="1111"/>
      <c r="J84" s="1111"/>
      <c r="K84" s="1111"/>
      <c r="L84" s="1111"/>
      <c r="M84" s="1111"/>
      <c r="N84" s="1111"/>
      <c r="O84" s="1112"/>
      <c r="P84" s="1024" t="s">
        <v>645</v>
      </c>
      <c r="Q84" s="1082" t="s">
        <v>644</v>
      </c>
      <c r="R84" s="1083"/>
    </row>
    <row r="85" spans="1:19" ht="16.5" customHeight="1" thickTop="1" thickBot="1">
      <c r="A85" s="1105"/>
      <c r="B85" s="1108"/>
      <c r="C85" s="1109"/>
      <c r="D85" s="1084" t="s">
        <v>197</v>
      </c>
      <c r="E85" s="1085"/>
      <c r="F85" s="1085"/>
      <c r="G85" s="1085"/>
      <c r="H85" s="1086"/>
      <c r="I85" s="1087" t="s">
        <v>246</v>
      </c>
      <c r="J85" s="1089" t="s">
        <v>234</v>
      </c>
      <c r="K85" s="1091" t="s">
        <v>209</v>
      </c>
      <c r="L85" s="1091" t="s">
        <v>210</v>
      </c>
      <c r="M85" s="1093" t="s">
        <v>245</v>
      </c>
      <c r="N85" s="1091" t="s">
        <v>257</v>
      </c>
      <c r="O85" s="1095" t="s">
        <v>127</v>
      </c>
      <c r="P85" s="1025"/>
      <c r="Q85" s="856"/>
      <c r="R85" s="857"/>
    </row>
    <row r="86" spans="1:19" ht="110.25" customHeight="1" thickTop="1" thickBot="1">
      <c r="A86" s="1106"/>
      <c r="B86" s="844" t="s">
        <v>643</v>
      </c>
      <c r="C86" s="844" t="s">
        <v>850</v>
      </c>
      <c r="D86" s="1003" t="s">
        <v>199</v>
      </c>
      <c r="E86" s="996" t="s">
        <v>200</v>
      </c>
      <c r="F86" s="994" t="s">
        <v>201</v>
      </c>
      <c r="G86" s="996" t="s">
        <v>203</v>
      </c>
      <c r="H86" s="764" t="s">
        <v>204</v>
      </c>
      <c r="I86" s="1088"/>
      <c r="J86" s="1090"/>
      <c r="K86" s="1092"/>
      <c r="L86" s="1092"/>
      <c r="M86" s="1094"/>
      <c r="N86" s="1092"/>
      <c r="O86" s="1096"/>
      <c r="P86" s="1029"/>
      <c r="Q86" s="1003" t="s">
        <v>646</v>
      </c>
      <c r="R86" s="1001" t="s">
        <v>647</v>
      </c>
    </row>
    <row r="87" spans="1:19" ht="15.75" thickTop="1">
      <c r="A87" s="765" t="s">
        <v>252</v>
      </c>
      <c r="B87" s="766">
        <f>'lokale energieproductie'!B17*IFERROR(SUM(I87:O87)/SUM(D87:O87),0)</f>
        <v>0</v>
      </c>
      <c r="C87" s="766">
        <f>'lokale energieproductie'!B17*IFERROR(SUM(D87:H87)/SUM(D87:O87),0)</f>
        <v>0</v>
      </c>
      <c r="D87" s="777">
        <f>'lokale energieproductie'!C17</f>
        <v>0</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0</v>
      </c>
      <c r="K87" s="777">
        <f>'lokale energieproductie'!M17</f>
        <v>0</v>
      </c>
      <c r="L87" s="777">
        <f>'lokale energieproductie'!N17</f>
        <v>0</v>
      </c>
      <c r="M87" s="777">
        <f>'lokale energieproductie'!H17</f>
        <v>0</v>
      </c>
      <c r="N87" s="777">
        <f>'lokale energieproductie'!K17</f>
        <v>0</v>
      </c>
      <c r="O87" s="777">
        <f>'lokale energieproductie'!L17</f>
        <v>0</v>
      </c>
      <c r="P87" s="1079"/>
      <c r="Q87" s="859">
        <f>D87*EF_CO2_aardgas+E87*EF_VLgas_CO2+'SEAP template'!F87*EF_stookolie_CO2+EF_bruinkool_CO2*'SEAP template'!G87+'SEAP template'!H87*EF_steenkool_CO2+'EF brandstof'!M4*'SEAP template'!M87+'SEAP template'!O87*EF_anderfossiel_CO2</f>
        <v>0</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080"/>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081"/>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0</v>
      </c>
      <c r="C90" s="755">
        <f>SUM(C87:C89)</f>
        <v>0</v>
      </c>
      <c r="D90" s="755">
        <f t="shared" ref="D90:H90" si="12">SUM(D87:D89)</f>
        <v>0</v>
      </c>
      <c r="E90" s="755">
        <f t="shared" si="12"/>
        <v>0</v>
      </c>
      <c r="F90" s="755">
        <f t="shared" si="12"/>
        <v>0</v>
      </c>
      <c r="G90" s="755">
        <f t="shared" si="12"/>
        <v>0</v>
      </c>
      <c r="H90" s="755">
        <f t="shared" si="12"/>
        <v>0</v>
      </c>
      <c r="I90" s="755">
        <f>SUM(I87:I89)</f>
        <v>0</v>
      </c>
      <c r="J90" s="755">
        <f>SUM(J87:J89)</f>
        <v>0</v>
      </c>
      <c r="K90" s="755">
        <f t="shared" ref="K90:L90" si="13">SUM(K87:K89)</f>
        <v>0</v>
      </c>
      <c r="L90" s="755">
        <f t="shared" si="13"/>
        <v>0</v>
      </c>
      <c r="M90" s="755">
        <f>SUM(M87:M89)</f>
        <v>0</v>
      </c>
      <c r="N90" s="755">
        <f>SUM(N87:N89)</f>
        <v>0</v>
      </c>
      <c r="O90" s="755">
        <f>SUM(O87:O89)</f>
        <v>0</v>
      </c>
      <c r="P90" s="755">
        <v>0</v>
      </c>
      <c r="Q90" s="755">
        <f>SUM(Q87:Q89)</f>
        <v>0</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0" t="s">
        <v>241</v>
      </c>
      <c r="B1" s="1249" t="s">
        <v>242</v>
      </c>
      <c r="C1" s="1283" t="s">
        <v>243</v>
      </c>
      <c r="D1" s="1284"/>
      <c r="E1" s="1284"/>
      <c r="F1" s="1284"/>
      <c r="G1" s="1284"/>
      <c r="H1" s="1284"/>
      <c r="I1" s="1284"/>
      <c r="J1" s="1284"/>
      <c r="K1" s="1284"/>
      <c r="L1" s="1284"/>
      <c r="M1" s="1284"/>
      <c r="N1" s="1285"/>
      <c r="O1" s="1246" t="s">
        <v>244</v>
      </c>
      <c r="P1" s="1249" t="s">
        <v>550</v>
      </c>
      <c r="Q1" s="1246"/>
      <c r="S1" s="1252"/>
      <c r="T1" s="1252"/>
      <c r="U1" s="1252"/>
    </row>
    <row r="2" spans="1:21" s="559" customFormat="1" ht="15.75" thickBot="1">
      <c r="A2" s="1241"/>
      <c r="B2" s="1241"/>
      <c r="C2" s="1288" t="s">
        <v>197</v>
      </c>
      <c r="D2" s="1289"/>
      <c r="E2" s="1289"/>
      <c r="F2" s="1289"/>
      <c r="G2" s="1290"/>
      <c r="H2" s="1291" t="s">
        <v>245</v>
      </c>
      <c r="I2" s="1260" t="s">
        <v>246</v>
      </c>
      <c r="J2" s="1260" t="s">
        <v>234</v>
      </c>
      <c r="K2" s="1260" t="s">
        <v>247</v>
      </c>
      <c r="L2" s="1260" t="s">
        <v>127</v>
      </c>
      <c r="M2" s="1260" t="s">
        <v>853</v>
      </c>
      <c r="N2" s="1262" t="s">
        <v>854</v>
      </c>
      <c r="O2" s="1247"/>
      <c r="P2" s="1250"/>
      <c r="Q2" s="1247"/>
      <c r="S2" s="1252"/>
      <c r="T2" s="1252"/>
      <c r="U2" s="1252"/>
    </row>
    <row r="3" spans="1:21" s="559" customFormat="1" ht="53.45" customHeight="1" thickBot="1">
      <c r="A3" s="1242"/>
      <c r="B3" s="1251"/>
      <c r="C3" s="560" t="s">
        <v>199</v>
      </c>
      <c r="D3" s="1011" t="s">
        <v>200</v>
      </c>
      <c r="E3" s="561" t="s">
        <v>201</v>
      </c>
      <c r="F3" s="562" t="s">
        <v>203</v>
      </c>
      <c r="G3" s="563" t="s">
        <v>204</v>
      </c>
      <c r="H3" s="1257"/>
      <c r="I3" s="1261"/>
      <c r="J3" s="1261"/>
      <c r="K3" s="1261"/>
      <c r="L3" s="1261"/>
      <c r="M3" s="1261"/>
      <c r="N3" s="1263"/>
      <c r="O3" s="1248"/>
      <c r="P3" s="1251"/>
      <c r="Q3" s="1248"/>
      <c r="S3" s="1252"/>
      <c r="T3" s="1252"/>
      <c r="U3" s="1252"/>
    </row>
    <row r="4" spans="1:21" s="559" customFormat="1" ht="15.75" thickTop="1">
      <c r="A4" s="564" t="s">
        <v>249</v>
      </c>
      <c r="B4" s="565">
        <f>IF(ISERROR(kWh_wind_land),0,kWh_wind_land)</f>
        <v>0</v>
      </c>
      <c r="C4" s="1264"/>
      <c r="D4" s="1267"/>
      <c r="E4" s="1267"/>
      <c r="F4" s="1270"/>
      <c r="G4" s="1273"/>
      <c r="H4" s="1276"/>
      <c r="I4" s="1267"/>
      <c r="J4" s="1267"/>
      <c r="K4" s="1267"/>
      <c r="L4" s="1267"/>
      <c r="M4" s="1267"/>
      <c r="N4" s="1040"/>
      <c r="O4" s="566"/>
      <c r="P4" s="1279"/>
      <c r="Q4" s="1280"/>
      <c r="S4" s="1007"/>
      <c r="T4" s="1237"/>
      <c r="U4" s="1237"/>
    </row>
    <row r="5" spans="1:21" s="559" customFormat="1">
      <c r="A5" s="567" t="s">
        <v>250</v>
      </c>
      <c r="B5" s="565">
        <f>IF(ISERROR(kWh_waterkracht),0,kWh_waterkracht)</f>
        <v>0</v>
      </c>
      <c r="C5" s="1265"/>
      <c r="D5" s="1268"/>
      <c r="E5" s="1268"/>
      <c r="F5" s="1271"/>
      <c r="G5" s="1274"/>
      <c r="H5" s="1277"/>
      <c r="I5" s="1268"/>
      <c r="J5" s="1268"/>
      <c r="K5" s="1268"/>
      <c r="L5" s="1268"/>
      <c r="M5" s="1268"/>
      <c r="N5" s="1040"/>
      <c r="O5" s="568"/>
      <c r="P5" s="1258"/>
      <c r="Q5" s="1259"/>
      <c r="S5" s="1007"/>
      <c r="T5" s="1237"/>
      <c r="U5" s="1237"/>
    </row>
    <row r="6" spans="1:21" s="559" customFormat="1">
      <c r="A6" s="567" t="s">
        <v>251</v>
      </c>
      <c r="B6" s="565">
        <f>IF(ISERROR((kWh_PV_kleiner_dan_10kW+kWh_PV_groter_dan_10kW)),0,(kWh_PV_kleiner_dan_10kW+kWh_PV_groter_dan_10kW))</f>
        <v>3989.5887784954039</v>
      </c>
      <c r="C6" s="1265"/>
      <c r="D6" s="1268"/>
      <c r="E6" s="1268"/>
      <c r="F6" s="1271"/>
      <c r="G6" s="1274"/>
      <c r="H6" s="1277"/>
      <c r="I6" s="1268"/>
      <c r="J6" s="1268"/>
      <c r="K6" s="1268"/>
      <c r="L6" s="1268"/>
      <c r="M6" s="1268"/>
      <c r="N6" s="1040"/>
      <c r="O6" s="568"/>
      <c r="P6" s="1258"/>
      <c r="Q6" s="1259"/>
      <c r="S6" s="1007"/>
      <c r="T6" s="1237"/>
      <c r="U6" s="1237"/>
    </row>
    <row r="7" spans="1:21" s="559" customFormat="1">
      <c r="A7" s="567" t="s">
        <v>851</v>
      </c>
      <c r="B7" s="565"/>
      <c r="C7" s="1266"/>
      <c r="D7" s="1269"/>
      <c r="E7" s="1269"/>
      <c r="F7" s="1272"/>
      <c r="G7" s="1275"/>
      <c r="H7" s="1278"/>
      <c r="I7" s="1269"/>
      <c r="J7" s="1269"/>
      <c r="K7" s="1269"/>
      <c r="L7" s="1269"/>
      <c r="M7" s="1269"/>
      <c r="N7" s="1041"/>
      <c r="O7" s="568"/>
      <c r="P7" s="1008"/>
      <c r="Q7" s="1009"/>
      <c r="S7" s="1007"/>
      <c r="T7" s="1007"/>
      <c r="U7" s="1007"/>
    </row>
    <row r="8" spans="1:21" s="559" customFormat="1">
      <c r="A8" s="569" t="s">
        <v>252</v>
      </c>
      <c r="B8" s="1042">
        <f>N58</f>
        <v>0</v>
      </c>
      <c r="C8" s="570">
        <f>B101</f>
        <v>0</v>
      </c>
      <c r="D8" s="1043"/>
      <c r="E8" s="1043">
        <f>E101</f>
        <v>0</v>
      </c>
      <c r="F8" s="1044"/>
      <c r="G8" s="571"/>
      <c r="H8" s="1043">
        <f>I101</f>
        <v>0</v>
      </c>
      <c r="I8" s="1043">
        <f>G101+F101</f>
        <v>0</v>
      </c>
      <c r="J8" s="1043">
        <f>H101+D101+C101</f>
        <v>0</v>
      </c>
      <c r="K8" s="1043"/>
      <c r="L8" s="1043"/>
      <c r="M8" s="1043"/>
      <c r="N8" s="572"/>
      <c r="O8" s="573">
        <f>C8*$C$12+D8*$D$12+E8*$E$12+F8*$F$12+G8*$G$12+H8*$H$12+I8*$I$12+J8*$J$12</f>
        <v>0</v>
      </c>
      <c r="P8" s="1258"/>
      <c r="Q8" s="1259"/>
      <c r="S8" s="1007"/>
      <c r="T8" s="1237"/>
      <c r="U8" s="1237"/>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5"/>
      <c r="O9" s="573">
        <f>C9*$C$12+D9*$D$12+E9*$E$12+F9*$F$12+G9*$G$12+H9*$H$12+I9*$I$12+J9*$J$12</f>
        <v>0</v>
      </c>
      <c r="P9" s="1286"/>
      <c r="Q9" s="1287"/>
      <c r="R9" s="580"/>
      <c r="S9" s="1007"/>
      <c r="T9" s="1237"/>
      <c r="U9" s="1237"/>
    </row>
    <row r="10" spans="1:21" s="559" customFormat="1" ht="16.5" thickTop="1" thickBot="1">
      <c r="A10" s="581" t="s">
        <v>116</v>
      </c>
      <c r="B10" s="582">
        <f>SUM(B4:B9)</f>
        <v>3989.5887784954039</v>
      </c>
      <c r="C10" s="583">
        <f t="shared" ref="C10:L10" si="0">SUM(C8:C9)</f>
        <v>0</v>
      </c>
      <c r="D10" s="583">
        <f t="shared" si="0"/>
        <v>0</v>
      </c>
      <c r="E10" s="583">
        <f t="shared" si="0"/>
        <v>0</v>
      </c>
      <c r="F10" s="583">
        <f t="shared" si="0"/>
        <v>0</v>
      </c>
      <c r="G10" s="583">
        <f t="shared" si="0"/>
        <v>0</v>
      </c>
      <c r="H10" s="583">
        <f t="shared" si="0"/>
        <v>0</v>
      </c>
      <c r="I10" s="583">
        <f t="shared" si="0"/>
        <v>0</v>
      </c>
      <c r="J10" s="583">
        <f t="shared" si="0"/>
        <v>0</v>
      </c>
      <c r="K10" s="583">
        <f t="shared" si="0"/>
        <v>0</v>
      </c>
      <c r="L10" s="583">
        <f t="shared" si="0"/>
        <v>0</v>
      </c>
      <c r="M10" s="1046"/>
      <c r="N10" s="1046"/>
      <c r="O10" s="584">
        <f>SUM(O4:O9)</f>
        <v>0</v>
      </c>
      <c r="P10" s="585"/>
      <c r="R10" s="1005"/>
      <c r="S10" s="1007"/>
      <c r="T10" s="1005"/>
      <c r="U10" s="1005"/>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7" t="s">
        <v>290</v>
      </c>
      <c r="B12" s="1048"/>
      <c r="C12" s="1048">
        <f>EF_CO2_aardgas</f>
        <v>0.20200000000000001</v>
      </c>
      <c r="D12" s="1048">
        <f>EF_VLgas_CO2</f>
        <v>0.22700000000000001</v>
      </c>
      <c r="E12" s="1048">
        <f>EF_stookolie_CO2</f>
        <v>0.26700000000000002</v>
      </c>
      <c r="F12" s="1048">
        <f>EF_bruinkool_CO2</f>
        <v>0.35099999999999998</v>
      </c>
      <c r="G12" s="1048">
        <f>EF_steenkool_CO2</f>
        <v>0.35399999999999998</v>
      </c>
      <c r="H12" s="1048">
        <f>'EF brandstof'!M4</f>
        <v>0.33</v>
      </c>
      <c r="I12" s="1048">
        <f>'EF brandstof'!J4</f>
        <v>0</v>
      </c>
      <c r="J12" s="1048">
        <f>'EF brandstof'!L4</f>
        <v>0</v>
      </c>
      <c r="K12" s="1048">
        <f>'EF brandstof'!L4</f>
        <v>0</v>
      </c>
      <c r="L12" s="1048"/>
      <c r="M12" s="1048"/>
      <c r="N12" s="1048"/>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0" t="s">
        <v>253</v>
      </c>
      <c r="B14" s="1240" t="s">
        <v>254</v>
      </c>
      <c r="C14" s="1243" t="s">
        <v>255</v>
      </c>
      <c r="D14" s="1244"/>
      <c r="E14" s="1244"/>
      <c r="F14" s="1244"/>
      <c r="G14" s="1244"/>
      <c r="H14" s="1244"/>
      <c r="I14" s="1244"/>
      <c r="J14" s="1244"/>
      <c r="K14" s="1244"/>
      <c r="L14" s="1244"/>
      <c r="M14" s="1244"/>
      <c r="N14" s="1245"/>
      <c r="O14" s="1246" t="s">
        <v>244</v>
      </c>
      <c r="P14" s="1249" t="s">
        <v>256</v>
      </c>
      <c r="Q14" s="1246"/>
      <c r="R14" s="1252"/>
      <c r="S14" s="1252"/>
      <c r="T14" s="1252"/>
    </row>
    <row r="15" spans="1:21" s="559" customFormat="1" ht="15.75" customHeight="1" thickBot="1">
      <c r="A15" s="1241"/>
      <c r="B15" s="1241"/>
      <c r="C15" s="1253" t="s">
        <v>197</v>
      </c>
      <c r="D15" s="1254"/>
      <c r="E15" s="1254"/>
      <c r="F15" s="1254"/>
      <c r="G15" s="1255"/>
      <c r="H15" s="1256" t="s">
        <v>245</v>
      </c>
      <c r="I15" s="1256" t="s">
        <v>246</v>
      </c>
      <c r="J15" s="1256" t="s">
        <v>234</v>
      </c>
      <c r="K15" s="1256" t="s">
        <v>257</v>
      </c>
      <c r="L15" s="1256" t="s">
        <v>127</v>
      </c>
      <c r="M15" s="1256" t="s">
        <v>853</v>
      </c>
      <c r="N15" s="1262" t="s">
        <v>854</v>
      </c>
      <c r="O15" s="1247"/>
      <c r="P15" s="1250"/>
      <c r="Q15" s="1247"/>
      <c r="R15" s="1252"/>
      <c r="S15" s="1252"/>
      <c r="T15" s="1252"/>
    </row>
    <row r="16" spans="1:21" s="559" customFormat="1" ht="40.700000000000003" customHeight="1" thickBot="1">
      <c r="A16" s="1242"/>
      <c r="B16" s="1242"/>
      <c r="C16" s="591" t="s">
        <v>199</v>
      </c>
      <c r="D16" s="1011" t="s">
        <v>200</v>
      </c>
      <c r="E16" s="1010" t="s">
        <v>201</v>
      </c>
      <c r="F16" s="1011" t="s">
        <v>203</v>
      </c>
      <c r="G16" s="592" t="s">
        <v>204</v>
      </c>
      <c r="H16" s="1257"/>
      <c r="I16" s="1257"/>
      <c r="J16" s="1257"/>
      <c r="K16" s="1257"/>
      <c r="L16" s="1257"/>
      <c r="M16" s="1257"/>
      <c r="N16" s="1263"/>
      <c r="O16" s="1248"/>
      <c r="P16" s="1251"/>
      <c r="Q16" s="1248"/>
      <c r="R16" s="1252"/>
      <c r="S16" s="1252"/>
      <c r="T16" s="1252"/>
    </row>
    <row r="17" spans="1:26" s="559" customFormat="1" ht="15.75" thickTop="1">
      <c r="A17" s="593" t="s">
        <v>252</v>
      </c>
      <c r="B17" s="594">
        <f>O58</f>
        <v>0</v>
      </c>
      <c r="C17" s="595">
        <f>B102</f>
        <v>0</v>
      </c>
      <c r="D17" s="596"/>
      <c r="E17" s="596">
        <f>E102</f>
        <v>0</v>
      </c>
      <c r="F17" s="1049"/>
      <c r="G17" s="597"/>
      <c r="H17" s="595">
        <f>I102</f>
        <v>0</v>
      </c>
      <c r="I17" s="596">
        <f>G102+F102</f>
        <v>0</v>
      </c>
      <c r="J17" s="596">
        <f>H102+D102+C102</f>
        <v>0</v>
      </c>
      <c r="K17" s="596"/>
      <c r="L17" s="596"/>
      <c r="M17" s="596"/>
      <c r="N17" s="1050"/>
      <c r="O17" s="598">
        <f>C17*$C$22+E17*$E$22+H17*$H$22+I17*$I$22+J17*$J$22+D17*$D$22+F17*$F$22+G17*$G$22+K17*$K$22+L17*$L$22</f>
        <v>0</v>
      </c>
      <c r="P17" s="1281"/>
      <c r="Q17" s="1282"/>
      <c r="R17" s="1006"/>
      <c r="S17" s="1234"/>
      <c r="T17" s="1234"/>
    </row>
    <row r="18" spans="1:26" s="559" customFormat="1">
      <c r="A18" s="599" t="s">
        <v>258</v>
      </c>
      <c r="B18" s="600">
        <f>'Eigen informatie GS &amp; warmtenet'!B32</f>
        <v>0</v>
      </c>
      <c r="C18" s="1043">
        <f>'Eigen informatie GS &amp; warmtenet'!B35</f>
        <v>0</v>
      </c>
      <c r="D18" s="1043">
        <f>'Eigen informatie GS &amp; warmtenet'!B36</f>
        <v>0</v>
      </c>
      <c r="E18" s="1043">
        <f>'Eigen informatie GS &amp; warmtenet'!B37</f>
        <v>0</v>
      </c>
      <c r="F18" s="1043">
        <f>'Eigen informatie GS &amp; warmtenet'!B38</f>
        <v>0</v>
      </c>
      <c r="G18" s="1043">
        <f>'Eigen informatie GS &amp; warmtenet'!B39</f>
        <v>0</v>
      </c>
      <c r="H18" s="1043">
        <f>'Eigen informatie GS &amp; warmtenet'!B40</f>
        <v>0</v>
      </c>
      <c r="I18" s="1043">
        <f>'Eigen informatie GS &amp; warmtenet'!B41</f>
        <v>0</v>
      </c>
      <c r="J18" s="1043">
        <f>'Eigen informatie GS &amp; warmtenet'!B42</f>
        <v>0</v>
      </c>
      <c r="K18" s="1043">
        <f>'Eigen informatie GS &amp; warmtenet'!B43</f>
        <v>0</v>
      </c>
      <c r="L18" s="1043">
        <f>'Eigen informatie GS &amp; warmtenet'!B44</f>
        <v>0</v>
      </c>
      <c r="M18" s="1043">
        <f>'Eigen informatie GS &amp; warmtenet'!B45</f>
        <v>0</v>
      </c>
      <c r="N18" s="1043">
        <f>'Eigen informatie GS &amp; warmtenet'!B46</f>
        <v>0</v>
      </c>
      <c r="O18" s="598">
        <f>C18*$C$22+E18*$E$22+H18*$H$22+I18*$I$22+J18*$J$22+D18*$D$22+F18*$F$22+G18*$G$22+K18*$K$22+L18*$L$22</f>
        <v>0</v>
      </c>
      <c r="P18" s="1235"/>
      <c r="Q18" s="1236"/>
      <c r="R18" s="1007"/>
      <c r="S18" s="1237"/>
      <c r="T18" s="1237"/>
    </row>
    <row r="19" spans="1:26" s="559" customFormat="1" ht="15.75" thickBot="1">
      <c r="A19" s="574" t="s">
        <v>248</v>
      </c>
      <c r="B19" s="600">
        <f>'Eigen informatie GS &amp; warmtenet'!B11</f>
        <v>0</v>
      </c>
      <c r="C19" s="105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3"/>
      <c r="N19" s="1052"/>
      <c r="O19" s="598">
        <f>C19*$C$22+E19*$E$22+H19*$H$22+I19*$I$22+J19*$J$22+D19*$D$22+F19*$F$22+G19*$G$22+K19*$K$22+L19*$L$22</f>
        <v>0</v>
      </c>
      <c r="P19" s="1238"/>
      <c r="Q19" s="1239"/>
      <c r="R19" s="1007"/>
      <c r="S19" s="1237"/>
      <c r="T19" s="1237"/>
    </row>
    <row r="20" spans="1:26" s="559" customFormat="1" ht="16.5" thickTop="1" thickBot="1">
      <c r="A20" s="581" t="s">
        <v>116</v>
      </c>
      <c r="B20" s="582">
        <f>SUM(B17:B19)</f>
        <v>0</v>
      </c>
      <c r="C20" s="582">
        <f>SUM(C17:C19)</f>
        <v>0</v>
      </c>
      <c r="D20" s="582">
        <f t="shared" ref="D20:L20" si="1">SUM(D17:D19)</f>
        <v>0</v>
      </c>
      <c r="E20" s="582">
        <f t="shared" si="1"/>
        <v>0</v>
      </c>
      <c r="F20" s="582">
        <f t="shared" si="1"/>
        <v>0</v>
      </c>
      <c r="G20" s="582">
        <f t="shared" si="1"/>
        <v>0</v>
      </c>
      <c r="H20" s="582">
        <f t="shared" si="1"/>
        <v>0</v>
      </c>
      <c r="I20" s="582">
        <f t="shared" si="1"/>
        <v>0</v>
      </c>
      <c r="J20" s="582">
        <f t="shared" si="1"/>
        <v>0</v>
      </c>
      <c r="K20" s="582">
        <f t="shared" si="1"/>
        <v>0</v>
      </c>
      <c r="L20" s="582">
        <f t="shared" si="1"/>
        <v>0</v>
      </c>
      <c r="M20" s="582"/>
      <c r="N20" s="582"/>
      <c r="O20" s="601">
        <f>SUM(O17:O19)</f>
        <v>0</v>
      </c>
      <c r="P20" s="1231"/>
      <c r="Q20" s="1232"/>
      <c r="R20" s="1007"/>
      <c r="S20" s="1233"/>
      <c r="T20" s="1233"/>
    </row>
    <row r="21" spans="1:26" s="559" customFormat="1" ht="15.75" thickTop="1">
      <c r="A21" s="1006"/>
      <c r="B21" s="1007"/>
      <c r="C21" s="1007"/>
      <c r="D21" s="1007"/>
      <c r="E21" s="1007"/>
      <c r="F21" s="1007"/>
      <c r="G21" s="1007"/>
      <c r="H21" s="1007"/>
      <c r="I21" s="1007"/>
      <c r="J21" s="1007"/>
      <c r="K21" s="1007"/>
      <c r="L21" s="1007"/>
      <c r="M21" s="1007"/>
      <c r="N21" s="1007"/>
      <c r="O21" s="1007"/>
      <c r="P21" s="1005"/>
      <c r="Q21" s="1005"/>
      <c r="R21" s="1007"/>
      <c r="S21" s="1005"/>
      <c r="T21" s="1005"/>
    </row>
    <row r="22" spans="1:26" s="588" customFormat="1">
      <c r="A22" s="1047" t="s">
        <v>290</v>
      </c>
      <c r="B22" s="1048"/>
      <c r="C22" s="1048">
        <f>EF_CO2_aardgas</f>
        <v>0.20200000000000001</v>
      </c>
      <c r="D22" s="1048">
        <f>EF_VLgas_CO2</f>
        <v>0.22700000000000001</v>
      </c>
      <c r="E22" s="1048">
        <f>EF_stookolie_CO2</f>
        <v>0.26700000000000002</v>
      </c>
      <c r="F22" s="1048">
        <f>EF_bruinkool_CO2</f>
        <v>0.35099999999999998</v>
      </c>
      <c r="G22" s="1048">
        <f>EF_steenkool_CO2</f>
        <v>0.35399999999999998</v>
      </c>
      <c r="H22" s="1048">
        <f>'EF brandstof'!M4</f>
        <v>0.33</v>
      </c>
      <c r="I22" s="1048">
        <f>'EF brandstof'!J4</f>
        <v>0</v>
      </c>
      <c r="J22" s="1048">
        <f>'EF brandstof'!L4</f>
        <v>0</v>
      </c>
      <c r="K22" s="1048">
        <f>'EF brandstof'!L4</f>
        <v>0</v>
      </c>
      <c r="L22" s="1048"/>
      <c r="M22" s="1048"/>
      <c r="N22" s="1048"/>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537</v>
      </c>
      <c r="Q27" s="650" t="s">
        <v>103</v>
      </c>
      <c r="R27" s="650" t="s">
        <v>104</v>
      </c>
      <c r="S27" s="650" t="s">
        <v>105</v>
      </c>
      <c r="T27" s="650" t="s">
        <v>106</v>
      </c>
      <c r="U27" s="650" t="s">
        <v>107</v>
      </c>
      <c r="V27" s="650" t="s">
        <v>108</v>
      </c>
      <c r="W27" s="649" t="s">
        <v>109</v>
      </c>
      <c r="X27" s="649" t="s">
        <v>299</v>
      </c>
      <c r="Y27" s="649" t="s">
        <v>110</v>
      </c>
      <c r="Z27" s="651" t="s">
        <v>300</v>
      </c>
    </row>
    <row r="28" spans="1:26" s="606" customFormat="1" ht="12.75">
      <c r="A28" s="605"/>
      <c r="B28" s="796"/>
      <c r="C28" s="796"/>
      <c r="D28" s="653"/>
      <c r="E28" s="652"/>
      <c r="F28" s="652"/>
      <c r="G28" s="652"/>
      <c r="H28" s="652"/>
      <c r="I28" s="652"/>
      <c r="J28" s="795"/>
      <c r="K28" s="795"/>
      <c r="L28" s="652"/>
      <c r="M28" s="652"/>
      <c r="N28" s="652"/>
      <c r="O28" s="652"/>
      <c r="P28" s="652"/>
      <c r="Q28" s="652"/>
      <c r="R28" s="652"/>
      <c r="S28" s="652"/>
      <c r="T28" s="652"/>
      <c r="U28" s="652"/>
      <c r="V28" s="652"/>
      <c r="W28" s="652"/>
      <c r="X28" s="652"/>
      <c r="Y28" s="652"/>
      <c r="Z28" s="654"/>
    </row>
    <row r="29" spans="1:26" s="606" customFormat="1" ht="12.75">
      <c r="A29" s="605"/>
      <c r="B29" s="796"/>
      <c r="C29" s="796"/>
      <c r="D29" s="653"/>
      <c r="E29" s="652"/>
      <c r="F29" s="652"/>
      <c r="G29" s="652"/>
      <c r="H29" s="652"/>
      <c r="I29" s="652"/>
      <c r="J29" s="795"/>
      <c r="K29" s="795"/>
      <c r="L29" s="652"/>
      <c r="M29" s="652"/>
      <c r="N29" s="652"/>
      <c r="O29" s="652"/>
      <c r="P29" s="652"/>
      <c r="Q29" s="652"/>
      <c r="R29" s="652"/>
      <c r="S29" s="652"/>
      <c r="T29" s="652"/>
      <c r="U29" s="652"/>
      <c r="V29" s="652"/>
      <c r="W29" s="652"/>
      <c r="X29" s="652"/>
      <c r="Y29" s="652"/>
      <c r="Z29" s="654"/>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0</v>
      </c>
      <c r="N58" s="610">
        <f>SUM(N28:N57)</f>
        <v>0</v>
      </c>
      <c r="O58" s="610">
        <f t="shared" ref="O58:W58" si="2">SUM(O28:O57)</f>
        <v>0</v>
      </c>
      <c r="P58" s="610">
        <f t="shared" si="2"/>
        <v>0</v>
      </c>
      <c r="Q58" s="610">
        <f t="shared" si="2"/>
        <v>0</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0</v>
      </c>
      <c r="N60" s="610">
        <f ca="1">SUMIF($Z$28:AD57,"tertiair",N28:N57)</f>
        <v>0</v>
      </c>
      <c r="O60" s="610">
        <f ca="1">SUMIF($Z$28:AE57,"tertiair",O28:O57)</f>
        <v>0</v>
      </c>
      <c r="P60" s="610">
        <f ca="1">SUMIF($Z$28:AF57,"tertiair",P28:P57)</f>
        <v>0</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0</v>
      </c>
      <c r="N61" s="615">
        <f t="shared" si="4"/>
        <v>0</v>
      </c>
      <c r="O61" s="615">
        <f t="shared" si="4"/>
        <v>0</v>
      </c>
      <c r="P61" s="615">
        <f t="shared" si="4"/>
        <v>0</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537</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v>
      </c>
      <c r="C98" s="635">
        <f>IF(ISERROR(N58/(O58+N58)),0,N58/(N58+O58))</f>
        <v>0</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537</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0</v>
      </c>
      <c r="C101" s="644">
        <f t="shared" si="9"/>
        <v>0</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0</v>
      </c>
      <c r="C102" s="647">
        <f t="shared" si="10"/>
        <v>0</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A1:A3"/>
    <mergeCell ref="B1:B3"/>
    <mergeCell ref="C2:G2"/>
    <mergeCell ref="H2:H3"/>
    <mergeCell ref="I2:I3"/>
    <mergeCell ref="C1:N1"/>
    <mergeCell ref="O1:O3"/>
    <mergeCell ref="P1:Q3"/>
    <mergeCell ref="P9:Q9"/>
    <mergeCell ref="S1:S3"/>
    <mergeCell ref="P5:Q5"/>
    <mergeCell ref="L2:L3"/>
    <mergeCell ref="J2:J3"/>
    <mergeCell ref="K2:K3"/>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899" t="s">
        <v>753</v>
      </c>
      <c r="G2" s="899" t="s">
        <v>752</v>
      </c>
      <c r="H2" s="899" t="s">
        <v>754</v>
      </c>
    </row>
    <row r="3" spans="1:8" s="11" customFormat="1">
      <c r="A3" s="373" t="s">
        <v>755</v>
      </c>
      <c r="B3" s="934" t="s">
        <v>758</v>
      </c>
      <c r="C3" s="373" t="s">
        <v>757</v>
      </c>
      <c r="D3" s="373" t="s">
        <v>759</v>
      </c>
      <c r="E3" s="374"/>
      <c r="F3" s="371" t="s">
        <v>762</v>
      </c>
      <c r="G3" s="371" t="s">
        <v>770</v>
      </c>
      <c r="H3" s="372" t="s">
        <v>771</v>
      </c>
    </row>
    <row r="4" spans="1:8" s="11" customFormat="1">
      <c r="A4" s="373" t="s">
        <v>717</v>
      </c>
      <c r="B4" s="934" t="s">
        <v>724</v>
      </c>
      <c r="C4" s="373" t="s">
        <v>193</v>
      </c>
      <c r="D4" s="935" t="s">
        <v>756</v>
      </c>
      <c r="E4" s="374"/>
      <c r="F4" s="899" t="s">
        <v>753</v>
      </c>
      <c r="G4" s="899" t="s">
        <v>752</v>
      </c>
      <c r="H4" s="899" t="s">
        <v>754</v>
      </c>
    </row>
    <row r="5" spans="1:8" s="11" customFormat="1">
      <c r="A5" s="373" t="s">
        <v>407</v>
      </c>
      <c r="B5" s="800" t="s">
        <v>725</v>
      </c>
      <c r="C5" s="373" t="s">
        <v>407</v>
      </c>
      <c r="D5" s="373" t="s">
        <v>765</v>
      </c>
      <c r="E5" s="374"/>
      <c r="F5" s="899" t="s">
        <v>749</v>
      </c>
      <c r="G5" s="899" t="s">
        <v>750</v>
      </c>
      <c r="H5" s="899" t="s">
        <v>751</v>
      </c>
    </row>
    <row r="6" spans="1:8">
      <c r="A6" s="368" t="s">
        <v>400</v>
      </c>
      <c r="B6" s="89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888" customFormat="1">
      <c r="A9" s="373" t="s">
        <v>760</v>
      </c>
      <c r="B9" s="800">
        <v>2015</v>
      </c>
      <c r="C9" s="373" t="s">
        <v>407</v>
      </c>
      <c r="D9" s="373" t="s">
        <v>768</v>
      </c>
      <c r="E9" s="370" t="s">
        <v>761</v>
      </c>
      <c r="F9" s="371"/>
      <c r="G9" s="371"/>
      <c r="H9" s="372"/>
    </row>
    <row r="10" spans="1:8" s="888" customFormat="1">
      <c r="A10" s="373" t="s">
        <v>783</v>
      </c>
      <c r="B10" s="800">
        <v>2017</v>
      </c>
      <c r="C10" s="373" t="s">
        <v>785</v>
      </c>
      <c r="D10" s="373" t="s">
        <v>784</v>
      </c>
      <c r="E10" s="375" t="s">
        <v>773</v>
      </c>
      <c r="F10" s="371"/>
      <c r="G10" s="371"/>
      <c r="H10" s="372"/>
    </row>
    <row r="11" spans="1:8" s="11" customFormat="1">
      <c r="A11" s="373" t="s">
        <v>630</v>
      </c>
      <c r="B11" s="934" t="str">
        <f>"juni 2016"</f>
        <v>juni 2016</v>
      </c>
      <c r="C11" s="373" t="s">
        <v>631</v>
      </c>
      <c r="D11" s="373" t="s">
        <v>632</v>
      </c>
      <c r="E11" s="374"/>
      <c r="F11" s="899" t="s">
        <v>735</v>
      </c>
      <c r="G11" s="899" t="s">
        <v>736</v>
      </c>
      <c r="H11" s="372" t="s">
        <v>737</v>
      </c>
    </row>
    <row r="12" spans="1:8">
      <c r="A12" s="368" t="s">
        <v>740</v>
      </c>
      <c r="B12" s="895" t="s">
        <v>725</v>
      </c>
      <c r="C12" s="368" t="s">
        <v>741</v>
      </c>
      <c r="D12" s="368" t="s">
        <v>769</v>
      </c>
      <c r="E12" s="698"/>
      <c r="F12" s="371" t="s">
        <v>744</v>
      </c>
      <c r="G12" s="371" t="s">
        <v>742</v>
      </c>
      <c r="H12" s="372" t="s">
        <v>743</v>
      </c>
    </row>
    <row r="13" spans="1:8" s="888" customFormat="1">
      <c r="A13" s="373" t="s">
        <v>764</v>
      </c>
      <c r="B13" s="800">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895" t="s">
        <v>745</v>
      </c>
      <c r="C16" s="368" t="s">
        <v>408</v>
      </c>
      <c r="D16" s="368" t="s">
        <v>422</v>
      </c>
      <c r="E16" s="370"/>
      <c r="F16" s="371" t="s">
        <v>796</v>
      </c>
      <c r="G16" s="371" t="s">
        <v>797</v>
      </c>
      <c r="H16" s="372" t="s">
        <v>798</v>
      </c>
    </row>
    <row r="17" spans="1:8" s="896" customFormat="1">
      <c r="A17" s="900" t="s">
        <v>509</v>
      </c>
      <c r="B17" s="901" t="s">
        <v>380</v>
      </c>
      <c r="C17" s="900" t="s">
        <v>378</v>
      </c>
      <c r="D17" s="902" t="s">
        <v>379</v>
      </c>
      <c r="E17" s="903" t="s">
        <v>381</v>
      </c>
      <c r="F17" s="371" t="s">
        <v>729</v>
      </c>
      <c r="G17" s="371" t="s">
        <v>738</v>
      </c>
      <c r="H17" s="372" t="s">
        <v>739</v>
      </c>
    </row>
    <row r="18" spans="1:8" s="896" customFormat="1">
      <c r="A18" s="900" t="s">
        <v>509</v>
      </c>
      <c r="B18" s="901" t="s">
        <v>790</v>
      </c>
      <c r="C18" s="900" t="s">
        <v>791</v>
      </c>
      <c r="D18" s="902" t="s">
        <v>792</v>
      </c>
      <c r="E18" s="903"/>
      <c r="F18" s="371" t="s">
        <v>729</v>
      </c>
      <c r="G18" s="371" t="s">
        <v>738</v>
      </c>
      <c r="H18" s="372" t="s">
        <v>739</v>
      </c>
    </row>
    <row r="19" spans="1:8" s="11" customFormat="1">
      <c r="A19" s="373" t="s">
        <v>508</v>
      </c>
      <c r="B19" s="800">
        <v>2016</v>
      </c>
      <c r="C19" s="373" t="s">
        <v>426</v>
      </c>
      <c r="D19" s="373" t="s">
        <v>731</v>
      </c>
      <c r="E19" s="374" t="s">
        <v>730</v>
      </c>
      <c r="F19" s="371" t="s">
        <v>729</v>
      </c>
      <c r="G19" s="371" t="s">
        <v>738</v>
      </c>
      <c r="H19" s="372" t="s">
        <v>739</v>
      </c>
    </row>
    <row r="20" spans="1:8">
      <c r="A20" s="373" t="s">
        <v>193</v>
      </c>
      <c r="B20" s="800" t="s">
        <v>724</v>
      </c>
      <c r="C20" s="373" t="s">
        <v>427</v>
      </c>
      <c r="D20" s="373" t="s">
        <v>728</v>
      </c>
      <c r="E20" s="370"/>
      <c r="F20" s="371" t="s">
        <v>428</v>
      </c>
      <c r="G20" s="371" t="s">
        <v>429</v>
      </c>
      <c r="H20" s="372" t="s">
        <v>430</v>
      </c>
    </row>
    <row r="21" spans="1:8" s="888" customFormat="1">
      <c r="A21" s="373" t="s">
        <v>408</v>
      </c>
      <c r="B21" s="800" t="s">
        <v>793</v>
      </c>
      <c r="C21" s="373" t="s">
        <v>408</v>
      </c>
      <c r="D21" s="373" t="s">
        <v>794</v>
      </c>
      <c r="E21" s="370"/>
      <c r="F21" s="371" t="s">
        <v>802</v>
      </c>
      <c r="G21" s="371" t="s">
        <v>803</v>
      </c>
      <c r="H21" s="372" t="s">
        <v>804</v>
      </c>
    </row>
    <row r="22" spans="1:8" s="888" customFormat="1">
      <c r="A22" s="373" t="s">
        <v>408</v>
      </c>
      <c r="B22" s="800" t="s">
        <v>790</v>
      </c>
      <c r="C22" s="373" t="s">
        <v>408</v>
      </c>
      <c r="D22" s="373" t="s">
        <v>795</v>
      </c>
      <c r="E22" s="370"/>
      <c r="F22" s="371" t="s">
        <v>799</v>
      </c>
      <c r="G22" s="371" t="s">
        <v>800</v>
      </c>
      <c r="H22" s="372" t="s">
        <v>801</v>
      </c>
    </row>
    <row r="23" spans="1:8" s="11" customFormat="1">
      <c r="A23" s="373" t="s">
        <v>406</v>
      </c>
      <c r="B23" s="934" t="str">
        <f>"november 2016"</f>
        <v>november 2016</v>
      </c>
      <c r="C23" s="373" t="s">
        <v>406</v>
      </c>
      <c r="D23" s="373" t="s">
        <v>657</v>
      </c>
      <c r="E23" s="374" t="s">
        <v>658</v>
      </c>
      <c r="F23" s="371" t="s">
        <v>805</v>
      </c>
      <c r="G23" s="371" t="s">
        <v>806</v>
      </c>
      <c r="H23" s="372" t="s">
        <v>807</v>
      </c>
    </row>
    <row r="24" spans="1:8" s="11" customFormat="1">
      <c r="A24" s="373" t="s">
        <v>406</v>
      </c>
      <c r="B24" s="934" t="str">
        <f>"november 2016"</f>
        <v>november 2016</v>
      </c>
      <c r="C24" s="373" t="s">
        <v>406</v>
      </c>
      <c r="D24" s="935" t="s">
        <v>635</v>
      </c>
      <c r="E24" s="374" t="s">
        <v>423</v>
      </c>
      <c r="F24" s="371" t="s">
        <v>805</v>
      </c>
      <c r="G24" s="371" t="s">
        <v>806</v>
      </c>
      <c r="H24" s="372" t="s">
        <v>807</v>
      </c>
    </row>
    <row r="27" spans="1:8">
      <c r="F27" s="888"/>
      <c r="G27" s="888"/>
    </row>
    <row r="28" spans="1:8">
      <c r="F28" s="888"/>
      <c r="G28" s="88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7" sqref="C17:D1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4" t="s">
        <v>620</v>
      </c>
      <c r="B1" s="904" t="s">
        <v>621</v>
      </c>
      <c r="C1" s="904" t="s">
        <v>623</v>
      </c>
      <c r="D1" s="904" t="s">
        <v>622</v>
      </c>
    </row>
    <row r="2" spans="1:4" s="889" customFormat="1">
      <c r="A2" s="889" t="s">
        <v>691</v>
      </c>
      <c r="B2" s="915">
        <v>42860</v>
      </c>
      <c r="C2" s="889" t="s">
        <v>700</v>
      </c>
      <c r="D2" s="916" t="s">
        <v>701</v>
      </c>
    </row>
    <row r="3" spans="1:4" s="889" customFormat="1">
      <c r="A3" s="889" t="s">
        <v>691</v>
      </c>
      <c r="B3" s="915">
        <v>42860</v>
      </c>
      <c r="C3" s="889" t="s">
        <v>703</v>
      </c>
      <c r="D3" s="916" t="s">
        <v>704</v>
      </c>
    </row>
    <row r="4" spans="1:4" s="889" customFormat="1">
      <c r="A4" s="889" t="s">
        <v>691</v>
      </c>
      <c r="B4" s="915">
        <v>42860</v>
      </c>
      <c r="C4" s="889" t="s">
        <v>709</v>
      </c>
      <c r="D4" s="916" t="s">
        <v>708</v>
      </c>
    </row>
    <row r="5" spans="1:4" s="889" customFormat="1">
      <c r="A5" s="889" t="s">
        <v>691</v>
      </c>
      <c r="B5" s="915">
        <v>42860</v>
      </c>
      <c r="C5" s="889" t="s">
        <v>710</v>
      </c>
      <c r="D5" s="931" t="s">
        <v>711</v>
      </c>
    </row>
    <row r="6" spans="1:4" s="889" customFormat="1">
      <c r="A6" s="889" t="s">
        <v>691</v>
      </c>
      <c r="B6" s="939">
        <v>42877</v>
      </c>
      <c r="C6" s="888" t="s">
        <v>787</v>
      </c>
      <c r="D6" s="940" t="s">
        <v>718</v>
      </c>
    </row>
    <row r="7" spans="1:4" s="889" customFormat="1">
      <c r="A7" s="889" t="s">
        <v>691</v>
      </c>
      <c r="B7" s="939">
        <v>42877</v>
      </c>
      <c r="C7" s="888" t="s">
        <v>788</v>
      </c>
      <c r="D7" s="940" t="s">
        <v>719</v>
      </c>
    </row>
    <row r="8" spans="1:4" s="889" customFormat="1">
      <c r="A8" s="889" t="s">
        <v>691</v>
      </c>
      <c r="B8" s="939">
        <v>42877</v>
      </c>
      <c r="C8" s="888" t="s">
        <v>789</v>
      </c>
      <c r="D8" s="940" t="s">
        <v>720</v>
      </c>
    </row>
    <row r="9" spans="1:4" s="7" customFormat="1">
      <c r="A9" s="889" t="s">
        <v>691</v>
      </c>
      <c r="B9" s="939">
        <v>42877</v>
      </c>
      <c r="C9" s="888" t="s">
        <v>722</v>
      </c>
      <c r="D9" s="940" t="s">
        <v>721</v>
      </c>
    </row>
    <row r="10" spans="1:4" s="7" customFormat="1">
      <c r="A10" s="889" t="s">
        <v>774</v>
      </c>
      <c r="B10" s="915">
        <v>43167</v>
      </c>
      <c r="C10" s="915" t="s">
        <v>775</v>
      </c>
      <c r="D10" s="940" t="s">
        <v>776</v>
      </c>
    </row>
    <row r="11" spans="1:4" s="7" customFormat="1">
      <c r="A11" s="889" t="s">
        <v>774</v>
      </c>
      <c r="B11" s="915">
        <v>43167</v>
      </c>
      <c r="C11" s="915" t="s">
        <v>777</v>
      </c>
      <c r="D11" s="943" t="s">
        <v>778</v>
      </c>
    </row>
    <row r="12" spans="1:4" s="7" customFormat="1">
      <c r="A12" s="889" t="s">
        <v>774</v>
      </c>
      <c r="B12" s="915">
        <v>43167</v>
      </c>
      <c r="C12" s="915" t="s">
        <v>779</v>
      </c>
      <c r="D12" s="943" t="s">
        <v>780</v>
      </c>
    </row>
    <row r="13" spans="1:4" s="7" customFormat="1">
      <c r="A13" s="889" t="s">
        <v>774</v>
      </c>
      <c r="B13" s="915">
        <v>43167</v>
      </c>
      <c r="C13" s="915" t="s">
        <v>781</v>
      </c>
      <c r="D13" s="943" t="s">
        <v>782</v>
      </c>
    </row>
    <row r="14" spans="1:4" s="7" customFormat="1">
      <c r="A14" s="889" t="s">
        <v>774</v>
      </c>
      <c r="B14" s="915">
        <v>43278</v>
      </c>
      <c r="C14" s="915" t="s">
        <v>808</v>
      </c>
      <c r="D14" s="940"/>
    </row>
    <row r="15" spans="1:4" s="7" customFormat="1">
      <c r="A15" s="889" t="s">
        <v>843</v>
      </c>
      <c r="B15" s="915">
        <v>43425</v>
      </c>
      <c r="C15" s="915" t="s">
        <v>844</v>
      </c>
      <c r="D15" s="940"/>
    </row>
    <row r="16" spans="1:4" s="7" customFormat="1">
      <c r="A16" s="889" t="s">
        <v>855</v>
      </c>
      <c r="B16" s="915">
        <v>43573</v>
      </c>
      <c r="C16" s="915" t="s">
        <v>856</v>
      </c>
      <c r="D16" s="943"/>
    </row>
    <row r="17" spans="1:4" s="7" customFormat="1">
      <c r="A17" s="889" t="s">
        <v>879</v>
      </c>
      <c r="B17" s="915">
        <v>43678</v>
      </c>
      <c r="C17" s="915" t="s">
        <v>880</v>
      </c>
      <c r="D17" s="943" t="s">
        <v>881</v>
      </c>
    </row>
    <row r="18" spans="1:4" s="7" customFormat="1">
      <c r="A18" s="889"/>
      <c r="B18" s="915"/>
      <c r="C18" s="915"/>
      <c r="D18" s="943"/>
    </row>
    <row r="19" spans="1:4" s="7" customFormat="1">
      <c r="B19" s="897"/>
      <c r="C19" s="915"/>
      <c r="D19" s="940"/>
    </row>
    <row r="20" spans="1:4" s="7" customFormat="1">
      <c r="B20" s="897"/>
      <c r="D20" s="89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13" workbookViewId="0">
      <selection activeCell="A13"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8" t="s">
        <v>553</v>
      </c>
      <c r="B1" s="1169" t="s">
        <v>549</v>
      </c>
      <c r="C1" s="1169"/>
      <c r="D1" s="1169"/>
      <c r="E1" s="1169"/>
      <c r="F1" s="1169"/>
      <c r="G1" s="1169"/>
      <c r="H1" s="1169"/>
      <c r="I1" s="1169"/>
      <c r="J1" s="1169"/>
      <c r="K1" s="1169"/>
      <c r="L1" s="1169"/>
      <c r="M1" s="1169"/>
      <c r="N1" s="1169"/>
      <c r="O1" s="1169"/>
      <c r="P1" s="1170"/>
      <c r="Q1" s="1037"/>
    </row>
    <row r="2" spans="1:17">
      <c r="A2" s="1168"/>
      <c r="B2" s="1171" t="s">
        <v>21</v>
      </c>
      <c r="C2" s="1173" t="s">
        <v>196</v>
      </c>
      <c r="D2" s="1175" t="s">
        <v>197</v>
      </c>
      <c r="E2" s="1176"/>
      <c r="F2" s="1176"/>
      <c r="G2" s="1176"/>
      <c r="H2" s="1176"/>
      <c r="I2" s="1176"/>
      <c r="J2" s="1176"/>
      <c r="K2" s="1172"/>
      <c r="L2" s="1175" t="s">
        <v>198</v>
      </c>
      <c r="M2" s="1176"/>
      <c r="N2" s="1176"/>
      <c r="O2" s="1176"/>
      <c r="P2" s="1172"/>
      <c r="Q2" s="1037"/>
    </row>
    <row r="3" spans="1:17" ht="45">
      <c r="A3" s="1168"/>
      <c r="B3" s="1172"/>
      <c r="C3" s="1174"/>
      <c r="D3" s="1037" t="s">
        <v>199</v>
      </c>
      <c r="E3" s="1037" t="s">
        <v>200</v>
      </c>
      <c r="F3" s="1037" t="s">
        <v>201</v>
      </c>
      <c r="G3" s="1037" t="s">
        <v>202</v>
      </c>
      <c r="H3" s="1037" t="s">
        <v>120</v>
      </c>
      <c r="I3" s="1037" t="s">
        <v>203</v>
      </c>
      <c r="J3" s="1037" t="s">
        <v>204</v>
      </c>
      <c r="K3" s="1037" t="s">
        <v>205</v>
      </c>
      <c r="L3" s="1037" t="s">
        <v>206</v>
      </c>
      <c r="M3" s="1037" t="s">
        <v>207</v>
      </c>
      <c r="N3" s="1037" t="s">
        <v>208</v>
      </c>
      <c r="O3" s="1037" t="s">
        <v>209</v>
      </c>
      <c r="P3" s="1037" t="s">
        <v>210</v>
      </c>
      <c r="Q3" s="1037" t="s">
        <v>116</v>
      </c>
    </row>
    <row r="4" spans="1:17">
      <c r="A4" s="476" t="s">
        <v>155</v>
      </c>
      <c r="B4" s="477">
        <f>huishoudens!B8</f>
        <v>27065.105156183236</v>
      </c>
      <c r="C4" s="477">
        <f>huishoudens!C8</f>
        <v>0</v>
      </c>
      <c r="D4" s="477">
        <f>huishoudens!D8</f>
        <v>51658.764466804001</v>
      </c>
      <c r="E4" s="477">
        <f>huishoudens!E8</f>
        <v>5630.1010918827033</v>
      </c>
      <c r="F4" s="477">
        <f>huishoudens!F8</f>
        <v>31990.45896847621</v>
      </c>
      <c r="G4" s="477">
        <f>huishoudens!G8</f>
        <v>0</v>
      </c>
      <c r="H4" s="477">
        <f>huishoudens!H8</f>
        <v>0</v>
      </c>
      <c r="I4" s="477">
        <f>huishoudens!I8</f>
        <v>0</v>
      </c>
      <c r="J4" s="477">
        <f>huishoudens!J8</f>
        <v>0</v>
      </c>
      <c r="K4" s="477">
        <f>huishoudens!K8</f>
        <v>0</v>
      </c>
      <c r="L4" s="477">
        <f>huishoudens!L8</f>
        <v>0</v>
      </c>
      <c r="M4" s="477">
        <f>huishoudens!M8</f>
        <v>0</v>
      </c>
      <c r="N4" s="477">
        <f>huishoudens!N8</f>
        <v>7077.4783367069385</v>
      </c>
      <c r="O4" s="477">
        <f>huishoudens!O8</f>
        <v>154.77000000000001</v>
      </c>
      <c r="P4" s="478">
        <f>huishoudens!P8</f>
        <v>476.66666666666663</v>
      </c>
      <c r="Q4" s="479">
        <f>SUM(B4:P4)</f>
        <v>124053.34468671976</v>
      </c>
    </row>
    <row r="5" spans="1:17">
      <c r="A5" s="476" t="s">
        <v>156</v>
      </c>
      <c r="B5" s="477">
        <f ca="1">tertiair!B16</f>
        <v>21829.559639760002</v>
      </c>
      <c r="C5" s="477">
        <f ca="1">tertiair!C16</f>
        <v>0</v>
      </c>
      <c r="D5" s="477">
        <f ca="1">tertiair!D16</f>
        <v>17309.985076302601</v>
      </c>
      <c r="E5" s="477">
        <f>tertiair!E16</f>
        <v>487.32871325576383</v>
      </c>
      <c r="F5" s="477">
        <f ca="1">tertiair!F16</f>
        <v>5314.0267777153404</v>
      </c>
      <c r="G5" s="477">
        <f>tertiair!G16</f>
        <v>0</v>
      </c>
      <c r="H5" s="477">
        <f>tertiair!H16</f>
        <v>0</v>
      </c>
      <c r="I5" s="477">
        <f>tertiair!I16</f>
        <v>0</v>
      </c>
      <c r="J5" s="477">
        <f>tertiair!J16</f>
        <v>0</v>
      </c>
      <c r="K5" s="477">
        <f>tertiair!K16</f>
        <v>0</v>
      </c>
      <c r="L5" s="477">
        <f ca="1">tertiair!L16</f>
        <v>0</v>
      </c>
      <c r="M5" s="477">
        <f>tertiair!M16</f>
        <v>0</v>
      </c>
      <c r="N5" s="477">
        <f ca="1">tertiair!N16</f>
        <v>1263.2575478123335</v>
      </c>
      <c r="O5" s="477">
        <f>tertiair!O16</f>
        <v>0</v>
      </c>
      <c r="P5" s="478">
        <f>tertiair!P16</f>
        <v>0</v>
      </c>
      <c r="Q5" s="476">
        <f t="shared" ref="Q5:Q14" ca="1" si="0">SUM(B5:P5)</f>
        <v>46204.157754846048</v>
      </c>
    </row>
    <row r="6" spans="1:17">
      <c r="A6" s="476" t="s">
        <v>194</v>
      </c>
      <c r="B6" s="477">
        <f>'openbare verlichting'!B8</f>
        <v>1015.564</v>
      </c>
      <c r="C6" s="477"/>
      <c r="D6" s="477"/>
      <c r="E6" s="477"/>
      <c r="F6" s="477"/>
      <c r="G6" s="477"/>
      <c r="H6" s="477"/>
      <c r="I6" s="477"/>
      <c r="J6" s="477"/>
      <c r="K6" s="477"/>
      <c r="L6" s="477"/>
      <c r="M6" s="477"/>
      <c r="N6" s="477"/>
      <c r="O6" s="477"/>
      <c r="P6" s="478"/>
      <c r="Q6" s="476">
        <f t="shared" si="0"/>
        <v>1015.564</v>
      </c>
    </row>
    <row r="7" spans="1:17">
      <c r="A7" s="476" t="s">
        <v>112</v>
      </c>
      <c r="B7" s="477">
        <f>landbouw!B8</f>
        <v>342.39972164</v>
      </c>
      <c r="C7" s="477">
        <f>landbouw!C8</f>
        <v>0</v>
      </c>
      <c r="D7" s="477">
        <f>landbouw!D8</f>
        <v>153.21746820688</v>
      </c>
      <c r="E7" s="477">
        <f>landbouw!E8</f>
        <v>8.8291741581589385</v>
      </c>
      <c r="F7" s="477">
        <f>landbouw!F8</f>
        <v>1251.5361894536236</v>
      </c>
      <c r="G7" s="477">
        <f>landbouw!G8</f>
        <v>0</v>
      </c>
      <c r="H7" s="477">
        <f>landbouw!H8</f>
        <v>0</v>
      </c>
      <c r="I7" s="477">
        <f>landbouw!I8</f>
        <v>0</v>
      </c>
      <c r="J7" s="477">
        <f>landbouw!J8</f>
        <v>49.292964175017772</v>
      </c>
      <c r="K7" s="477">
        <f>landbouw!K8</f>
        <v>0</v>
      </c>
      <c r="L7" s="477">
        <f>landbouw!L8</f>
        <v>0</v>
      </c>
      <c r="M7" s="477">
        <f>landbouw!M8</f>
        <v>0</v>
      </c>
      <c r="N7" s="477">
        <f>landbouw!N8</f>
        <v>0</v>
      </c>
      <c r="O7" s="477">
        <f>landbouw!O8</f>
        <v>0</v>
      </c>
      <c r="P7" s="478">
        <f>landbouw!P8</f>
        <v>0</v>
      </c>
      <c r="Q7" s="476">
        <f t="shared" si="0"/>
        <v>1805.2755176336802</v>
      </c>
    </row>
    <row r="8" spans="1:17">
      <c r="A8" s="476" t="s">
        <v>638</v>
      </c>
      <c r="B8" s="477">
        <f>industrie!B18</f>
        <v>9401.8019200899998</v>
      </c>
      <c r="C8" s="477">
        <f>industrie!C18</f>
        <v>0</v>
      </c>
      <c r="D8" s="477">
        <f>industrie!D18</f>
        <v>2725.9925045493796</v>
      </c>
      <c r="E8" s="477">
        <f>industrie!E18</f>
        <v>772.46941353809507</v>
      </c>
      <c r="F8" s="477">
        <f>industrie!F18</f>
        <v>2915.9118772794945</v>
      </c>
      <c r="G8" s="477">
        <f>industrie!G18</f>
        <v>0</v>
      </c>
      <c r="H8" s="477">
        <f>industrie!H18</f>
        <v>0</v>
      </c>
      <c r="I8" s="477">
        <f>industrie!I18</f>
        <v>0</v>
      </c>
      <c r="J8" s="477">
        <f>industrie!J18</f>
        <v>63.846567568943968</v>
      </c>
      <c r="K8" s="477">
        <f>industrie!K18</f>
        <v>0</v>
      </c>
      <c r="L8" s="477">
        <f>industrie!L18</f>
        <v>0</v>
      </c>
      <c r="M8" s="477">
        <f>industrie!M18</f>
        <v>0</v>
      </c>
      <c r="N8" s="477">
        <f>industrie!N18</f>
        <v>2060.8478545898774</v>
      </c>
      <c r="O8" s="477">
        <f>industrie!O18</f>
        <v>0</v>
      </c>
      <c r="P8" s="478">
        <f>industrie!P18</f>
        <v>0</v>
      </c>
      <c r="Q8" s="476">
        <f t="shared" si="0"/>
        <v>17940.870137615788</v>
      </c>
    </row>
    <row r="9" spans="1:17" s="482" customFormat="1">
      <c r="A9" s="480" t="s">
        <v>564</v>
      </c>
      <c r="B9" s="481">
        <f>transport!B14</f>
        <v>53.661314420743572</v>
      </c>
      <c r="C9" s="481">
        <f>transport!C14</f>
        <v>0</v>
      </c>
      <c r="D9" s="481">
        <f>transport!D14</f>
        <v>126.32494285794486</v>
      </c>
      <c r="E9" s="481">
        <f>transport!E14</f>
        <v>561.76220123945404</v>
      </c>
      <c r="F9" s="481">
        <f>transport!F14</f>
        <v>0</v>
      </c>
      <c r="G9" s="481">
        <f>transport!G14</f>
        <v>192513.44538159066</v>
      </c>
      <c r="H9" s="481">
        <f>transport!H14</f>
        <v>34803.339008989336</v>
      </c>
      <c r="I9" s="481">
        <f>transport!I14</f>
        <v>0</v>
      </c>
      <c r="J9" s="481">
        <f>transport!J14</f>
        <v>0</v>
      </c>
      <c r="K9" s="481">
        <f>transport!K14</f>
        <v>0</v>
      </c>
      <c r="L9" s="481">
        <f>transport!L14</f>
        <v>0</v>
      </c>
      <c r="M9" s="481">
        <f>transport!M14</f>
        <v>7107.8032260376312</v>
      </c>
      <c r="N9" s="481">
        <f>transport!N14</f>
        <v>0</v>
      </c>
      <c r="O9" s="481">
        <f>transport!O14</f>
        <v>0</v>
      </c>
      <c r="P9" s="481">
        <f>transport!P14</f>
        <v>0</v>
      </c>
      <c r="Q9" s="480">
        <f>SUM(B9:P9)</f>
        <v>235166.33607513577</v>
      </c>
    </row>
    <row r="10" spans="1:17">
      <c r="A10" s="476" t="s">
        <v>554</v>
      </c>
      <c r="B10" s="477">
        <f>transport!B54</f>
        <v>0</v>
      </c>
      <c r="C10" s="477">
        <f>transport!C54</f>
        <v>0</v>
      </c>
      <c r="D10" s="477">
        <f>transport!D54</f>
        <v>0</v>
      </c>
      <c r="E10" s="477">
        <f>transport!E54</f>
        <v>0</v>
      </c>
      <c r="F10" s="477">
        <f>transport!F54</f>
        <v>0</v>
      </c>
      <c r="G10" s="477">
        <f>transport!G54</f>
        <v>1769.0958691163892</v>
      </c>
      <c r="H10" s="477">
        <f>transport!H54</f>
        <v>0</v>
      </c>
      <c r="I10" s="477">
        <f>transport!I54</f>
        <v>0</v>
      </c>
      <c r="J10" s="477">
        <f>transport!J54</f>
        <v>0</v>
      </c>
      <c r="K10" s="477">
        <f>transport!K54</f>
        <v>0</v>
      </c>
      <c r="L10" s="477">
        <f>transport!L54</f>
        <v>0</v>
      </c>
      <c r="M10" s="477">
        <f>transport!M54</f>
        <v>54.873396070399821</v>
      </c>
      <c r="N10" s="477">
        <f>transport!N54</f>
        <v>0</v>
      </c>
      <c r="O10" s="477">
        <f>transport!O54</f>
        <v>0</v>
      </c>
      <c r="P10" s="478">
        <f>transport!P54</f>
        <v>0</v>
      </c>
      <c r="Q10" s="476">
        <f t="shared" si="0"/>
        <v>1823.969265186789</v>
      </c>
    </row>
    <row r="11" spans="1:17">
      <c r="A11" s="476" t="s">
        <v>555</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556</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557</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852</v>
      </c>
      <c r="B14" s="484">
        <f>'SEAP template'!C25</f>
        <v>669.62874412000008</v>
      </c>
      <c r="C14" s="484"/>
      <c r="D14" s="484">
        <f>'SEAP template'!E25</f>
        <v>1731.0771198</v>
      </c>
      <c r="E14" s="484"/>
      <c r="F14" s="484"/>
      <c r="G14" s="484"/>
      <c r="H14" s="484"/>
      <c r="I14" s="484"/>
      <c r="J14" s="484"/>
      <c r="K14" s="484"/>
      <c r="L14" s="484"/>
      <c r="M14" s="484"/>
      <c r="N14" s="484"/>
      <c r="O14" s="484"/>
      <c r="P14" s="485"/>
      <c r="Q14" s="476">
        <f t="shared" si="0"/>
        <v>2400.70586392</v>
      </c>
    </row>
    <row r="15" spans="1:17" s="486" customFormat="1">
      <c r="A15" s="1038" t="s">
        <v>558</v>
      </c>
      <c r="B15" s="978">
        <f ca="1">SUM(B4:B14)</f>
        <v>60377.72049621398</v>
      </c>
      <c r="C15" s="978">
        <f t="shared" ref="C15:Q15" ca="1" si="1">SUM(C4:C14)</f>
        <v>0</v>
      </c>
      <c r="D15" s="978">
        <f t="shared" ca="1" si="1"/>
        <v>73705.361578520809</v>
      </c>
      <c r="E15" s="978">
        <f t="shared" si="1"/>
        <v>7460.4905940741746</v>
      </c>
      <c r="F15" s="978">
        <f t="shared" ca="1" si="1"/>
        <v>41471.933812924675</v>
      </c>
      <c r="G15" s="978">
        <f t="shared" si="1"/>
        <v>194282.54125070706</v>
      </c>
      <c r="H15" s="978">
        <f t="shared" si="1"/>
        <v>34803.339008989336</v>
      </c>
      <c r="I15" s="978">
        <f t="shared" si="1"/>
        <v>0</v>
      </c>
      <c r="J15" s="978">
        <f t="shared" si="1"/>
        <v>113.13953174396174</v>
      </c>
      <c r="K15" s="978">
        <f t="shared" si="1"/>
        <v>0</v>
      </c>
      <c r="L15" s="978">
        <f t="shared" ca="1" si="1"/>
        <v>0</v>
      </c>
      <c r="M15" s="978">
        <f t="shared" si="1"/>
        <v>7162.6766221080306</v>
      </c>
      <c r="N15" s="978">
        <f t="shared" ca="1" si="1"/>
        <v>10401.58373910915</v>
      </c>
      <c r="O15" s="978">
        <f t="shared" si="1"/>
        <v>154.77000000000001</v>
      </c>
      <c r="P15" s="978">
        <f t="shared" si="1"/>
        <v>476.66666666666663</v>
      </c>
      <c r="Q15" s="978">
        <f t="shared" ca="1" si="1"/>
        <v>430410.22330105788</v>
      </c>
    </row>
    <row r="17" spans="1:17">
      <c r="A17" s="487" t="s">
        <v>559</v>
      </c>
      <c r="B17" s="786">
        <f ca="1">huishoudens!B10</f>
        <v>0.20639694588001592</v>
      </c>
      <c r="C17" s="786">
        <f ca="1">huishoudens!C10</f>
        <v>0</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8" t="s">
        <v>561</v>
      </c>
      <c r="B19" s="1169" t="s">
        <v>560</v>
      </c>
      <c r="C19" s="1169"/>
      <c r="D19" s="1169"/>
      <c r="E19" s="1169"/>
      <c r="F19" s="1169"/>
      <c r="G19" s="1169"/>
      <c r="H19" s="1169"/>
      <c r="I19" s="1169"/>
      <c r="J19" s="1169"/>
      <c r="K19" s="1169"/>
      <c r="L19" s="1169"/>
      <c r="M19" s="1169"/>
      <c r="N19" s="1169"/>
      <c r="O19" s="1169"/>
      <c r="P19" s="1170"/>
      <c r="Q19" s="1037"/>
    </row>
    <row r="20" spans="1:17" ht="15" customHeight="1">
      <c r="A20" s="1168"/>
      <c r="B20" s="1171" t="s">
        <v>21</v>
      </c>
      <c r="C20" s="1173" t="s">
        <v>196</v>
      </c>
      <c r="D20" s="1175" t="s">
        <v>197</v>
      </c>
      <c r="E20" s="1176"/>
      <c r="F20" s="1176"/>
      <c r="G20" s="1176"/>
      <c r="H20" s="1176"/>
      <c r="I20" s="1176"/>
      <c r="J20" s="1176"/>
      <c r="K20" s="1172"/>
      <c r="L20" s="1175" t="s">
        <v>198</v>
      </c>
      <c r="M20" s="1176"/>
      <c r="N20" s="1176"/>
      <c r="O20" s="1176"/>
      <c r="P20" s="1172"/>
      <c r="Q20" s="1037"/>
    </row>
    <row r="21" spans="1:17" ht="45">
      <c r="A21" s="1168"/>
      <c r="B21" s="1172"/>
      <c r="C21" s="1174"/>
      <c r="D21" s="1037" t="s">
        <v>199</v>
      </c>
      <c r="E21" s="1037" t="s">
        <v>200</v>
      </c>
      <c r="F21" s="1037" t="s">
        <v>201</v>
      </c>
      <c r="G21" s="1037" t="s">
        <v>202</v>
      </c>
      <c r="H21" s="1037" t="s">
        <v>120</v>
      </c>
      <c r="I21" s="1037" t="s">
        <v>203</v>
      </c>
      <c r="J21" s="1037" t="s">
        <v>204</v>
      </c>
      <c r="K21" s="1037" t="s">
        <v>205</v>
      </c>
      <c r="L21" s="1037" t="s">
        <v>206</v>
      </c>
      <c r="M21" s="1037" t="s">
        <v>207</v>
      </c>
      <c r="N21" s="1037" t="s">
        <v>208</v>
      </c>
      <c r="O21" s="1037" t="s">
        <v>209</v>
      </c>
      <c r="P21" s="1037" t="s">
        <v>210</v>
      </c>
      <c r="Q21" s="1037" t="s">
        <v>116</v>
      </c>
    </row>
    <row r="22" spans="1:17">
      <c r="A22" s="476" t="s">
        <v>155</v>
      </c>
      <c r="B22" s="477">
        <f t="shared" ref="B22:B32" ca="1" si="2">B4*$B$17</f>
        <v>5586.155044157691</v>
      </c>
      <c r="C22" s="477">
        <f t="shared" ref="C22:C32" ca="1" si="3">C4*$C$17</f>
        <v>0</v>
      </c>
      <c r="D22" s="477">
        <f t="shared" ref="D22:D32" si="4">D4*$D$17</f>
        <v>10435.07042229441</v>
      </c>
      <c r="E22" s="477">
        <f t="shared" ref="E22:E32" si="5">E4*$E$17</f>
        <v>1278.0329478573738</v>
      </c>
      <c r="F22" s="477">
        <f t="shared" ref="F22:F32" si="6">F4*$F$17</f>
        <v>8541.4525445831496</v>
      </c>
      <c r="G22" s="477">
        <f t="shared" ref="G22:G32" si="7">G4*$G$17</f>
        <v>0</v>
      </c>
      <c r="H22" s="477">
        <f t="shared" ref="H22:H32" si="8">H4*$H$17</f>
        <v>0</v>
      </c>
      <c r="I22" s="477">
        <f t="shared" ref="I22:I32" si="9">I4*$I$17</f>
        <v>0</v>
      </c>
      <c r="J22" s="477">
        <f t="shared" ref="J22:J32" si="10">J4*$J$17</f>
        <v>0</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25840.710958892625</v>
      </c>
    </row>
    <row r="23" spans="1:17">
      <c r="A23" s="476" t="s">
        <v>156</v>
      </c>
      <c r="B23" s="477">
        <f t="shared" ca="1" si="2"/>
        <v>4505.5544395521247</v>
      </c>
      <c r="C23" s="477">
        <f t="shared" ca="1" si="3"/>
        <v>0</v>
      </c>
      <c r="D23" s="477">
        <f t="shared" ca="1" si="4"/>
        <v>3496.6169854131253</v>
      </c>
      <c r="E23" s="477">
        <f t="shared" si="5"/>
        <v>110.6236179090584</v>
      </c>
      <c r="F23" s="477">
        <f t="shared" ca="1" si="6"/>
        <v>1418.8451496499958</v>
      </c>
      <c r="G23" s="477">
        <f t="shared" si="7"/>
        <v>0</v>
      </c>
      <c r="H23" s="477">
        <f t="shared" si="8"/>
        <v>0</v>
      </c>
      <c r="I23" s="477">
        <f t="shared" si="9"/>
        <v>0</v>
      </c>
      <c r="J23" s="477">
        <f t="shared" si="10"/>
        <v>0</v>
      </c>
      <c r="K23" s="477">
        <f t="shared" si="11"/>
        <v>0</v>
      </c>
      <c r="L23" s="477">
        <f t="shared" ca="1" si="12"/>
        <v>0</v>
      </c>
      <c r="M23" s="477">
        <f t="shared" si="13"/>
        <v>0</v>
      </c>
      <c r="N23" s="477">
        <f t="shared" ca="1" si="14"/>
        <v>0</v>
      </c>
      <c r="O23" s="477">
        <f t="shared" si="15"/>
        <v>0</v>
      </c>
      <c r="P23" s="478">
        <f t="shared" si="16"/>
        <v>0</v>
      </c>
      <c r="Q23" s="476">
        <f t="shared" ref="Q23:Q32" ca="1" si="17">SUM(B23:P23)</f>
        <v>9531.6401925243044</v>
      </c>
    </row>
    <row r="24" spans="1:17">
      <c r="A24" s="476" t="s">
        <v>194</v>
      </c>
      <c r="B24" s="477">
        <f t="shared" ca="1" si="2"/>
        <v>209.60930794569248</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209.60930794569248</v>
      </c>
    </row>
    <row r="25" spans="1:17">
      <c r="A25" s="476" t="s">
        <v>112</v>
      </c>
      <c r="B25" s="477">
        <f t="shared" ca="1" si="2"/>
        <v>70.670256816663596</v>
      </c>
      <c r="C25" s="477">
        <f t="shared" ca="1" si="3"/>
        <v>0</v>
      </c>
      <c r="D25" s="477">
        <f t="shared" si="4"/>
        <v>30.949928577789763</v>
      </c>
      <c r="E25" s="477">
        <f t="shared" si="5"/>
        <v>2.0042225339020789</v>
      </c>
      <c r="F25" s="477">
        <f t="shared" si="6"/>
        <v>334.16016258411753</v>
      </c>
      <c r="G25" s="477">
        <f t="shared" si="7"/>
        <v>0</v>
      </c>
      <c r="H25" s="477">
        <f t="shared" si="8"/>
        <v>0</v>
      </c>
      <c r="I25" s="477">
        <f t="shared" si="9"/>
        <v>0</v>
      </c>
      <c r="J25" s="477">
        <f t="shared" si="10"/>
        <v>17.449709317956291</v>
      </c>
      <c r="K25" s="477">
        <f t="shared" si="11"/>
        <v>0</v>
      </c>
      <c r="L25" s="477">
        <f t="shared" si="12"/>
        <v>0</v>
      </c>
      <c r="M25" s="477">
        <f t="shared" si="13"/>
        <v>0</v>
      </c>
      <c r="N25" s="477">
        <f t="shared" si="14"/>
        <v>0</v>
      </c>
      <c r="O25" s="477">
        <f t="shared" si="15"/>
        <v>0</v>
      </c>
      <c r="P25" s="478">
        <f t="shared" si="16"/>
        <v>0</v>
      </c>
      <c r="Q25" s="476">
        <f t="shared" ca="1" si="17"/>
        <v>455.23427983042927</v>
      </c>
    </row>
    <row r="26" spans="1:17">
      <c r="A26" s="476" t="s">
        <v>638</v>
      </c>
      <c r="B26" s="477">
        <f t="shared" ca="1" si="2"/>
        <v>1940.5032020754454</v>
      </c>
      <c r="C26" s="477">
        <f t="shared" ca="1" si="3"/>
        <v>0</v>
      </c>
      <c r="D26" s="477">
        <f t="shared" si="4"/>
        <v>550.65048591897471</v>
      </c>
      <c r="E26" s="477">
        <f t="shared" si="5"/>
        <v>175.35055687314758</v>
      </c>
      <c r="F26" s="477">
        <f t="shared" si="6"/>
        <v>778.54847123362504</v>
      </c>
      <c r="G26" s="477">
        <f t="shared" si="7"/>
        <v>0</v>
      </c>
      <c r="H26" s="477">
        <f t="shared" si="8"/>
        <v>0</v>
      </c>
      <c r="I26" s="477">
        <f t="shared" si="9"/>
        <v>0</v>
      </c>
      <c r="J26" s="477">
        <f t="shared" si="10"/>
        <v>22.601684919406164</v>
      </c>
      <c r="K26" s="477">
        <f t="shared" si="11"/>
        <v>0</v>
      </c>
      <c r="L26" s="477">
        <f t="shared" si="12"/>
        <v>0</v>
      </c>
      <c r="M26" s="477">
        <f t="shared" si="13"/>
        <v>0</v>
      </c>
      <c r="N26" s="477">
        <f t="shared" si="14"/>
        <v>0</v>
      </c>
      <c r="O26" s="477">
        <f t="shared" si="15"/>
        <v>0</v>
      </c>
      <c r="P26" s="478">
        <f t="shared" si="16"/>
        <v>0</v>
      </c>
      <c r="Q26" s="476">
        <f t="shared" ca="1" si="17"/>
        <v>3467.6544010205989</v>
      </c>
    </row>
    <row r="27" spans="1:17" s="482" customFormat="1">
      <c r="A27" s="480" t="s">
        <v>564</v>
      </c>
      <c r="B27" s="780">
        <f t="shared" ca="1" si="2"/>
        <v>11.075531408348729</v>
      </c>
      <c r="C27" s="481">
        <f t="shared" ca="1" si="3"/>
        <v>0</v>
      </c>
      <c r="D27" s="481">
        <f t="shared" si="4"/>
        <v>25.517638457304862</v>
      </c>
      <c r="E27" s="481">
        <f t="shared" si="5"/>
        <v>127.52001968135608</v>
      </c>
      <c r="F27" s="481">
        <f t="shared" si="6"/>
        <v>0</v>
      </c>
      <c r="G27" s="481">
        <f t="shared" si="7"/>
        <v>51401.08991688471</v>
      </c>
      <c r="H27" s="481">
        <f t="shared" si="8"/>
        <v>8666.0314132383446</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60231.234519670063</v>
      </c>
    </row>
    <row r="28" spans="1:17">
      <c r="A28" s="476" t="s">
        <v>554</v>
      </c>
      <c r="B28" s="477">
        <f t="shared" ca="1" si="2"/>
        <v>0</v>
      </c>
      <c r="C28" s="477">
        <f t="shared" ca="1" si="3"/>
        <v>0</v>
      </c>
      <c r="D28" s="477">
        <f t="shared" si="4"/>
        <v>0</v>
      </c>
      <c r="E28" s="477">
        <f t="shared" si="5"/>
        <v>0</v>
      </c>
      <c r="F28" s="477">
        <f t="shared" si="6"/>
        <v>0</v>
      </c>
      <c r="G28" s="477">
        <f t="shared" si="7"/>
        <v>472.34859705407592</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472.34859705407592</v>
      </c>
    </row>
    <row r="29" spans="1:17">
      <c r="A29" s="476" t="s">
        <v>555</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556</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557</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852</v>
      </c>
      <c r="B32" s="477">
        <f t="shared" ca="1" si="2"/>
        <v>138.20932765983869</v>
      </c>
      <c r="C32" s="477">
        <f t="shared" ca="1" si="3"/>
        <v>0</v>
      </c>
      <c r="D32" s="477">
        <f t="shared" si="4"/>
        <v>349.67757819960002</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487.88690585943868</v>
      </c>
    </row>
    <row r="33" spans="1:17" s="486" customFormat="1">
      <c r="A33" s="1038" t="s">
        <v>558</v>
      </c>
      <c r="B33" s="978">
        <f ca="1">SUM(B22:B32)</f>
        <v>12461.777109615807</v>
      </c>
      <c r="C33" s="978">
        <f t="shared" ref="C33:Q33" ca="1" si="18">SUM(C22:C32)</f>
        <v>0</v>
      </c>
      <c r="D33" s="978">
        <f t="shared" ca="1" si="18"/>
        <v>14888.483038861204</v>
      </c>
      <c r="E33" s="978">
        <f t="shared" si="18"/>
        <v>1693.5313648548376</v>
      </c>
      <c r="F33" s="978">
        <f t="shared" ca="1" si="18"/>
        <v>11073.006328050889</v>
      </c>
      <c r="G33" s="978">
        <f t="shared" si="18"/>
        <v>51873.438513938789</v>
      </c>
      <c r="H33" s="978">
        <f t="shared" si="18"/>
        <v>8666.0314132383446</v>
      </c>
      <c r="I33" s="978">
        <f t="shared" si="18"/>
        <v>0</v>
      </c>
      <c r="J33" s="978">
        <f t="shared" si="18"/>
        <v>40.051394237362459</v>
      </c>
      <c r="K33" s="978">
        <f t="shared" si="18"/>
        <v>0</v>
      </c>
      <c r="L33" s="978">
        <f t="shared" ca="1" si="18"/>
        <v>0</v>
      </c>
      <c r="M33" s="978">
        <f t="shared" si="18"/>
        <v>0</v>
      </c>
      <c r="N33" s="978">
        <f t="shared" ca="1" si="18"/>
        <v>0</v>
      </c>
      <c r="O33" s="978">
        <f t="shared" si="18"/>
        <v>0</v>
      </c>
      <c r="P33" s="978">
        <f t="shared" si="18"/>
        <v>0</v>
      </c>
      <c r="Q33" s="978">
        <f t="shared" ca="1" si="18"/>
        <v>100696.31916279723</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A14" sqref="A14"/>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5" customFormat="1" ht="21">
      <c r="A1" s="1177" t="s">
        <v>553</v>
      </c>
      <c r="B1" s="1178" t="s">
        <v>809</v>
      </c>
      <c r="C1" s="1178"/>
      <c r="D1" s="1178"/>
      <c r="E1" s="1178"/>
      <c r="F1" s="1178"/>
      <c r="G1" s="1178"/>
      <c r="H1" s="1178"/>
      <c r="I1" s="1178"/>
      <c r="J1" s="1178"/>
      <c r="K1" s="1178"/>
      <c r="L1" s="1178"/>
      <c r="M1" s="1178"/>
      <c r="N1" s="1178"/>
      <c r="O1" s="1178"/>
      <c r="P1" s="1179"/>
      <c r="Q1" s="944"/>
    </row>
    <row r="2" spans="1:17" s="945" customFormat="1" ht="21">
      <c r="A2" s="1177"/>
      <c r="B2" s="1180" t="s">
        <v>21</v>
      </c>
      <c r="C2" s="1182" t="s">
        <v>196</v>
      </c>
      <c r="D2" s="1184" t="s">
        <v>197</v>
      </c>
      <c r="E2" s="1185"/>
      <c r="F2" s="1185"/>
      <c r="G2" s="1185"/>
      <c r="H2" s="1185"/>
      <c r="I2" s="1185"/>
      <c r="J2" s="1185"/>
      <c r="K2" s="1181"/>
      <c r="L2" s="1184" t="s">
        <v>198</v>
      </c>
      <c r="M2" s="1185"/>
      <c r="N2" s="1185"/>
      <c r="O2" s="1185"/>
      <c r="P2" s="1181"/>
      <c r="Q2" s="944"/>
    </row>
    <row r="3" spans="1:17" s="945" customFormat="1" ht="42">
      <c r="A3" s="1177"/>
      <c r="B3" s="1181"/>
      <c r="C3" s="1183"/>
      <c r="D3" s="946" t="s">
        <v>199</v>
      </c>
      <c r="E3" s="946" t="s">
        <v>200</v>
      </c>
      <c r="F3" s="946" t="s">
        <v>201</v>
      </c>
      <c r="G3" s="946" t="s">
        <v>202</v>
      </c>
      <c r="H3" s="946" t="s">
        <v>120</v>
      </c>
      <c r="I3" s="946" t="s">
        <v>203</v>
      </c>
      <c r="J3" s="946" t="s">
        <v>204</v>
      </c>
      <c r="K3" s="946" t="s">
        <v>205</v>
      </c>
      <c r="L3" s="946" t="s">
        <v>206</v>
      </c>
      <c r="M3" s="946" t="s">
        <v>207</v>
      </c>
      <c r="N3" s="946" t="s">
        <v>208</v>
      </c>
      <c r="O3" s="946" t="s">
        <v>209</v>
      </c>
      <c r="P3" s="946" t="s">
        <v>210</v>
      </c>
      <c r="Q3" s="944" t="s">
        <v>116</v>
      </c>
    </row>
    <row r="4" spans="1:17" ht="124.35" customHeight="1">
      <c r="A4" s="947" t="s">
        <v>155</v>
      </c>
      <c r="B4" s="948" t="s">
        <v>810</v>
      </c>
      <c r="C4" s="949" t="s">
        <v>811</v>
      </c>
      <c r="D4" s="950" t="s">
        <v>812</v>
      </c>
      <c r="E4" s="951" t="s">
        <v>813</v>
      </c>
      <c r="F4" s="951" t="s">
        <v>814</v>
      </c>
      <c r="G4" s="952" t="s">
        <v>817</v>
      </c>
      <c r="H4" s="952" t="s">
        <v>817</v>
      </c>
      <c r="I4" s="952" t="s">
        <v>817</v>
      </c>
      <c r="J4" s="951" t="s">
        <v>816</v>
      </c>
      <c r="K4" s="952" t="s">
        <v>817</v>
      </c>
      <c r="L4" s="952" t="s">
        <v>817</v>
      </c>
      <c r="M4" s="952" t="s">
        <v>817</v>
      </c>
      <c r="N4" s="951" t="s">
        <v>818</v>
      </c>
      <c r="O4" s="953" t="s">
        <v>819</v>
      </c>
      <c r="P4" s="954" t="s">
        <v>820</v>
      </c>
      <c r="Q4" s="955"/>
    </row>
    <row r="5" spans="1:17" ht="124.35" customHeight="1">
      <c r="A5" s="956" t="s">
        <v>156</v>
      </c>
      <c r="B5" s="957" t="s">
        <v>821</v>
      </c>
      <c r="C5" s="958" t="s">
        <v>822</v>
      </c>
      <c r="D5" s="958" t="s">
        <v>823</v>
      </c>
      <c r="E5" s="959" t="s">
        <v>824</v>
      </c>
      <c r="F5" s="959" t="s">
        <v>825</v>
      </c>
      <c r="G5" s="960" t="s">
        <v>817</v>
      </c>
      <c r="H5" s="960" t="s">
        <v>817</v>
      </c>
      <c r="I5" s="960" t="s">
        <v>817</v>
      </c>
      <c r="J5" s="959" t="s">
        <v>826</v>
      </c>
      <c r="K5" s="957" t="s">
        <v>827</v>
      </c>
      <c r="L5" s="960" t="s">
        <v>817</v>
      </c>
      <c r="M5" s="960" t="s">
        <v>817</v>
      </c>
      <c r="N5" s="959" t="s">
        <v>828</v>
      </c>
      <c r="O5" s="961" t="s">
        <v>819</v>
      </c>
      <c r="P5" s="962" t="s">
        <v>820</v>
      </c>
      <c r="Q5" s="963"/>
    </row>
    <row r="6" spans="1:17" ht="124.35" customHeight="1">
      <c r="A6" s="956" t="s">
        <v>194</v>
      </c>
      <c r="B6" s="964" t="s">
        <v>829</v>
      </c>
      <c r="C6" s="965" t="s">
        <v>815</v>
      </c>
      <c r="D6" s="960" t="s">
        <v>815</v>
      </c>
      <c r="E6" s="960" t="s">
        <v>815</v>
      </c>
      <c r="F6" s="960" t="s">
        <v>815</v>
      </c>
      <c r="G6" s="960" t="s">
        <v>815</v>
      </c>
      <c r="H6" s="960" t="s">
        <v>815</v>
      </c>
      <c r="I6" s="960" t="s">
        <v>815</v>
      </c>
      <c r="J6" s="960" t="s">
        <v>815</v>
      </c>
      <c r="K6" s="960" t="s">
        <v>815</v>
      </c>
      <c r="L6" s="960" t="s">
        <v>815</v>
      </c>
      <c r="M6" s="960" t="s">
        <v>815</v>
      </c>
      <c r="N6" s="960" t="s">
        <v>815</v>
      </c>
      <c r="O6" s="966" t="s">
        <v>815</v>
      </c>
      <c r="P6" s="967" t="s">
        <v>815</v>
      </c>
      <c r="Q6" s="968"/>
    </row>
    <row r="7" spans="1:17" ht="124.35" customHeight="1">
      <c r="A7" s="956" t="s">
        <v>112</v>
      </c>
      <c r="B7" s="964" t="s">
        <v>829</v>
      </c>
      <c r="C7" s="958" t="s">
        <v>822</v>
      </c>
      <c r="D7" s="958" t="s">
        <v>823</v>
      </c>
      <c r="E7" s="959" t="s">
        <v>824</v>
      </c>
      <c r="F7" s="959" t="s">
        <v>825</v>
      </c>
      <c r="G7" s="960" t="s">
        <v>817</v>
      </c>
      <c r="H7" s="960" t="s">
        <v>817</v>
      </c>
      <c r="I7" s="960" t="s">
        <v>817</v>
      </c>
      <c r="J7" s="959" t="s">
        <v>826</v>
      </c>
      <c r="K7" s="960" t="s">
        <v>817</v>
      </c>
      <c r="L7" s="960" t="s">
        <v>817</v>
      </c>
      <c r="M7" s="960" t="s">
        <v>817</v>
      </c>
      <c r="N7" s="969" t="s">
        <v>817</v>
      </c>
      <c r="O7" s="965" t="s">
        <v>817</v>
      </c>
      <c r="P7" s="970" t="s">
        <v>817</v>
      </c>
      <c r="Q7" s="963"/>
    </row>
    <row r="8" spans="1:17" ht="124.35" customHeight="1">
      <c r="A8" s="956" t="s">
        <v>638</v>
      </c>
      <c r="B8" s="957" t="s">
        <v>830</v>
      </c>
      <c r="C8" s="958" t="s">
        <v>822</v>
      </c>
      <c r="D8" s="958" t="s">
        <v>823</v>
      </c>
      <c r="E8" s="959" t="s">
        <v>824</v>
      </c>
      <c r="F8" s="959" t="s">
        <v>825</v>
      </c>
      <c r="G8" s="960" t="s">
        <v>817</v>
      </c>
      <c r="H8" s="960" t="s">
        <v>817</v>
      </c>
      <c r="I8" s="960" t="s">
        <v>817</v>
      </c>
      <c r="J8" s="959" t="s">
        <v>826</v>
      </c>
      <c r="K8" s="957" t="s">
        <v>827</v>
      </c>
      <c r="L8" s="960" t="s">
        <v>817</v>
      </c>
      <c r="M8" s="960" t="s">
        <v>817</v>
      </c>
      <c r="N8" s="959" t="s">
        <v>828</v>
      </c>
      <c r="O8" s="961" t="s">
        <v>819</v>
      </c>
      <c r="P8" s="962" t="s">
        <v>820</v>
      </c>
      <c r="Q8" s="963"/>
    </row>
    <row r="9" spans="1:17" s="482" customFormat="1" ht="124.35" customHeight="1">
      <c r="A9" s="971" t="s">
        <v>564</v>
      </c>
      <c r="B9" s="959" t="s">
        <v>831</v>
      </c>
      <c r="C9" s="966" t="s">
        <v>815</v>
      </c>
      <c r="D9" s="959" t="s">
        <v>832</v>
      </c>
      <c r="E9" s="959" t="s">
        <v>833</v>
      </c>
      <c r="F9" s="960" t="s">
        <v>815</v>
      </c>
      <c r="G9" s="959" t="s">
        <v>834</v>
      </c>
      <c r="H9" s="959" t="s">
        <v>835</v>
      </c>
      <c r="I9" s="960" t="s">
        <v>815</v>
      </c>
      <c r="J9" s="960" t="s">
        <v>815</v>
      </c>
      <c r="K9" s="960" t="s">
        <v>815</v>
      </c>
      <c r="L9" s="960" t="s">
        <v>815</v>
      </c>
      <c r="M9" s="959" t="s">
        <v>831</v>
      </c>
      <c r="N9" s="960" t="s">
        <v>815</v>
      </c>
      <c r="O9" s="960" t="s">
        <v>815</v>
      </c>
      <c r="P9" s="972" t="s">
        <v>815</v>
      </c>
      <c r="Q9" s="973"/>
    </row>
    <row r="10" spans="1:17" ht="124.35" customHeight="1">
      <c r="A10" s="956" t="s">
        <v>554</v>
      </c>
      <c r="B10" s="957" t="s">
        <v>845</v>
      </c>
      <c r="C10" s="966" t="s">
        <v>815</v>
      </c>
      <c r="D10" s="966" t="s">
        <v>815</v>
      </c>
      <c r="E10" s="966" t="s">
        <v>815</v>
      </c>
      <c r="F10" s="960" t="s">
        <v>815</v>
      </c>
      <c r="G10" s="957" t="s">
        <v>836</v>
      </c>
      <c r="H10" s="960" t="s">
        <v>815</v>
      </c>
      <c r="I10" s="960" t="s">
        <v>815</v>
      </c>
      <c r="J10" s="960" t="s">
        <v>815</v>
      </c>
      <c r="K10" s="960" t="s">
        <v>815</v>
      </c>
      <c r="L10" s="960" t="s">
        <v>815</v>
      </c>
      <c r="M10" s="957" t="s">
        <v>837</v>
      </c>
      <c r="N10" s="960" t="s">
        <v>815</v>
      </c>
      <c r="O10" s="960" t="s">
        <v>815</v>
      </c>
      <c r="P10" s="972" t="s">
        <v>815</v>
      </c>
      <c r="Q10" s="963"/>
    </row>
    <row r="11" spans="1:17" ht="21">
      <c r="A11" s="956" t="s">
        <v>555</v>
      </c>
      <c r="B11" s="974" t="s">
        <v>838</v>
      </c>
      <c r="C11" s="974" t="s">
        <v>838</v>
      </c>
      <c r="D11" s="974" t="s">
        <v>838</v>
      </c>
      <c r="E11" s="974" t="s">
        <v>838</v>
      </c>
      <c r="F11" s="974" t="s">
        <v>838</v>
      </c>
      <c r="G11" s="974" t="s">
        <v>838</v>
      </c>
      <c r="H11" s="974" t="s">
        <v>838</v>
      </c>
      <c r="I11" s="974" t="s">
        <v>838</v>
      </c>
      <c r="J11" s="974" t="s">
        <v>838</v>
      </c>
      <c r="K11" s="974" t="s">
        <v>838</v>
      </c>
      <c r="L11" s="974" t="s">
        <v>838</v>
      </c>
      <c r="M11" s="974" t="s">
        <v>838</v>
      </c>
      <c r="N11" s="974" t="s">
        <v>838</v>
      </c>
      <c r="O11" s="974" t="s">
        <v>838</v>
      </c>
      <c r="P11" s="990" t="s">
        <v>838</v>
      </c>
      <c r="Q11" s="991"/>
    </row>
    <row r="12" spans="1:17" ht="21">
      <c r="A12" s="956" t="s">
        <v>556</v>
      </c>
      <c r="B12" s="974" t="s">
        <v>838</v>
      </c>
      <c r="C12" s="974" t="s">
        <v>815</v>
      </c>
      <c r="D12" s="974" t="s">
        <v>815</v>
      </c>
      <c r="E12" s="974" t="s">
        <v>815</v>
      </c>
      <c r="F12" s="974" t="s">
        <v>815</v>
      </c>
      <c r="G12" s="974" t="s">
        <v>815</v>
      </c>
      <c r="H12" s="974" t="s">
        <v>815</v>
      </c>
      <c r="I12" s="974" t="s">
        <v>815</v>
      </c>
      <c r="J12" s="974" t="s">
        <v>815</v>
      </c>
      <c r="K12" s="974" t="s">
        <v>815</v>
      </c>
      <c r="L12" s="974" t="s">
        <v>815</v>
      </c>
      <c r="M12" s="974" t="s">
        <v>815</v>
      </c>
      <c r="N12" s="974" t="s">
        <v>815</v>
      </c>
      <c r="O12" s="974" t="s">
        <v>815</v>
      </c>
      <c r="P12" s="975" t="s">
        <v>815</v>
      </c>
      <c r="Q12" s="478"/>
    </row>
    <row r="13" spans="1:17" ht="21">
      <c r="A13" s="956" t="s">
        <v>557</v>
      </c>
      <c r="B13" s="974" t="s">
        <v>838</v>
      </c>
      <c r="C13" s="974" t="s">
        <v>815</v>
      </c>
      <c r="D13" s="974" t="s">
        <v>838</v>
      </c>
      <c r="E13" s="974" t="s">
        <v>838</v>
      </c>
      <c r="F13" s="974" t="s">
        <v>815</v>
      </c>
      <c r="G13" s="974" t="s">
        <v>838</v>
      </c>
      <c r="H13" s="974" t="s">
        <v>838</v>
      </c>
      <c r="I13" s="974" t="s">
        <v>815</v>
      </c>
      <c r="J13" s="974" t="s">
        <v>815</v>
      </c>
      <c r="K13" s="974" t="s">
        <v>815</v>
      </c>
      <c r="L13" s="974" t="s">
        <v>815</v>
      </c>
      <c r="M13" s="974" t="s">
        <v>838</v>
      </c>
      <c r="N13" s="974" t="s">
        <v>815</v>
      </c>
      <c r="O13" s="974" t="s">
        <v>815</v>
      </c>
      <c r="P13" s="975" t="s">
        <v>815</v>
      </c>
      <c r="Q13" s="478"/>
    </row>
    <row r="14" spans="1:17" ht="30">
      <c r="A14" s="976" t="s">
        <v>852</v>
      </c>
      <c r="B14" s="964" t="s">
        <v>829</v>
      </c>
      <c r="C14" s="974" t="s">
        <v>815</v>
      </c>
      <c r="D14" s="964" t="s">
        <v>829</v>
      </c>
      <c r="E14" s="974" t="s">
        <v>815</v>
      </c>
      <c r="F14" s="974" t="s">
        <v>815</v>
      </c>
      <c r="G14" s="974" t="s">
        <v>815</v>
      </c>
      <c r="H14" s="974" t="s">
        <v>815</v>
      </c>
      <c r="I14" s="974" t="s">
        <v>815</v>
      </c>
      <c r="J14" s="974" t="s">
        <v>815</v>
      </c>
      <c r="K14" s="974" t="s">
        <v>815</v>
      </c>
      <c r="L14" s="974" t="s">
        <v>815</v>
      </c>
      <c r="M14" s="974" t="s">
        <v>815</v>
      </c>
      <c r="N14" s="974" t="s">
        <v>815</v>
      </c>
      <c r="O14" s="974" t="s">
        <v>815</v>
      </c>
      <c r="P14" s="990" t="s">
        <v>815</v>
      </c>
      <c r="Q14" s="1039"/>
    </row>
    <row r="15" spans="1:17" s="486" customFormat="1" ht="21">
      <c r="A15" s="977" t="s">
        <v>558</v>
      </c>
      <c r="B15" s="978"/>
      <c r="C15" s="978"/>
      <c r="D15" s="978"/>
      <c r="E15" s="978"/>
      <c r="F15" s="978"/>
      <c r="G15" s="978"/>
      <c r="H15" s="978"/>
      <c r="I15" s="978"/>
      <c r="J15" s="978"/>
      <c r="K15" s="978"/>
      <c r="L15" s="978"/>
      <c r="M15" s="979"/>
      <c r="N15" s="978"/>
      <c r="O15" s="978"/>
      <c r="P15" s="980"/>
      <c r="Q15" s="981"/>
    </row>
    <row r="16" spans="1:17">
      <c r="M16" s="982"/>
    </row>
    <row r="17" spans="1:4">
      <c r="B17" s="983">
        <v>1</v>
      </c>
      <c r="C17" s="984">
        <v>2</v>
      </c>
      <c r="D17" s="985">
        <v>3</v>
      </c>
    </row>
    <row r="18" spans="1:4" ht="252">
      <c r="A18" s="986" t="s">
        <v>839</v>
      </c>
      <c r="B18" s="987" t="s">
        <v>840</v>
      </c>
      <c r="C18" s="988" t="s">
        <v>841</v>
      </c>
      <c r="D18" s="989" t="s">
        <v>842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60">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c r="A4" s="1054" t="s">
        <v>249</v>
      </c>
      <c r="B4" s="1055">
        <f>'SEAP template'!B72</f>
        <v>0</v>
      </c>
      <c r="C4" s="1055"/>
      <c r="D4" s="1055"/>
      <c r="E4" s="1055"/>
      <c r="F4" s="1055"/>
      <c r="G4" s="1055"/>
      <c r="H4" s="1055"/>
      <c r="I4" s="1055"/>
      <c r="J4" s="1055"/>
      <c r="K4" s="1055"/>
      <c r="L4" s="1055"/>
      <c r="M4" s="1055"/>
      <c r="N4" s="1055"/>
      <c r="O4" s="1055"/>
      <c r="P4" s="1056">
        <f>'SEAP template'!Q72</f>
        <v>0</v>
      </c>
    </row>
    <row r="5" spans="1:16">
      <c r="A5" s="1057" t="s">
        <v>250</v>
      </c>
      <c r="B5" s="1055">
        <f>'SEAP template'!B73</f>
        <v>0</v>
      </c>
      <c r="C5" s="1055"/>
      <c r="D5" s="1055"/>
      <c r="E5" s="1055"/>
      <c r="F5" s="1055"/>
      <c r="G5" s="1055"/>
      <c r="H5" s="1055"/>
      <c r="I5" s="1055"/>
      <c r="J5" s="1055"/>
      <c r="K5" s="1055"/>
      <c r="L5" s="1055"/>
      <c r="M5" s="1055"/>
      <c r="N5" s="1055"/>
      <c r="O5" s="1055"/>
      <c r="P5" s="1056">
        <f>'SEAP template'!Q73</f>
        <v>0</v>
      </c>
    </row>
    <row r="6" spans="1:16">
      <c r="A6" s="1057" t="s">
        <v>251</v>
      </c>
      <c r="B6" s="1055">
        <f>'SEAP template'!B74</f>
        <v>3989.5887784954039</v>
      </c>
      <c r="C6" s="1055"/>
      <c r="D6" s="1055"/>
      <c r="E6" s="1055"/>
      <c r="F6" s="1055"/>
      <c r="G6" s="1055"/>
      <c r="H6" s="1055"/>
      <c r="I6" s="1055"/>
      <c r="J6" s="1055"/>
      <c r="K6" s="1055"/>
      <c r="L6" s="1055"/>
      <c r="M6" s="1055"/>
      <c r="N6" s="1055"/>
      <c r="O6" s="1055"/>
      <c r="P6" s="1056">
        <f>'SEAP template'!Q74</f>
        <v>0</v>
      </c>
    </row>
    <row r="7" spans="1:16">
      <c r="A7" s="1057" t="s">
        <v>851</v>
      </c>
      <c r="B7" s="1055">
        <f>'SEAP template'!B75</f>
        <v>0</v>
      </c>
      <c r="C7" s="1055"/>
      <c r="D7" s="1055"/>
      <c r="E7" s="1055"/>
      <c r="F7" s="1055"/>
      <c r="G7" s="1055"/>
      <c r="H7" s="1055"/>
      <c r="I7" s="1055"/>
      <c r="J7" s="1055"/>
      <c r="K7" s="1055"/>
      <c r="L7" s="1055"/>
      <c r="M7" s="1055"/>
      <c r="N7" s="1055"/>
      <c r="O7" s="1055"/>
      <c r="P7" s="1056">
        <f>'SEAP template'!Q75</f>
        <v>0</v>
      </c>
    </row>
    <row r="8" spans="1:16">
      <c r="A8" s="1054" t="s">
        <v>252</v>
      </c>
      <c r="B8" s="1055">
        <f>'SEAP template'!B76</f>
        <v>0</v>
      </c>
      <c r="C8" s="1055">
        <f>'SEAP template'!C76</f>
        <v>0</v>
      </c>
      <c r="D8" s="1055">
        <f>'SEAP template'!D76</f>
        <v>0</v>
      </c>
      <c r="E8" s="1055">
        <f>'SEAP template'!E76</f>
        <v>0</v>
      </c>
      <c r="F8" s="1055">
        <f>'SEAP template'!F76</f>
        <v>0</v>
      </c>
      <c r="G8" s="1055">
        <f>'SEAP template'!G76</f>
        <v>0</v>
      </c>
      <c r="H8" s="1055">
        <f>'SEAP template'!H76</f>
        <v>0</v>
      </c>
      <c r="I8" s="1055">
        <f>'SEAP template'!I76</f>
        <v>0</v>
      </c>
      <c r="J8" s="1055">
        <f>'SEAP template'!J76</f>
        <v>0</v>
      </c>
      <c r="K8" s="1055">
        <f>'SEAP template'!K76</f>
        <v>0</v>
      </c>
      <c r="L8" s="1055">
        <f>'SEAP template'!L76</f>
        <v>0</v>
      </c>
      <c r="M8" s="1055">
        <f>'SEAP template'!M76</f>
        <v>0</v>
      </c>
      <c r="N8" s="1055">
        <f>'SEAP template'!N76</f>
        <v>0</v>
      </c>
      <c r="O8" s="1055">
        <f>'SEAP template'!O76</f>
        <v>0</v>
      </c>
      <c r="P8" s="1056">
        <f>'SEAP template'!Q76</f>
        <v>0</v>
      </c>
    </row>
    <row r="9" spans="1:16">
      <c r="A9" s="1058" t="s">
        <v>863</v>
      </c>
      <c r="B9" s="1055">
        <f>'SEAP template'!B77</f>
        <v>0</v>
      </c>
      <c r="C9" s="1055">
        <f>'SEAP template'!C77</f>
        <v>0</v>
      </c>
      <c r="D9" s="1055">
        <f>'SEAP template'!D77</f>
        <v>0</v>
      </c>
      <c r="E9" s="1055">
        <f>'SEAP template'!E77</f>
        <v>0</v>
      </c>
      <c r="F9" s="1055">
        <f>'SEAP template'!F77</f>
        <v>0</v>
      </c>
      <c r="G9" s="1055">
        <f>'SEAP template'!G77</f>
        <v>0</v>
      </c>
      <c r="H9" s="1055">
        <f>'SEAP template'!H77</f>
        <v>0</v>
      </c>
      <c r="I9" s="1055">
        <f>'SEAP template'!I77</f>
        <v>0</v>
      </c>
      <c r="J9" s="1055">
        <f>'SEAP template'!J77</f>
        <v>0</v>
      </c>
      <c r="K9" s="1055">
        <f>'SEAP template'!K77</f>
        <v>0</v>
      </c>
      <c r="L9" s="1055">
        <f>'SEAP template'!L77</f>
        <v>0</v>
      </c>
      <c r="M9" s="1055">
        <f>'SEAP template'!M77</f>
        <v>0</v>
      </c>
      <c r="N9" s="1055">
        <f>'SEAP template'!N77</f>
        <v>0</v>
      </c>
      <c r="O9" s="1055">
        <f>'SEAP template'!O77</f>
        <v>0</v>
      </c>
      <c r="P9" s="1056">
        <f>'SEAP template'!Q77</f>
        <v>0</v>
      </c>
    </row>
    <row r="10" spans="1:16">
      <c r="A10" s="1057" t="s">
        <v>116</v>
      </c>
      <c r="B10" s="1059">
        <f>SUM(B4:B9)</f>
        <v>3989.5887784954039</v>
      </c>
      <c r="C10" s="1059">
        <f>SUM(C4:C9)</f>
        <v>0</v>
      </c>
      <c r="D10" s="1059">
        <f t="shared" ref="D10:H10" si="0">SUM(D8:D9)</f>
        <v>0</v>
      </c>
      <c r="E10" s="1059">
        <f t="shared" si="0"/>
        <v>0</v>
      </c>
      <c r="F10" s="1059">
        <f t="shared" si="0"/>
        <v>0</v>
      </c>
      <c r="G10" s="1059">
        <f t="shared" si="0"/>
        <v>0</v>
      </c>
      <c r="H10" s="1059">
        <f t="shared" si="0"/>
        <v>0</v>
      </c>
      <c r="I10" s="1059">
        <f>SUM(I8:I9)</f>
        <v>0</v>
      </c>
      <c r="J10" s="1059">
        <f>SUM(J8:J9)</f>
        <v>0</v>
      </c>
      <c r="K10" s="1059">
        <f t="shared" ref="K10:L10" si="1">SUM(K8:K9)</f>
        <v>0</v>
      </c>
      <c r="L10" s="1059">
        <f t="shared" si="1"/>
        <v>0</v>
      </c>
      <c r="M10" s="1059">
        <f>SUM(M8:M9)</f>
        <v>0</v>
      </c>
      <c r="N10" s="1059">
        <f>SUM(N8:N9)</f>
        <v>0</v>
      </c>
      <c r="O10" s="1059">
        <f>SUM(O8:O9)</f>
        <v>0</v>
      </c>
      <c r="P10" s="1059">
        <f>SUM(P8:P9)</f>
        <v>0</v>
      </c>
    </row>
    <row r="11" spans="1:16">
      <c r="A11" s="896"/>
      <c r="B11" s="896"/>
      <c r="C11" s="896"/>
      <c r="D11" s="896"/>
      <c r="E11" s="896"/>
      <c r="F11" s="896"/>
      <c r="G11" s="896"/>
      <c r="H11" s="896"/>
      <c r="I11" s="896"/>
      <c r="J11" s="896"/>
      <c r="K11" s="896"/>
      <c r="L11" s="896"/>
      <c r="M11" s="896"/>
      <c r="N11" s="896"/>
      <c r="O11" s="896"/>
      <c r="P11" s="896"/>
    </row>
    <row r="12" spans="1:16">
      <c r="A12" s="487" t="s">
        <v>864</v>
      </c>
      <c r="B12" s="786" t="s">
        <v>865</v>
      </c>
      <c r="C12" s="786">
        <f ca="1">'EF ele_warmte'!B12</f>
        <v>0.20639694588001592</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c r="A17" s="1060" t="s">
        <v>252</v>
      </c>
      <c r="B17" s="1061">
        <f>'SEAP template'!B87</f>
        <v>0</v>
      </c>
      <c r="C17" s="1061">
        <f>'SEAP template'!C87</f>
        <v>0</v>
      </c>
      <c r="D17" s="1056">
        <f>'SEAP template'!D87</f>
        <v>0</v>
      </c>
      <c r="E17" s="1056">
        <f>'SEAP template'!E87</f>
        <v>0</v>
      </c>
      <c r="F17" s="1056">
        <f>'SEAP template'!F87</f>
        <v>0</v>
      </c>
      <c r="G17" s="1056">
        <f>'SEAP template'!G87</f>
        <v>0</v>
      </c>
      <c r="H17" s="1056">
        <f>'SEAP template'!H87</f>
        <v>0</v>
      </c>
      <c r="I17" s="1056">
        <f>'SEAP template'!I87</f>
        <v>0</v>
      </c>
      <c r="J17" s="1056">
        <f>'SEAP template'!J87</f>
        <v>0</v>
      </c>
      <c r="K17" s="1056">
        <f>'SEAP template'!K87</f>
        <v>0</v>
      </c>
      <c r="L17" s="1056">
        <f>'SEAP template'!L87</f>
        <v>0</v>
      </c>
      <c r="M17" s="1056">
        <f>'SEAP template'!M87</f>
        <v>0</v>
      </c>
      <c r="N17" s="1056">
        <f>'SEAP template'!N87</f>
        <v>0</v>
      </c>
      <c r="O17" s="1056">
        <f>'SEAP template'!O87</f>
        <v>0</v>
      </c>
      <c r="P17" s="1056">
        <f>'SEAP template'!Q87</f>
        <v>0</v>
      </c>
    </row>
    <row r="18" spans="1:16">
      <c r="A18" s="1062" t="s">
        <v>258</v>
      </c>
      <c r="B18" s="1061">
        <f>'SEAP template'!B88</f>
        <v>0</v>
      </c>
      <c r="C18" s="1061">
        <f>'SEAP template'!C88</f>
        <v>0</v>
      </c>
      <c r="D18" s="1056">
        <f>'SEAP template'!D88</f>
        <v>0</v>
      </c>
      <c r="E18" s="1056">
        <f>'SEAP template'!E88</f>
        <v>0</v>
      </c>
      <c r="F18" s="1056">
        <f>'SEAP template'!F88</f>
        <v>0</v>
      </c>
      <c r="G18" s="1056">
        <f>'SEAP template'!G88</f>
        <v>0</v>
      </c>
      <c r="H18" s="1056">
        <f>'SEAP template'!H88</f>
        <v>0</v>
      </c>
      <c r="I18" s="1056">
        <f>'SEAP template'!I88</f>
        <v>0</v>
      </c>
      <c r="J18" s="1056">
        <f>'SEAP template'!J88</f>
        <v>0</v>
      </c>
      <c r="K18" s="1056">
        <f>'SEAP template'!K88</f>
        <v>0</v>
      </c>
      <c r="L18" s="1056">
        <f>'SEAP template'!L88</f>
        <v>0</v>
      </c>
      <c r="M18" s="1056">
        <f>'SEAP template'!M88</f>
        <v>0</v>
      </c>
      <c r="N18" s="1056">
        <f>'SEAP template'!N88</f>
        <v>0</v>
      </c>
      <c r="O18" s="1056">
        <f>'SEAP template'!O88</f>
        <v>0</v>
      </c>
      <c r="P18" s="1056">
        <f>'SEAP template'!Q88</f>
        <v>0</v>
      </c>
    </row>
    <row r="19" spans="1:16">
      <c r="A19" s="1058" t="s">
        <v>870</v>
      </c>
      <c r="B19" s="1061">
        <f>'SEAP template'!B89</f>
        <v>0</v>
      </c>
      <c r="C19" s="1061">
        <f>'SEAP template'!C89</f>
        <v>0</v>
      </c>
      <c r="D19" s="1056">
        <f>'SEAP template'!D89</f>
        <v>0</v>
      </c>
      <c r="E19" s="1056">
        <f>'SEAP template'!E89</f>
        <v>0</v>
      </c>
      <c r="F19" s="1056">
        <f>'SEAP template'!F89</f>
        <v>0</v>
      </c>
      <c r="G19" s="1056">
        <f>'SEAP template'!G89</f>
        <v>0</v>
      </c>
      <c r="H19" s="1056">
        <f>'SEAP template'!H89</f>
        <v>0</v>
      </c>
      <c r="I19" s="1056">
        <f>'SEAP template'!I89</f>
        <v>0</v>
      </c>
      <c r="J19" s="1056">
        <f>'SEAP template'!J89</f>
        <v>0</v>
      </c>
      <c r="K19" s="1056">
        <f>'SEAP template'!K89</f>
        <v>0</v>
      </c>
      <c r="L19" s="1056">
        <f>'SEAP template'!L89</f>
        <v>0</v>
      </c>
      <c r="M19" s="1056">
        <f>'SEAP template'!M89</f>
        <v>0</v>
      </c>
      <c r="N19" s="1056">
        <f>'SEAP template'!N89</f>
        <v>0</v>
      </c>
      <c r="O19" s="1056">
        <f>'SEAP template'!O89</f>
        <v>0</v>
      </c>
      <c r="P19" s="1056">
        <f>'SEAP template'!Q89</f>
        <v>0</v>
      </c>
    </row>
    <row r="20" spans="1:16">
      <c r="A20" s="1063" t="s">
        <v>116</v>
      </c>
      <c r="B20" s="1059">
        <f>SUM(B17:B19)</f>
        <v>0</v>
      </c>
      <c r="C20" s="1059">
        <f>SUM(C17:C19)</f>
        <v>0</v>
      </c>
      <c r="D20" s="1059">
        <f t="shared" ref="D20:H20" si="2">SUM(D17:D19)</f>
        <v>0</v>
      </c>
      <c r="E20" s="1059">
        <f t="shared" si="2"/>
        <v>0</v>
      </c>
      <c r="F20" s="1059">
        <f t="shared" si="2"/>
        <v>0</v>
      </c>
      <c r="G20" s="1059">
        <f t="shared" si="2"/>
        <v>0</v>
      </c>
      <c r="H20" s="1059">
        <f t="shared" si="2"/>
        <v>0</v>
      </c>
      <c r="I20" s="1059">
        <f>SUM(I17:I19)</f>
        <v>0</v>
      </c>
      <c r="J20" s="1059">
        <f>SUM(J17:J19)</f>
        <v>0</v>
      </c>
      <c r="K20" s="1059">
        <f t="shared" ref="K20:L20" si="3">SUM(K17:K19)</f>
        <v>0</v>
      </c>
      <c r="L20" s="1059">
        <f t="shared" si="3"/>
        <v>0</v>
      </c>
      <c r="M20" s="1059">
        <f>SUM(M17:M19)</f>
        <v>0</v>
      </c>
      <c r="N20" s="1059">
        <f>SUM(N17:N19)</f>
        <v>0</v>
      </c>
      <c r="O20" s="1059">
        <f>SUM(O17:O19)</f>
        <v>0</v>
      </c>
      <c r="P20" s="1059">
        <f>SUM(P17:P19)</f>
        <v>0</v>
      </c>
    </row>
    <row r="22" spans="1:16">
      <c r="A22" s="487" t="s">
        <v>871</v>
      </c>
      <c r="B22" s="786" t="s">
        <v>865</v>
      </c>
      <c r="C22" s="786">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13" workbookViewId="0">
      <selection activeCell="A17" sqref="A17"/>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15.75">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ht="135">
      <c r="A4" s="1064" t="s">
        <v>249</v>
      </c>
      <c r="B4" s="1065" t="s">
        <v>872</v>
      </c>
      <c r="C4" s="1066" t="s">
        <v>815</v>
      </c>
      <c r="D4" s="1066" t="s">
        <v>815</v>
      </c>
      <c r="E4" s="1066" t="s">
        <v>815</v>
      </c>
      <c r="F4" s="1066" t="s">
        <v>815</v>
      </c>
      <c r="G4" s="1066" t="s">
        <v>815</v>
      </c>
      <c r="H4" s="1066" t="s">
        <v>815</v>
      </c>
      <c r="I4" s="1066" t="s">
        <v>815</v>
      </c>
      <c r="J4" s="1066" t="s">
        <v>815</v>
      </c>
      <c r="K4" s="1066" t="s">
        <v>815</v>
      </c>
      <c r="L4" s="1066" t="s">
        <v>815</v>
      </c>
      <c r="M4" s="1066" t="s">
        <v>815</v>
      </c>
      <c r="N4" s="1066" t="s">
        <v>815</v>
      </c>
      <c r="O4" s="1066" t="s">
        <v>815</v>
      </c>
      <c r="P4" s="1067" t="s">
        <v>873</v>
      </c>
    </row>
    <row r="5" spans="1:16" ht="135">
      <c r="A5" s="1068" t="s">
        <v>250</v>
      </c>
      <c r="B5" s="1065" t="s">
        <v>872</v>
      </c>
      <c r="C5" s="1066" t="s">
        <v>815</v>
      </c>
      <c r="D5" s="1066" t="s">
        <v>815</v>
      </c>
      <c r="E5" s="1066" t="s">
        <v>815</v>
      </c>
      <c r="F5" s="1066" t="s">
        <v>815</v>
      </c>
      <c r="G5" s="1066" t="s">
        <v>815</v>
      </c>
      <c r="H5" s="1066" t="s">
        <v>815</v>
      </c>
      <c r="I5" s="1066" t="s">
        <v>815</v>
      </c>
      <c r="J5" s="1066" t="s">
        <v>815</v>
      </c>
      <c r="K5" s="1066" t="s">
        <v>815</v>
      </c>
      <c r="L5" s="1066" t="s">
        <v>815</v>
      </c>
      <c r="M5" s="1066" t="s">
        <v>815</v>
      </c>
      <c r="N5" s="1066" t="s">
        <v>815</v>
      </c>
      <c r="O5" s="1066" t="s">
        <v>815</v>
      </c>
      <c r="P5" s="1067" t="s">
        <v>873</v>
      </c>
    </row>
    <row r="6" spans="1:16" ht="135">
      <c r="A6" s="1068" t="s">
        <v>251</v>
      </c>
      <c r="B6" s="1065" t="s">
        <v>872</v>
      </c>
      <c r="C6" s="1066" t="s">
        <v>815</v>
      </c>
      <c r="D6" s="1066" t="s">
        <v>815</v>
      </c>
      <c r="E6" s="1066" t="s">
        <v>815</v>
      </c>
      <c r="F6" s="1066" t="s">
        <v>815</v>
      </c>
      <c r="G6" s="1066" t="s">
        <v>815</v>
      </c>
      <c r="H6" s="1066" t="s">
        <v>815</v>
      </c>
      <c r="I6" s="1066" t="s">
        <v>815</v>
      </c>
      <c r="J6" s="1066" t="s">
        <v>815</v>
      </c>
      <c r="K6" s="1066" t="s">
        <v>815</v>
      </c>
      <c r="L6" s="1066" t="s">
        <v>815</v>
      </c>
      <c r="M6" s="1066" t="s">
        <v>815</v>
      </c>
      <c r="N6" s="1066" t="s">
        <v>815</v>
      </c>
      <c r="O6" s="1066" t="s">
        <v>815</v>
      </c>
      <c r="P6" s="1067" t="s">
        <v>873</v>
      </c>
    </row>
    <row r="7" spans="1:16" ht="135">
      <c r="A7" s="1068" t="s">
        <v>851</v>
      </c>
      <c r="B7" s="1066" t="s">
        <v>815</v>
      </c>
      <c r="C7" s="1066" t="s">
        <v>815</v>
      </c>
      <c r="D7" s="1066" t="s">
        <v>815</v>
      </c>
      <c r="E7" s="1066" t="s">
        <v>815</v>
      </c>
      <c r="F7" s="1066" t="s">
        <v>815</v>
      </c>
      <c r="G7" s="1066" t="s">
        <v>815</v>
      </c>
      <c r="H7" s="1066" t="s">
        <v>815</v>
      </c>
      <c r="I7" s="1066" t="s">
        <v>815</v>
      </c>
      <c r="J7" s="1066" t="s">
        <v>815</v>
      </c>
      <c r="K7" s="1066" t="s">
        <v>815</v>
      </c>
      <c r="L7" s="1066" t="s">
        <v>815</v>
      </c>
      <c r="M7" s="1066" t="s">
        <v>815</v>
      </c>
      <c r="N7" s="1066" t="s">
        <v>815</v>
      </c>
      <c r="O7" s="1066" t="s">
        <v>815</v>
      </c>
      <c r="P7" s="1067" t="s">
        <v>873</v>
      </c>
    </row>
    <row r="8" spans="1:16" ht="210">
      <c r="A8" s="1064" t="s">
        <v>252</v>
      </c>
      <c r="B8" s="1065" t="s">
        <v>874</v>
      </c>
      <c r="C8" s="1065" t="s">
        <v>874</v>
      </c>
      <c r="D8" s="1065" t="s">
        <v>874</v>
      </c>
      <c r="E8" s="1065" t="s">
        <v>874</v>
      </c>
      <c r="F8" s="1065" t="s">
        <v>874</v>
      </c>
      <c r="G8" s="1065" t="s">
        <v>874</v>
      </c>
      <c r="H8" s="1065" t="s">
        <v>874</v>
      </c>
      <c r="I8" s="1065" t="s">
        <v>874</v>
      </c>
      <c r="J8" s="1065" t="s">
        <v>874</v>
      </c>
      <c r="K8" s="1066" t="s">
        <v>815</v>
      </c>
      <c r="L8" s="1066" t="s">
        <v>815</v>
      </c>
      <c r="M8" s="1066" t="s">
        <v>815</v>
      </c>
      <c r="N8" s="1065" t="s">
        <v>875</v>
      </c>
      <c r="O8" s="1065" t="s">
        <v>875</v>
      </c>
      <c r="P8" s="1069"/>
    </row>
    <row r="9" spans="1:16" ht="210">
      <c r="A9" s="1070" t="s">
        <v>863</v>
      </c>
      <c r="B9" s="1065" t="s">
        <v>875</v>
      </c>
      <c r="C9" s="1065" t="s">
        <v>875</v>
      </c>
      <c r="D9" s="1065" t="s">
        <v>875</v>
      </c>
      <c r="E9" s="1065" t="s">
        <v>875</v>
      </c>
      <c r="F9" s="1065" t="s">
        <v>875</v>
      </c>
      <c r="G9" s="1065" t="s">
        <v>875</v>
      </c>
      <c r="H9" s="1065" t="s">
        <v>875</v>
      </c>
      <c r="I9" s="1065" t="s">
        <v>875</v>
      </c>
      <c r="J9" s="1065" t="s">
        <v>875</v>
      </c>
      <c r="K9" s="1066" t="s">
        <v>815</v>
      </c>
      <c r="L9" s="1065" t="s">
        <v>875</v>
      </c>
      <c r="M9" s="1065" t="s">
        <v>875</v>
      </c>
      <c r="N9" s="1065" t="s">
        <v>875</v>
      </c>
      <c r="O9" s="1065" t="s">
        <v>875</v>
      </c>
      <c r="P9" s="1069"/>
    </row>
    <row r="10" spans="1:16">
      <c r="A10" s="1068" t="s">
        <v>116</v>
      </c>
      <c r="B10" s="1071"/>
      <c r="C10" s="1071"/>
      <c r="D10" s="1071"/>
      <c r="E10" s="1071"/>
      <c r="F10" s="1071"/>
      <c r="G10" s="1071"/>
      <c r="H10" s="1071"/>
      <c r="I10" s="1071"/>
      <c r="J10" s="1071"/>
      <c r="K10" s="1071"/>
      <c r="L10" s="1071"/>
      <c r="M10" s="1071"/>
      <c r="N10" s="1071"/>
      <c r="O10" s="1071"/>
      <c r="P10" s="1071"/>
    </row>
    <row r="11" spans="1:16">
      <c r="A11" s="896"/>
      <c r="B11" s="896"/>
      <c r="C11" s="896"/>
      <c r="D11" s="896"/>
      <c r="E11" s="896"/>
      <c r="F11" s="896"/>
      <c r="G11" s="896"/>
      <c r="H11" s="896"/>
      <c r="I11" s="896"/>
      <c r="J11" s="896"/>
      <c r="K11" s="896"/>
      <c r="L11" s="896"/>
      <c r="M11" s="896"/>
      <c r="N11" s="896"/>
      <c r="O11" s="896"/>
      <c r="P11" s="896"/>
    </row>
    <row r="12" spans="1:16" ht="150">
      <c r="A12" s="487" t="s">
        <v>864</v>
      </c>
      <c r="B12" s="786" t="s">
        <v>865</v>
      </c>
      <c r="C12" s="1072" t="s">
        <v>876</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ht="210">
      <c r="A17" s="1060" t="s">
        <v>252</v>
      </c>
      <c r="B17" s="1065" t="s">
        <v>875</v>
      </c>
      <c r="C17" s="1065" t="s">
        <v>875</v>
      </c>
      <c r="D17" s="1065" t="s">
        <v>875</v>
      </c>
      <c r="E17" s="1065" t="s">
        <v>875</v>
      </c>
      <c r="F17" s="1065" t="s">
        <v>875</v>
      </c>
      <c r="G17" s="1065" t="s">
        <v>875</v>
      </c>
      <c r="H17" s="1065" t="s">
        <v>875</v>
      </c>
      <c r="I17" s="1065" t="s">
        <v>875</v>
      </c>
      <c r="J17" s="1065" t="s">
        <v>875</v>
      </c>
      <c r="K17" s="1066" t="s">
        <v>815</v>
      </c>
      <c r="L17" s="1066" t="s">
        <v>815</v>
      </c>
      <c r="M17" s="1066" t="s">
        <v>815</v>
      </c>
      <c r="N17" s="1065" t="s">
        <v>875</v>
      </c>
      <c r="O17" s="1065" t="s">
        <v>875</v>
      </c>
      <c r="P17" s="1073"/>
    </row>
    <row r="18" spans="1:16" ht="45">
      <c r="A18" s="1062" t="s">
        <v>258</v>
      </c>
      <c r="B18" s="1067" t="s">
        <v>838</v>
      </c>
      <c r="C18" s="1067" t="s">
        <v>838</v>
      </c>
      <c r="D18" s="1067" t="s">
        <v>838</v>
      </c>
      <c r="E18" s="1067" t="s">
        <v>838</v>
      </c>
      <c r="F18" s="1067" t="s">
        <v>838</v>
      </c>
      <c r="G18" s="1067" t="s">
        <v>838</v>
      </c>
      <c r="H18" s="1067" t="s">
        <v>838</v>
      </c>
      <c r="I18" s="1067" t="s">
        <v>838</v>
      </c>
      <c r="J18" s="1067" t="s">
        <v>838</v>
      </c>
      <c r="K18" s="1067" t="s">
        <v>838</v>
      </c>
      <c r="L18" s="1067" t="s">
        <v>838</v>
      </c>
      <c r="M18" s="1067" t="s">
        <v>838</v>
      </c>
      <c r="N18" s="1067" t="s">
        <v>838</v>
      </c>
      <c r="O18" s="1067" t="s">
        <v>838</v>
      </c>
      <c r="P18" s="1067" t="s">
        <v>838</v>
      </c>
    </row>
    <row r="19" spans="1:16" ht="45">
      <c r="A19" s="1058" t="s">
        <v>870</v>
      </c>
      <c r="B19" s="1067" t="s">
        <v>838</v>
      </c>
      <c r="C19" s="1067" t="s">
        <v>838</v>
      </c>
      <c r="D19" s="1067" t="s">
        <v>838</v>
      </c>
      <c r="E19" s="1067" t="s">
        <v>838</v>
      </c>
      <c r="F19" s="1067" t="s">
        <v>838</v>
      </c>
      <c r="G19" s="1067" t="s">
        <v>838</v>
      </c>
      <c r="H19" s="1067" t="s">
        <v>838</v>
      </c>
      <c r="I19" s="1067" t="s">
        <v>838</v>
      </c>
      <c r="J19" s="1067" t="s">
        <v>838</v>
      </c>
      <c r="K19" s="1067" t="s">
        <v>838</v>
      </c>
      <c r="L19" s="1067" t="s">
        <v>838</v>
      </c>
      <c r="M19" s="1067" t="s">
        <v>838</v>
      </c>
      <c r="N19" s="1067" t="s">
        <v>838</v>
      </c>
      <c r="O19" s="1067" t="s">
        <v>838</v>
      </c>
      <c r="P19" s="1067" t="s">
        <v>838</v>
      </c>
    </row>
    <row r="20" spans="1:16">
      <c r="A20" s="1063" t="s">
        <v>116</v>
      </c>
      <c r="B20" s="1059"/>
      <c r="C20" s="1059"/>
      <c r="D20" s="1059"/>
      <c r="E20" s="1059"/>
      <c r="F20" s="1059"/>
      <c r="G20" s="1059"/>
      <c r="H20" s="1059"/>
      <c r="I20" s="1059"/>
      <c r="J20" s="1059"/>
      <c r="K20" s="1059"/>
      <c r="L20" s="1059"/>
      <c r="M20" s="1059"/>
      <c r="N20" s="1059"/>
      <c r="O20" s="1059"/>
      <c r="P20" s="1059"/>
    </row>
    <row r="22" spans="1:16" ht="90">
      <c r="A22" s="487" t="s">
        <v>871</v>
      </c>
      <c r="B22" s="786" t="s">
        <v>865</v>
      </c>
      <c r="C22" s="1072" t="s">
        <v>877</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613</v>
      </c>
      <c r="B4" s="490"/>
      <c r="C4" s="490"/>
      <c r="D4" s="490"/>
      <c r="E4" s="490"/>
      <c r="F4" s="490"/>
      <c r="G4" s="522"/>
      <c r="H4" s="522"/>
      <c r="I4" s="490"/>
      <c r="J4" s="490"/>
      <c r="K4" s="490"/>
      <c r="L4" s="490"/>
      <c r="M4" s="490"/>
      <c r="N4" s="490"/>
      <c r="O4" s="490"/>
      <c r="P4" s="490"/>
    </row>
    <row r="5" spans="1:16" outlineLevel="1">
      <c r="A5" s="694" t="s">
        <v>614</v>
      </c>
      <c r="B5" s="490"/>
      <c r="C5" s="490"/>
      <c r="D5" s="490"/>
      <c r="E5" s="490"/>
      <c r="F5" s="490"/>
      <c r="G5" s="522"/>
      <c r="H5" s="522"/>
      <c r="I5" s="490"/>
      <c r="J5" s="490"/>
      <c r="K5" s="490"/>
      <c r="L5" s="490"/>
      <c r="M5" s="490"/>
      <c r="N5" s="490"/>
      <c r="O5" s="490"/>
      <c r="P5" s="490"/>
    </row>
    <row r="6" spans="1:16" outlineLevel="1">
      <c r="A6" s="694" t="s">
        <v>615</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616</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617</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579</v>
      </c>
      <c r="B13" s="477"/>
      <c r="C13" s="494"/>
      <c r="D13" s="494"/>
      <c r="E13" s="494"/>
      <c r="F13" s="494"/>
      <c r="G13" s="494"/>
      <c r="H13" s="494"/>
      <c r="I13" s="494"/>
      <c r="J13" s="494"/>
      <c r="K13" s="494"/>
      <c r="L13" s="494"/>
      <c r="M13" s="494"/>
      <c r="N13" s="494"/>
      <c r="O13" s="787" t="s">
        <v>634</v>
      </c>
      <c r="P13" s="787" t="s">
        <v>633</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0.20639694588001592</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486</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655</v>
      </c>
      <c r="E24" s="478"/>
    </row>
    <row r="25" spans="1:16" s="477" customFormat="1" outlineLevel="1">
      <c r="A25" s="511" t="s">
        <v>453</v>
      </c>
      <c r="B25" s="48">
        <v>4.2</v>
      </c>
      <c r="C25" s="512"/>
      <c r="D25" s="513" t="s">
        <v>510</v>
      </c>
      <c r="E25" s="489"/>
    </row>
    <row r="26" spans="1:16" s="477" customFormat="1" outlineLevel="1">
      <c r="A26" s="791" t="s">
        <v>454</v>
      </c>
      <c r="B26" s="792">
        <f>1.34/3.6</f>
        <v>0.37222222222222223</v>
      </c>
      <c r="C26" s="512" t="s">
        <v>218</v>
      </c>
      <c r="D26" s="513" t="s">
        <v>510</v>
      </c>
      <c r="E26" s="489"/>
    </row>
    <row r="27" spans="1:16" s="477" customFormat="1" outlineLevel="1">
      <c r="A27" s="514" t="s">
        <v>625</v>
      </c>
      <c r="B27" s="794">
        <f>B24*B25*B26</f>
        <v>0</v>
      </c>
      <c r="C27" s="515" t="s">
        <v>626</v>
      </c>
      <c r="D27" s="516"/>
      <c r="E27" s="517"/>
    </row>
    <row r="28" spans="1:16" s="477" customFormat="1" outlineLevel="1">
      <c r="A28" s="48"/>
      <c r="B28" s="48"/>
      <c r="C28" s="518"/>
      <c r="D28" s="512"/>
    </row>
    <row r="29" spans="1:16" s="477" customFormat="1" outlineLevel="1">
      <c r="A29" s="519" t="s">
        <v>487</v>
      </c>
      <c r="B29" s="503"/>
      <c r="C29" s="504"/>
      <c r="D29" s="505"/>
      <c r="E29" s="506"/>
    </row>
    <row r="30" spans="1:16" s="48" customFormat="1" outlineLevel="1">
      <c r="A30" s="520"/>
      <c r="B30" s="508"/>
      <c r="C30" s="509" t="s">
        <v>377</v>
      </c>
      <c r="D30" s="509" t="s">
        <v>182</v>
      </c>
      <c r="E30" s="510"/>
    </row>
    <row r="31" spans="1:16" s="477" customFormat="1" outlineLevel="1">
      <c r="A31" s="511" t="s">
        <v>452</v>
      </c>
      <c r="B31" s="47">
        <f>EigenWP</f>
        <v>0</v>
      </c>
      <c r="C31" s="512"/>
      <c r="D31" s="894" t="s">
        <v>655</v>
      </c>
      <c r="E31" s="478"/>
    </row>
    <row r="32" spans="1:16" s="477" customFormat="1" outlineLevel="1">
      <c r="A32" s="511" t="s">
        <v>450</v>
      </c>
      <c r="B32" s="48">
        <v>13</v>
      </c>
      <c r="C32" s="518" t="s">
        <v>263</v>
      </c>
      <c r="D32" s="513" t="s">
        <v>510</v>
      </c>
      <c r="E32" s="478"/>
    </row>
    <row r="33" spans="1:5" s="477" customFormat="1" outlineLevel="1">
      <c r="A33" s="511" t="s">
        <v>451</v>
      </c>
      <c r="B33" s="48">
        <v>2000</v>
      </c>
      <c r="C33" s="518" t="s">
        <v>265</v>
      </c>
      <c r="D33" s="513" t="s">
        <v>510</v>
      </c>
      <c r="E33" s="478"/>
    </row>
    <row r="34" spans="1:5" s="477" customFormat="1" outlineLevel="1">
      <c r="A34" s="791" t="s">
        <v>382</v>
      </c>
      <c r="B34" s="48">
        <v>3.75</v>
      </c>
      <c r="C34" s="518"/>
      <c r="D34" s="513" t="s">
        <v>510</v>
      </c>
      <c r="E34" s="478"/>
    </row>
    <row r="35" spans="1:5" s="477" customFormat="1" outlineLevel="1">
      <c r="A35" s="514" t="s">
        <v>625</v>
      </c>
      <c r="B35" s="793">
        <f>B31*B32*B33/1000-B31*B32*B33/1000/B34</f>
        <v>0</v>
      </c>
      <c r="C35" s="521" t="s">
        <v>626</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2019-08-12T08:23:26Z</dcterms:modified>
</cp:coreProperties>
</file>