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K20" s="1"/>
  <c r="J19"/>
  <c r="J89" i="14" s="1"/>
  <c r="J19" i="59" s="1"/>
  <c r="I19" i="18"/>
  <c r="I89" i="14" s="1"/>
  <c r="I19" i="59" s="1"/>
  <c r="H19" i="18"/>
  <c r="G19"/>
  <c r="H89" i="14" s="1"/>
  <c r="H19" i="59" s="1"/>
  <c r="F19" i="18"/>
  <c r="E19"/>
  <c r="D19"/>
  <c r="D20" s="1"/>
  <c r="C19"/>
  <c r="B19"/>
  <c r="N18"/>
  <c r="L88" i="14" s="1"/>
  <c r="M18" i="18"/>
  <c r="K88" i="14" s="1"/>
  <c r="K18" i="59" s="1"/>
  <c r="L18" i="18"/>
  <c r="K18"/>
  <c r="J18"/>
  <c r="J88" i="14" s="1"/>
  <c r="J18" i="59" s="1"/>
  <c r="I18" i="18"/>
  <c r="H18"/>
  <c r="M88" i="14" s="1"/>
  <c r="M18" i="59" s="1"/>
  <c r="G18" i="18"/>
  <c r="F18"/>
  <c r="F20" s="1"/>
  <c r="E18"/>
  <c r="D18"/>
  <c r="C18"/>
  <c r="B18"/>
  <c r="L9"/>
  <c r="K9"/>
  <c r="I9"/>
  <c r="I77" i="14" s="1"/>
  <c r="I9" i="59" s="1"/>
  <c r="G9" i="18"/>
  <c r="F9"/>
  <c r="D9"/>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P89"/>
  <c r="O89"/>
  <c r="N89"/>
  <c r="M89"/>
  <c r="W61"/>
  <c r="V61"/>
  <c r="N6" i="17" s="1"/>
  <c r="U61" i="18"/>
  <c r="T61"/>
  <c r="S61"/>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N58"/>
  <c r="M58"/>
  <c r="G22"/>
  <c r="F22"/>
  <c r="E22"/>
  <c r="D22"/>
  <c r="C22"/>
  <c r="L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O11"/>
  <c r="N11"/>
  <c r="M11"/>
  <c r="L11"/>
  <c r="K11"/>
  <c r="J11"/>
  <c r="I11"/>
  <c r="H11"/>
  <c r="G11"/>
  <c r="F11"/>
  <c r="E11"/>
  <c r="D11"/>
  <c r="C11"/>
  <c r="B11"/>
  <c r="Q12"/>
  <c r="P28"/>
  <c r="O28"/>
  <c r="O89" i="14"/>
  <c r="O19" i="59" s="1"/>
  <c r="O20" s="1"/>
  <c r="M89" i="14"/>
  <c r="M19" i="59" s="1"/>
  <c r="L89" i="14"/>
  <c r="L19" i="59" s="1"/>
  <c r="K89" i="14"/>
  <c r="K19" i="59" s="1"/>
  <c r="G89" i="14"/>
  <c r="G19" i="59" s="1"/>
  <c r="E89" i="14"/>
  <c r="E19" i="59" s="1"/>
  <c r="D89" i="14"/>
  <c r="D19" i="59" s="1"/>
  <c r="O88" i="14"/>
  <c r="O18" i="59" s="1"/>
  <c r="N88" i="14"/>
  <c r="N18" i="59" s="1"/>
  <c r="I88" i="14"/>
  <c r="I18" i="59" s="1"/>
  <c r="H88" i="14"/>
  <c r="F88"/>
  <c r="F18" i="59" s="1"/>
  <c r="E88" i="14"/>
  <c r="E18" i="59" s="1"/>
  <c r="D88" i="14"/>
  <c r="D18" i="59" s="1"/>
  <c r="O87" i="14"/>
  <c r="O17" i="59" s="1"/>
  <c r="N87" i="14"/>
  <c r="N17" i="59" s="1"/>
  <c r="L87" i="14"/>
  <c r="L17" i="59" s="1"/>
  <c r="K87" i="14"/>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P22" s="1"/>
  <c r="O19"/>
  <c r="O22" s="1"/>
  <c r="M19"/>
  <c r="L19"/>
  <c r="K19"/>
  <c r="J19"/>
  <c r="I19"/>
  <c r="G19"/>
  <c r="G22" s="1"/>
  <c r="F19"/>
  <c r="E19"/>
  <c r="D19"/>
  <c r="Q48"/>
  <c r="P48"/>
  <c r="P52" s="1"/>
  <c r="O48"/>
  <c r="M48"/>
  <c r="L48"/>
  <c r="K48"/>
  <c r="J48"/>
  <c r="G48"/>
  <c r="D48"/>
  <c r="Q18"/>
  <c r="P18"/>
  <c r="O18"/>
  <c r="M18"/>
  <c r="M22" s="1"/>
  <c r="L18"/>
  <c r="L22" s="1"/>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P56"/>
  <c r="L56"/>
  <c r="I56"/>
  <c r="Q52"/>
  <c r="R44"/>
  <c r="E25"/>
  <c r="E55" s="1"/>
  <c r="C25"/>
  <c r="Q26"/>
  <c r="P26"/>
  <c r="N26"/>
  <c r="L26"/>
  <c r="R12"/>
  <c r="H78" l="1"/>
  <c r="H8" i="59"/>
  <c r="H10" s="1"/>
  <c r="N77" i="14"/>
  <c r="N9" i="59" s="1"/>
  <c r="N10" s="1"/>
  <c r="K10" i="18"/>
  <c r="P32" i="48"/>
  <c r="P25"/>
  <c r="P31"/>
  <c r="P29"/>
  <c r="O32"/>
  <c r="O29"/>
  <c r="L18" i="59"/>
  <c r="L90" i="14"/>
  <c r="K17" i="59"/>
  <c r="K90" i="14"/>
  <c r="H90"/>
  <c r="H18" i="59"/>
  <c r="B98" i="18"/>
  <c r="B17"/>
  <c r="B20" s="1"/>
  <c r="D10"/>
  <c r="E77" i="14"/>
  <c r="E9" i="59" s="1"/>
  <c r="B14" i="48"/>
  <c r="Q14" s="1"/>
  <c r="R25" i="14"/>
  <c r="C98" i="18"/>
  <c r="G101" s="1"/>
  <c r="B8"/>
  <c r="B10" s="1"/>
  <c r="L78" i="14"/>
  <c r="L8" i="59"/>
  <c r="L10" s="1"/>
  <c r="O77" i="14"/>
  <c r="L10" i="18"/>
  <c r="N89" i="14"/>
  <c r="Q22"/>
  <c r="P27" i="48"/>
  <c r="O90" i="14"/>
  <c r="H20" i="59"/>
  <c r="O27" i="48"/>
  <c r="Q11"/>
  <c r="K78" i="14"/>
  <c r="L6" i="17"/>
  <c r="J9" i="18"/>
  <c r="J77" i="14" s="1"/>
  <c r="J9" i="59" s="1"/>
  <c r="K10"/>
  <c r="O31" i="48"/>
  <c r="E20" i="59"/>
  <c r="E10"/>
  <c r="K20"/>
  <c r="F13" i="15"/>
  <c r="G78" i="14"/>
  <c r="L20" i="59"/>
  <c r="O19" i="18"/>
  <c r="L13" i="15"/>
  <c r="N13"/>
  <c r="O18" i="18"/>
  <c r="B89" i="14"/>
  <c r="B19" i="59" s="1"/>
  <c r="G88" i="14"/>
  <c r="F89"/>
  <c r="I101" i="18"/>
  <c r="H8" s="1"/>
  <c r="E101"/>
  <c r="E8" s="1"/>
  <c r="H101"/>
  <c r="C101"/>
  <c r="F101"/>
  <c r="B101"/>
  <c r="C8" s="1"/>
  <c r="I102"/>
  <c r="H17" s="1"/>
  <c r="E102"/>
  <c r="E17" s="1"/>
  <c r="H102"/>
  <c r="D102"/>
  <c r="G102"/>
  <c r="C102"/>
  <c r="F102"/>
  <c r="B102"/>
  <c r="C17" s="1"/>
  <c r="O24" i="48"/>
  <c r="O30"/>
  <c r="P24"/>
  <c r="P30"/>
  <c r="E90" i="14"/>
  <c r="G90" l="1"/>
  <c r="G18" i="59"/>
  <c r="G20" s="1"/>
  <c r="O78" i="14"/>
  <c r="O9" i="59"/>
  <c r="O10" s="1"/>
  <c r="C89" i="14"/>
  <c r="C19" i="59" s="1"/>
  <c r="F19"/>
  <c r="N19"/>
  <c r="N20" s="1"/>
  <c r="N90" i="14"/>
  <c r="N78"/>
  <c r="Q88"/>
  <c r="P18" i="59" s="1"/>
  <c r="E78" i="14"/>
  <c r="B88"/>
  <c r="B18" i="59" s="1"/>
  <c r="B77" i="14"/>
  <c r="B9" i="59" s="1"/>
  <c r="Q77" i="14"/>
  <c r="P9" i="59" s="1"/>
  <c r="C77" i="14"/>
  <c r="C9" i="59" s="1"/>
  <c r="D101" i="18"/>
  <c r="O9"/>
  <c r="C88" i="14"/>
  <c r="C18" i="59" s="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30"/>
  <c r="E24"/>
  <c r="M32"/>
  <c r="M29"/>
  <c r="M26"/>
  <c r="M30"/>
  <c r="M22"/>
  <c r="M25"/>
  <c r="M24"/>
  <c r="M23"/>
  <c r="L10" i="14"/>
  <c r="L16" s="1"/>
  <c r="L27" s="1"/>
  <c r="K5" i="48"/>
  <c r="L28"/>
  <c r="L27"/>
  <c r="L32"/>
  <c r="L22"/>
  <c r="L30"/>
  <c r="L29"/>
  <c r="L24"/>
  <c r="L31"/>
  <c r="J28"/>
  <c r="J27"/>
  <c r="J32"/>
  <c r="J29"/>
  <c r="J31"/>
  <c r="J24"/>
  <c r="J30"/>
  <c r="O4"/>
  <c r="P11" i="14"/>
  <c r="I27" i="48"/>
  <c r="I32"/>
  <c r="I31"/>
  <c r="I25"/>
  <c r="I29"/>
  <c r="I26"/>
  <c r="I28"/>
  <c r="I30"/>
  <c r="I22"/>
  <c r="I24"/>
  <c r="D4"/>
  <c r="D22" s="1"/>
  <c r="E11" i="14"/>
  <c r="H32" i="48"/>
  <c r="H25"/>
  <c r="H29"/>
  <c r="H26"/>
  <c r="H28"/>
  <c r="H22"/>
  <c r="H30"/>
  <c r="H24"/>
  <c r="H23"/>
  <c r="D28"/>
  <c r="D32"/>
  <c r="D30"/>
  <c r="D31"/>
  <c r="D29"/>
  <c r="D24"/>
  <c r="P5"/>
  <c r="P23" s="1"/>
  <c r="Q10" i="14"/>
  <c r="K28" i="48"/>
  <c r="K27"/>
  <c r="K32"/>
  <c r="K31"/>
  <c r="K25"/>
  <c r="K26"/>
  <c r="K29"/>
  <c r="K22"/>
  <c r="K30"/>
  <c r="K24"/>
  <c r="C24" i="14"/>
  <c r="C26" s="1"/>
  <c r="B7" i="48"/>
  <c r="P4"/>
  <c r="Q11" i="14"/>
  <c r="C4" i="48"/>
  <c r="D11" i="14"/>
  <c r="G32" i="48"/>
  <c r="G25"/>
  <c r="G29"/>
  <c r="G26"/>
  <c r="G24"/>
  <c r="G22"/>
  <c r="G30"/>
  <c r="G23"/>
  <c r="B4"/>
  <c r="C11" i="14"/>
  <c r="F32" i="48"/>
  <c r="F28"/>
  <c r="F27"/>
  <c r="F29"/>
  <c r="F24"/>
  <c r="F31"/>
  <c r="F30"/>
  <c r="N32"/>
  <c r="N28"/>
  <c r="N27"/>
  <c r="N29"/>
  <c r="N24"/>
  <c r="N31"/>
  <c r="N30"/>
  <c r="B10"/>
  <c r="C19" i="14"/>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20" i="14" l="1"/>
  <c r="E22" s="1"/>
  <c r="D9" i="48"/>
  <c r="D27" s="1"/>
  <c r="O5"/>
  <c r="O23" s="1"/>
  <c r="P10" i="14"/>
  <c r="I5" i="48"/>
  <c r="J10" i="14"/>
  <c r="J16" s="1"/>
  <c r="J27" s="1"/>
  <c r="O22" i="48"/>
  <c r="K23"/>
  <c r="K15"/>
  <c r="M12" i="22"/>
  <c r="M13" i="48"/>
  <c r="M31" s="1"/>
  <c r="N18" i="14"/>
  <c r="H18"/>
  <c r="G13" i="48"/>
  <c r="H13"/>
  <c r="H31" s="1"/>
  <c r="I18" i="14"/>
  <c r="C22"/>
  <c r="J46"/>
  <c r="J61" s="1"/>
  <c r="K33" i="48"/>
  <c r="J7"/>
  <c r="J25" s="1"/>
  <c r="K24" i="14"/>
  <c r="K26" s="1"/>
  <c r="C20"/>
  <c r="B9" i="48"/>
  <c r="F4"/>
  <c r="F22" s="1"/>
  <c r="G11" i="14"/>
  <c r="P8" i="48"/>
  <c r="P26" s="1"/>
  <c r="Q13" i="14"/>
  <c r="Q16" s="1"/>
  <c r="Q27" s="1"/>
  <c r="Q63" s="1"/>
  <c r="F20"/>
  <c r="F22" s="1"/>
  <c r="E9" i="48"/>
  <c r="E27" s="1"/>
  <c r="P15"/>
  <c r="P22"/>
  <c r="P33" s="1"/>
  <c r="J12" i="17"/>
  <c r="K54" i="14" s="1"/>
  <c r="K56"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G10"/>
  <c r="H19" i="14"/>
  <c r="R19" s="1"/>
  <c r="O33" i="48"/>
  <c r="J4"/>
  <c r="K11" i="14"/>
  <c r="E7" i="48"/>
  <c r="E25" s="1"/>
  <c r="F24" i="14"/>
  <c r="F26" s="1"/>
  <c r="O22" i="16"/>
  <c r="P43" i="14" s="1"/>
  <c r="O8" i="48"/>
  <c r="O26" s="1"/>
  <c r="P13" i="14"/>
  <c r="I23" i="48"/>
  <c r="I33" s="1"/>
  <c r="I15"/>
  <c r="I20" i="14"/>
  <c r="I22" s="1"/>
  <c r="I27" s="1"/>
  <c r="H9" i="48"/>
  <c r="R18" i="14"/>
  <c r="M10" i="48"/>
  <c r="M28" s="1"/>
  <c r="N19" i="14"/>
  <c r="G31" i="48"/>
  <c r="Q13"/>
  <c r="P46" i="14"/>
  <c r="P61" s="1"/>
  <c r="P63" s="1"/>
  <c r="M14" i="22"/>
  <c r="P16" i="14"/>
  <c r="P27" s="1"/>
  <c r="G14" i="22"/>
  <c r="J63" i="14"/>
  <c r="O15" i="48"/>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N63" s="1"/>
  <c r="G28" i="48"/>
  <c r="Q10"/>
  <c r="H20" i="14"/>
  <c r="R20" s="1"/>
  <c r="R22" s="1"/>
  <c r="G9" i="48"/>
  <c r="H22" i="14"/>
  <c r="H27" s="1"/>
  <c r="E5" i="48"/>
  <c r="E23" s="1"/>
  <c r="F10" i="14"/>
  <c r="H27" i="48"/>
  <c r="H33" s="1"/>
  <c r="H15"/>
  <c r="J5"/>
  <c r="J23" s="1"/>
  <c r="K10" i="14"/>
  <c r="N20"/>
  <c r="N22" s="1"/>
  <c r="N27" s="1"/>
  <c r="M9" i="48"/>
  <c r="J22"/>
  <c r="E22"/>
  <c r="Q4"/>
  <c r="R24" i="14"/>
  <c r="R26" s="1"/>
  <c r="R11"/>
  <c r="M18" i="22"/>
  <c r="N50" i="14" s="1"/>
  <c r="Q7" i="48"/>
  <c r="E20" i="15"/>
  <c r="F40" i="14" s="1"/>
  <c r="J18" i="16"/>
  <c r="E18"/>
  <c r="E22" s="1"/>
  <c r="F43" i="14" s="1"/>
  <c r="F18" i="16"/>
  <c r="F22" s="1"/>
  <c r="G43" i="14" s="1"/>
  <c r="N18" i="16"/>
  <c r="G18" i="22"/>
  <c r="H50" i="14" s="1"/>
  <c r="H52" s="1"/>
  <c r="H61" s="1"/>
  <c r="H63" s="1"/>
  <c r="H18" i="22"/>
  <c r="I50" i="14" s="1"/>
  <c r="I52" s="1"/>
  <c r="I61" s="1"/>
  <c r="I63" s="1"/>
  <c r="M27" i="48" l="1"/>
  <c r="M33" s="1"/>
  <c r="M15"/>
  <c r="J15"/>
  <c r="J33"/>
  <c r="F16" i="14"/>
  <c r="F27" s="1"/>
  <c r="J22" i="16"/>
  <c r="K43" i="14" s="1"/>
  <c r="K46" s="1"/>
  <c r="K61" s="1"/>
  <c r="J8" i="48"/>
  <c r="J26" s="1"/>
  <c r="K13" i="14"/>
  <c r="K16" s="1"/>
  <c r="K27" s="1"/>
  <c r="E8" i="48"/>
  <c r="F13" i="14"/>
  <c r="G27" i="48"/>
  <c r="G33" s="1"/>
  <c r="G15"/>
  <c r="Q9"/>
  <c r="F46" i="14"/>
  <c r="F61" s="1"/>
  <c r="N8" i="48"/>
  <c r="N26" s="1"/>
  <c r="O13" i="14"/>
  <c r="N22" i="16"/>
  <c r="O43" i="14" s="1"/>
  <c r="G13"/>
  <c r="R13" s="1"/>
  <c r="F8" i="48"/>
  <c r="E26" l="1"/>
  <c r="E33" s="1"/>
  <c r="E15"/>
  <c r="F6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O63" s="1"/>
  <c r="G46"/>
  <c r="G61" s="1"/>
  <c r="M46"/>
  <c r="M61" s="1"/>
  <c r="M63" s="1"/>
  <c r="E63" l="1"/>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<sst xmlns="http://schemas.openxmlformats.org/spreadsheetml/2006/main" count="2410" uniqueCount="900">
  <si>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</si>
  <si>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</si>
  <si>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</si>
  <si>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</si>
  <si>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</si>
  <si>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</si>
  <si>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</si>
  <si>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</si>
  <si>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</si>
  <si>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</si>
  <si>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</si>
  <si>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</si>
  <si>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</si>
  <si>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</si>
  <si>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</si>
  <si>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</si>
  <si>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</si>
  <si>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</si>
  <si>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</si>
  <si>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</si>
  <si>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</si>
  <si>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</si>
  <si>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</si>
  <si>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</si>
  <si>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</si>
  <si>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</si>
  <si>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</si>
  <si>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</si>
  <si>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</si>
  <si>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</si>
  <si>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</si>
  <si>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</si>
  <si>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</si>
  <si>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</si>
  <si>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</si>
  <si>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</si>
  <si>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</si>
  <si>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</si>
  <si>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</si>
  <si>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</si>
  <si>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</si>
  <si>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</si>
  <si>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</si>
  <si>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</si>
  <si>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</si>
  <si>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</si>
  <si>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</si>
  <si>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</si>
  <si>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</si>
  <si>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</si>
  <si>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</si>
  <si>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</si>
  <si>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</si>
  <si>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</si>
  <si>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</si>
  <si>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</si>
  <si>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</si>
  <si>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</si>
  <si>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</si>
  <si>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</si>
  <si>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</si>
  <si>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</si>
  <si>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</si>
  <si>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</si>
  <si>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</si>
  <si>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</si>
  <si>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</si>
  <si>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</si>
  <si>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</si>
  <si>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</si>
  <si>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</si>
  <si>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</si>
  <si>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</si>
  <si>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</si>
  <si>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</si>
  <si>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</si>
  <si>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</si>
  <si>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</si>
  <si>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</si>
  <si>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</si>
  <si>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</si>
  <si>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</si>
  <si>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</si>
  <si>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</si>
  <si>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</si>
  <si>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</si>
  <si>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</si>
  <si>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</si>
  <si>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</si>
  <si>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</si>
  <si>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</si>
  <si>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</si>
  <si>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</si>
  <si>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</si>
  <si>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</si>
  <si>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</si>
  <si>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</si>
  <si>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</si>
  <si>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</si>
  <si>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</si>
  <si>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</si>
  <si>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</si>
  <si>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</si>
  <si>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</si>
  <si>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</si>
  <si>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</si>
  <si>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</si>
  <si>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</si>
  <si>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</si>
  <si>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</si>
  <si>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</si>
  <si>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</si>
  <si>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</si>
  <si>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</si>
  <si>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</si>
  <si>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</si>
  <si>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</si>
  <si>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</si>
  <si>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</si>
  <si>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</si>
  <si>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</si>
  <si>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</si>
  <si>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</si>
  <si>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</si>
  <si>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</si>
  <si>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</si>
  <si>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</si>
  <si>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</si>
  <si>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</si>
  <si>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</si>
  <si>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</si>
  <si>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</si>
  <si>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</si>
  <si>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</si>
  <si>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</si>
  <si>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</si>
  <si>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</si>
  <si>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</si>
  <si>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</si>
  <si>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</si>
  <si>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</si>
  <si>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</si>
  <si>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</si>
  <si>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</si>
  <si>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</si>
  <si>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</si>
  <si>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</si>
  <si>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</si>
  <si>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</si>
  <si>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</si>
  <si>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</si>
  <si>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</si>
  <si>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</si>
  <si>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</si>
  <si>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</si>
  <si>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</si>
  <si>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</si>
  <si>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</si>
  <si>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</si>
  <si>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</si>
  <si>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</si>
  <si>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</si>
  <si>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</si>
  <si>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</si>
  <si>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</si>
  <si>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</si>
  <si>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</si>
  <si>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</si>
  <si>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</si>
  <si>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</si>
  <si>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</si>
  <si>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</si>
  <si>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</si>
  <si>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</si>
  <si>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</si>
  <si>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</si>
  <si>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</si>
  <si>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</si>
  <si>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</si>
  <si>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</si>
  <si>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</si>
  <si>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</si>
  <si>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</si>
  <si>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</si>
  <si>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</si>
  <si>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</si>
  <si>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</si>
  <si>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</si>
  <si>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</si>
  <si>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</si>
  <si>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</si>
  <si>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</si>
  <si>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</si>
  <si>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</si>
  <si>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</si>
  <si>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</si>
  <si>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</si>
  <si>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</si>
  <si>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</si>
  <si>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</si>
  <si>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</si>
  <si>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</si>
  <si>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</si>
  <si>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</si>
  <si>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</si>
  <si>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</si>
  <si>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</si>
  <si>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</si>
  <si>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</si>
  <si>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</si>
  <si>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</si>
  <si>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</si>
  <si>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</si>
  <si>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</si>
  <si>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</si>
  <si>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</si>
  <si>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</si>
  <si>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</si>
  <si>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</si>
  <si>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</si>
  <si>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</si>
  <si>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</si>
  <si>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</si>
  <si>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</si>
  <si>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</si>
  <si>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</si>
  <si>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</si>
  <si>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</si>
  <si>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</si>
  <si>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</si>
  <si>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</si>
  <si>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</si>
  <si>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</si>
  <si>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</si>
  <si>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</si>
  <si>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</si>
  <si>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</si>
  <si>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</si>
  <si>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</si>
  <si>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</si>
  <si>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</si>
  <si>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</si>
  <si>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</si>
  <si>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</si>
  <si>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</si>
  <si>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</si>
  <si>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</si>
  <si>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</si>
  <si>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</si>
  <si>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</si>
  <si>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</si>
  <si>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</si>
  <si>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</si>
  <si>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</si>
  <si>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</si>
  <si>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</si>
  <si>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</si>
  <si>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</si>
  <si>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</si>
  <si>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</si>
  <si>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</si>
  <si>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</si>
  <si>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</si>
  <si>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</si>
  <si>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</si>
  <si>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</si>
  <si>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</si>
  <si>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</si>
  <si>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</si>
  <si>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</si>
  <si>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</si>
  <si>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</si>
  <si>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</si>
  <si>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</si>
  <si>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</si>
  <si>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</si>
  <si>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</si>
  <si>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</si>
  <si>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</si>
  <si>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</si>
  <si>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</si>
  <si>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</si>
  <si>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</si>
  <si>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</si>
  <si>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</si>
  <si>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</si>
  <si>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</si>
  <si>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</si>
  <si>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</si>
  <si>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</si>
  <si>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</si>
  <si>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</si>
  <si>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</si>
  <si>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</si>
  <si>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</si>
  <si>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</si>
  <si>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</si>
  <si>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</si>
  <si>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</si>
  <si>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</si>
  <si>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</si>
  <si>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</si>
  <si>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</si>
  <si>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</si>
  <si>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</si>
  <si>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</si>
  <si>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</si>
  <si>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</si>
  <si>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</si>
  <si>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</si>
  <si>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</si>
  <si>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</si>
  <si>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</si>
  <si>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</si>
  <si>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</si>
  <si>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</si>
  <si>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</si>
  <si>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</si>
  <si>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</si>
  <si>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</si>
  <si>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</si>
  <si>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</si>
  <si>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</si>
  <si>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</si>
  <si>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</si>
  <si>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</si>
  <si>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</si>
  <si>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</si>
  <si>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</si>
  <si>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</si>
  <si>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</si>
  <si>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</si>
  <si>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</si>
  <si>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</si>
  <si>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</si>
  <si>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</si>
  <si>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</si>
  <si>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</si>
  <si>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</si>
  <si>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</si>
  <si>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</si>
  <si>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</si>
  <si>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</si>
  <si>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</si>
  <si>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</si>
  <si>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</si>
  <si>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</si>
  <si>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</si>
  <si>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</si>
  <si>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</si>
  <si>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</si>
  <si>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</si>
  <si>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</si>
  <si>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</si>
  <si>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</si>
  <si>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</si>
  <si>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</si>
  <si>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</si>
  <si>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</si>
  <si>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</si>
  <si>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</si>
  <si>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</si>
  <si>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</si>
  <si>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</si>
  <si>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</si>
  <si>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</si>
  <si>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</si>
  <si>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</si>
  <si>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</si>
  <si>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</si>
  <si>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</si>
  <si>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</si>
  <si>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</si>
  <si>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</si>
  <si>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</si>
  <si>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</si>
  <si>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</si>
  <si>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</si>
  <si>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</si>
  <si>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</si>
  <si>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</si>
  <si>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</si>
  <si>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</si>
  <si>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</si>
  <si>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</si>
  <si>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</si>
  <si>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</si>
  <si>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</si>
  <si>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</si>
  <si>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</si>
  <si>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</si>
  <si>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</si>
  <si>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</si>
  <si>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</si>
  <si>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</si>
  <si>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</si>
  <si>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</si>
  <si>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</si>
  <si>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</si>
  <si>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</si>
  <si>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</si>
  <si>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</si>
  <si>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</si>
  <si>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</si>
  <si>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</si>
  <si>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</si>
  <si>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</si>
  <si>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</si>
  <si>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</si>
  <si>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</si>
  <si>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</si>
  <si>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</si>
  <si>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</si>
  <si>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</si>
  <si>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</si>
  <si>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</si>
  <si>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</si>
  <si>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</si>
  <si>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</si>
  <si>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</si>
  <si>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</si>
  <si>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</si>
  <si>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</si>
  <si>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</si>
  <si>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</si>
  <si>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</si>
  <si>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</si>
  <si>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</si>
  <si>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</si>
  <si>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</si>
  <si>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</si>
  <si>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</si>
  <si>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</si>
  <si>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</si>
  <si>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</si>
  <si>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</si>
  <si>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</si>
  <si>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</si>
  <si>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</si>
  <si>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</si>
  <si>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</si>
  <si>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</si>
  <si>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</si>
  <si>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</si>
  <si>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</si>
  <si>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</si>
  <si>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</si>
  <si>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</si>
  <si>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</si>
  <si>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</si>
  <si>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</si>
  <si>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</si>
  <si>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</si>
  <si>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</si>
  <si>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</si>
  <si>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</si>
  <si>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</si>
  <si>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</si>
  <si>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</si>
  <si>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</si>
  <si>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</si>
  <si>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</si>
  <si>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</si>
  <si>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</si>
  <si>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</si>
  <si>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</si>
  <si>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</si>
  <si>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</si>
  <si>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</si>
  <si>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</si>
  <si>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</si>
  <si>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</si>
  <si>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</si>
  <si>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</si>
  <si>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</si>
  <si>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</si>
  <si>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</si>
  <si>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</si>
  <si>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</si>
  <si>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</si>
  <si>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</si>
  <si>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</si>
  <si>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</si>
  <si>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</si>
  <si>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</si>
  <si>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</si>
  <si>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</si>
  <si>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</si>
  <si>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</si>
  <si>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</si>
  <si>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</si>
  <si>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</si>
  <si>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</si>
  <si>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</si>
  <si>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</si>
  <si>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</si>
  <si>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</si>
  <si>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</si>
  <si>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</si>
  <si>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</si>
  <si>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</si>
  <si>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</si>
  <si>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</si>
  <si>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</si>
  <si>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</si>
  <si>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</si>
  <si>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</si>
  <si>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</si>
  <si>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</si>
  <si>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</si>
  <si>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</si>
  <si>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</si>
  <si>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</si>
  <si>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</si>
  <si>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</si>
  <si>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</si>
  <si>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</si>
  <si>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</si>
  <si>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</si>
  <si>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</si>
  <si>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</si>
  <si>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</si>
  <si>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</si>
  <si>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</si>
  <si>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</si>
  <si>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</si>
  <si>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</si>
  <si>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</si>
  <si>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</si>
  <si>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</si>
  <si>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</si>
  <si>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</si>
  <si>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</si>
  <si>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</si>
  <si>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</si>
  <si>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</si>
  <si>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</si>
  <si>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</si>
  <si>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</si>
  <si>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</si>
  <si>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</si>
  <si>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</si>
  <si>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</si>
  <si>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</si>
  <si>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</si>
  <si>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</si>
  <si>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</si>
  <si>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</si>
  <si>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</si>
  <si>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</si>
  <si>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</si>
  <si>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</si>
  <si>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</si>
  <si>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</si>
  <si>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</si>
  <si>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</si>
  <si>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</si>
  <si>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</si>
  <si>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</si>
  <si>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</si>
  <si>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</si>
  <si>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</si>
  <si>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</si>
  <si>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</si>
  <si>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</si>
  <si>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</si>
  <si>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</si>
  <si>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</si>
  <si>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</si>
  <si>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</si>
  <si>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</si>
  <si>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</si>
  <si>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</si>
  <si>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</si>
  <si>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</si>
  <si>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</si>
  <si>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</si>
  <si>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</si>
  <si>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</si>
  <si>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</si>
  <si>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</si>
  <si>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</si>
  <si>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</si>
  <si>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</si>
  <si>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</si>
  <si>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</si>
  <si>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</si>
  <si>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</si>
  <si>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</si>
  <si>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</si>
  <si>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</si>
  <si>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</si>
  <si>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</si>
  <si>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</si>
  <si>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</si>
  <si>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</si>
  <si>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</si>
  <si>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</si>
  <si>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</si>
  <si>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</si>
  <si>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</si>
  <si>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</si>
  <si>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</si>
  <si>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</si>
  <si>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</si>
  <si>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</si>
  <si>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</si>
  <si>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</si>
  <si>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</si>
  <si>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</si>
  <si>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</si>
  <si>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</si>
  <si>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</si>
  <si>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</si>
  <si>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</si>
  <si>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</si>
  <si>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</si>
  <si>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</si>
  <si>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</si>
  <si>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</si>
  <si>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</si>
  <si>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</si>
  <si>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</si>
  <si>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</si>
  <si>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</si>
  <si>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</si>
  <si>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</si>
  <si>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</si>
  <si>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</si>
  <si>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</si>
  <si>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</si>
  <si>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</si>
  <si>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</si>
  <si>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</si>
  <si>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</si>
  <si>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</si>
  <si>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</si>
  <si>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</si>
  <si>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</si>
  <si>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</si>
  <si>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</si>
  <si>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</si>
  <si>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</si>
  <si>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</si>
  <si>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</si>
  <si>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</si>
  <si>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</si>
  <si>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</si>
  <si>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</si>
  <si>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</si>
  <si>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</si>
  <si>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</si>
  <si>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</si>
  <si>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</si>
  <si>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</si>
  <si>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</si>
  <si>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</si>
  <si>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</si>
  <si>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</si>
  <si>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</si>
  <si>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</si>
  <si>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</si>
  <si>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</si>
  <si>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</si>
  <si>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</si>
  <si>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</si>
  <si>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</si>
  <si>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</si>
  <si>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</si>
  <si>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</si>
  <si>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</si>
  <si>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</si>
  <si>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</si>
  <si>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</si>
  <si>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</si>
  <si>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</si>
  <si>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</si>
  <si>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</si>
  <si>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</si>
  <si>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</si>
  <si>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</si>
  <si>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</si>
  <si>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</si>
  <si>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</si>
  <si>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</si>
  <si>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</si>
  <si>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</si>
  <si>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</si>
  <si>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</si>
  <si>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</si>
  <si>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</si>
  <si>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</si>
  <si>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</si>
  <si>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</si>
  <si>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</si>
  <si>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</si>
  <si>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</si>
  <si>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</si>
  <si>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</si>
  <si>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</si>
  <si>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</si>
  <si>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</si>
  <si>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</si>
  <si>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</si>
  <si>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</si>
  <si>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</si>
  <si>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</si>
  <si>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</si>
  <si>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</si>
  <si>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</si>
  <si>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</si>
  <si>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</si>
  <si>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</si>
  <si>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</si>
  <si>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</si>
  <si>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</si>
  <si>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</si>
  <si>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</si>
  <si>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</si>
  <si>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</si>
  <si>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</si>
  <si>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</si>
  <si>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</si>
  <si>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</si>
  <si>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</si>
  <si>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</si>
  <si>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</si>
  <si>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</si>
  <si>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</si>
  <si>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</si>
  <si>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</si>
  <si>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</si>
  <si>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</si>
  <si>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</si>
  <si>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</si>
  <si>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</si>
  <si>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</si>
  <si>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</si>
  <si>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</si>
  <si>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</si>
  <si>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</si>
  <si>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</si>
  <si>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</si>
  <si>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</si>
  <si>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</si>
  <si>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</si>
  <si>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</si>
  <si>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</si>
  <si>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</si>
  <si>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</si>
  <si>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</si>
  <si>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</si>
  <si>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</si>
  <si>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</si>
  <si>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</si>
  <si>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</si>
  <si>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</si>
  <si>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</si>
  <si>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</si>
  <si>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</si>
  <si>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</si>
  <si>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</si>
  <si>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</si>
  <si>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</si>
  <si>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</si>
  <si>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</si>
  <si>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</si>
  <si>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</si>
  <si>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</si>
  <si>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</si>
  <si>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</si>
  <si>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</si>
  <si>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</si>
  <si>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</si>
  <si>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</si>
  <si>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</si>
  <si>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</si>
  <si>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</si>
  <si>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</si>
  <si>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</si>
  <si>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</si>
  <si>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</si>
  <si>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</si>
  <si>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</si>
  <si>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</si>
  <si>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</si>
  <si>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</si>
  <si>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</si>
  <si>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</si>
  <si>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</si>
  <si>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</si>
  <si>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</si>
  <si>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</si>
  <si>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</si>
  <si>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</si>
  <si>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</si>
  <si>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</si>
  <si>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</si>
  <si>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</si>
  <si>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</si>
  <si>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</si>
  <si>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</si>
  <si>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</si>
  <si>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</si>
  <si>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</si>
  <si>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</si>
  <si>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</si>
  <si>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</si>
  <si>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</si>
  <si>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</si>
  <si>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</si>
  <si>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</si>
  <si>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</si>
  <si>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</si>
  <si>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</si>
  <si>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</si>
  <si>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</si>
  <si>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</si>
  <si>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</si>
  <si>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</si>
  <si>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</si>
  <si>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</si>
  <si>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</si>
  <si>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</si>
  <si>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</si>
  <si>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</si>
  <si>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</si>
  <si>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</si>
  <si>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</si>
  <si>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</si>
  <si>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</si>
  <si>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</si>
  <si>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</si>
  <si>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</si>
  <si>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</si>
  <si>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</si>
  <si>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</si>
  <si>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</si>
  <si>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</si>
  <si>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</si>
  <si>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</si>
  <si>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</si>
  <si>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</si>
  <si>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</si>
  <si>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</si>
  <si>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</si>
  <si>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</si>
  <si>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</si>
  <si>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</si>
  <si>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</si>
  <si>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</si>
  <si>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</si>
  <si>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</si>
  <si>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</si>
  <si>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</si>
  <si>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</si>
  <si>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</si>
  <si>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</si>
  <si>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</si>
  <si>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</si>
  <si>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</si>
  <si>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</si>
  <si>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</si>
  <si>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</si>
  <si>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</si>
  <si>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</si>
  <si>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</si>
  <si>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</si>
  <si>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</si>
  <si>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</si>
  <si>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</si>
  <si>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</si>
  <si>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</si>
  <si>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</si>
  <si>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</si>
  <si>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</si>
  <si>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</si>
  <si>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</si>
  <si>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</si>
  <si>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</si>
  <si>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</si>
  <si>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</si>
  <si>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23060</t>
  </si>
  <si>
    <t>OPWIJK</t>
  </si>
  <si>
    <t>Paarden&amp;pony's 200 - 600 kg</t>
  </si>
  <si>
    <t>Paarden&amp;pony's &lt; 200 kg</t>
  </si>
  <si>
    <t>referentietaak LNE (2017); Jaarverslag De Lijn (2015)</t>
  </si>
  <si>
    <t>op basis van VEA (maart 2018) en Inventaris Hernieuwbare Energiebronnen (juni 2018)</t>
  </si>
  <si>
    <t>VEA (januari 2017)</t>
  </si>
  <si>
    <t>VEA (juni 2018)</t>
  </si>
  <si>
    <t>Lissens Dirk</t>
  </si>
  <si>
    <t>Pluimhofweg 28, 1745 Opwijk</t>
  </si>
  <si>
    <t>WKK-0051 Lissens Opwijk</t>
  </si>
  <si>
    <t>interne verbrandingsmotor</t>
  </si>
  <si>
    <t>WKK interne verbrandinsgmotor (vloeibaar)</t>
  </si>
  <si>
    <t>eilandwerking</t>
  </si>
  <si>
    <t>Rozenkwekerij Van Biesen</t>
  </si>
  <si>
    <t>Stwg. op Lebbeke 115 , 1745 Opwijk</t>
  </si>
  <si>
    <t>WKK-0311 Rozenkwekerij Van Biesen</t>
  </si>
  <si>
    <t>Steenweg op Lebbeke 115 , 1745 Opwijk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</si>
</sst>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95121.643719663232</c:v>
                </c:pt>
                <c:pt idx="1">
                  <c:v>20533.352443105217</c:v>
                </c:pt>
                <c:pt idx="2">
                  <c:v>963.64</c:v>
                </c:pt>
                <c:pt idx="3">
                  <c:v>7604.6318370767631</c:v>
                </c:pt>
                <c:pt idx="4">
                  <c:v>16425.991343479061</c:v>
                </c:pt>
                <c:pt idx="5">
                  <c:v>60778.664354678469</c:v>
                </c:pt>
                <c:pt idx="6">
                  <c:v>634.82051575812977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60224"/>
        <c:axId val="183461760"/>
      </c:barChart>
      <c:catAx>
        <c:axId val="183460224"/>
        <c:scaling>
          <c:orientation val="minMax"/>
        </c:scaling>
        <c:axPos val="b"/>
        <c:numFmt formatCode="General" sourceLinked="0"/>
        <c:tickLblPos val="nextTo"/>
        <c:crossAx val="183461760"/>
        <c:crosses val="autoZero"/>
        <c:auto val="1"/>
        <c:lblAlgn val="ctr"/>
        <c:lblOffset val="100"/>
      </c:catAx>
      <c:valAx>
        <c:axId val="183461760"/>
        <c:scaling>
          <c:orientation val="minMax"/>
        </c:scaling>
        <c:axPos val="l"/>
        <c:majorGridlines/>
        <c:numFmt formatCode="#,##0" sourceLinked="1"/>
        <c:tickLblPos val="nextTo"/>
        <c:crossAx val="183460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95121.643719663232</c:v>
                </c:pt>
                <c:pt idx="1">
                  <c:v>20533.352443105217</c:v>
                </c:pt>
                <c:pt idx="2">
                  <c:v>963.64</c:v>
                </c:pt>
                <c:pt idx="3">
                  <c:v>7604.6318370767631</c:v>
                </c:pt>
                <c:pt idx="4">
                  <c:v>16425.991343479061</c:v>
                </c:pt>
                <c:pt idx="5">
                  <c:v>60778.664354678469</c:v>
                </c:pt>
                <c:pt idx="6">
                  <c:v>634.82051575812977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17616.314162715036</c:v>
                </c:pt>
                <c:pt idx="2">
                  <c:v>4018.8714814682389</c:v>
                </c:pt>
                <c:pt idx="3">
                  <c:v>178.96127455223984</c:v>
                </c:pt>
                <c:pt idx="4">
                  <c:v>847.80890769954374</c:v>
                </c:pt>
                <c:pt idx="5">
                  <c:v>3081.0507479741641</c:v>
                </c:pt>
                <c:pt idx="6">
                  <c:v>15549.757620437878</c:v>
                </c:pt>
                <c:pt idx="7">
                  <c:v>164.39782496487945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62624"/>
        <c:axId val="184034048"/>
      </c:barChart>
      <c:catAx>
        <c:axId val="183962624"/>
        <c:scaling>
          <c:orientation val="minMax"/>
        </c:scaling>
        <c:axPos val="b"/>
        <c:numFmt formatCode="General" sourceLinked="0"/>
        <c:tickLblPos val="nextTo"/>
        <c:crossAx val="184034048"/>
        <c:crosses val="autoZero"/>
        <c:auto val="1"/>
        <c:lblAlgn val="ctr"/>
        <c:lblOffset val="100"/>
      </c:catAx>
      <c:valAx>
        <c:axId val="184034048"/>
        <c:scaling>
          <c:orientation val="minMax"/>
        </c:scaling>
        <c:axPos val="l"/>
        <c:majorGridlines/>
        <c:numFmt formatCode="#,##0" sourceLinked="1"/>
        <c:tickLblPos val="nextTo"/>
        <c:crossAx val="18396262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17616.314162715036</c:v>
                </c:pt>
                <c:pt idx="2">
                  <c:v>4018.8714814682389</c:v>
                </c:pt>
                <c:pt idx="3">
                  <c:v>178.96127455223984</c:v>
                </c:pt>
                <c:pt idx="4">
                  <c:v>847.80890769954374</c:v>
                </c:pt>
                <c:pt idx="5">
                  <c:v>3081.0507479741641</c:v>
                </c:pt>
                <c:pt idx="6">
                  <c:v>15549.757620437878</c:v>
                </c:pt>
                <c:pt idx="7">
                  <c:v>164.39782496487945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23060</v>
      </c>
      <c r="B6" s="415"/>
      <c r="C6" s="416"/>
    </row>
    <row r="7" spans="1:7" s="413" customFormat="1" ht="15.75" customHeight="1">
      <c r="A7" s="417" t="str">
        <f>txtMunicipality</f>
        <v>OPWIJK</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8997.649147600001</v>
      </c>
      <c r="D10" s="1012">
        <f ca="1">tertiair!C16</f>
        <v>0</v>
      </c>
      <c r="E10" s="1012">
        <f ca="1">tertiair!D16</f>
        <v>9715.5601238544205</v>
      </c>
      <c r="F10" s="1012">
        <f>tertiair!E16</f>
        <v>178.41300429014962</v>
      </c>
      <c r="G10" s="1012">
        <f ca="1">tertiair!F16</f>
        <v>1961.8051697760227</v>
      </c>
      <c r="H10" s="1012">
        <f>tertiair!G16</f>
        <v>0</v>
      </c>
      <c r="I10" s="1012">
        <f>tertiair!H16</f>
        <v>0</v>
      </c>
      <c r="J10" s="1012">
        <f>tertiair!I16</f>
        <v>0</v>
      </c>
      <c r="K10" s="1012">
        <f>tertiair!J16</f>
        <v>0</v>
      </c>
      <c r="L10" s="1012">
        <f>tertiair!K16</f>
        <v>0</v>
      </c>
      <c r="M10" s="1012">
        <f ca="1">tertiair!L16</f>
        <v>0</v>
      </c>
      <c r="N10" s="1012">
        <f>tertiair!M16</f>
        <v>0</v>
      </c>
      <c r="O10" s="1012">
        <f ca="1">tertiair!N16</f>
        <v>622.93499758462781</v>
      </c>
      <c r="P10" s="1012">
        <f>tertiair!O16</f>
        <v>1.5633333333333335</v>
      </c>
      <c r="Q10" s="1013">
        <f>tertiair!P16</f>
        <v>19.066666666666666</v>
      </c>
      <c r="R10" s="700">
        <f ca="1">SUM(C10:Q10)</f>
        <v>21496.992443105217</v>
      </c>
      <c r="S10" s="67"/>
    </row>
    <row r="11" spans="1:19" s="473" customFormat="1">
      <c r="A11" s="809" t="s">
        <v>225</v>
      </c>
      <c r="B11" s="814"/>
      <c r="C11" s="1012">
        <f>huishoudens!B8</f>
        <v>26705.62151636869</v>
      </c>
      <c r="D11" s="1012">
        <f>huishoudens!C8</f>
        <v>0</v>
      </c>
      <c r="E11" s="1012">
        <f>huishoudens!D8</f>
        <v>42112.522119932008</v>
      </c>
      <c r="F11" s="1012">
        <f>huishoudens!E8</f>
        <v>1918.9426671555086</v>
      </c>
      <c r="G11" s="1012">
        <f>huishoudens!F8</f>
        <v>13911.541090004683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9196.746326202343</v>
      </c>
      <c r="P11" s="1012">
        <f>huishoudens!O8</f>
        <v>170.40333333333334</v>
      </c>
      <c r="Q11" s="1013">
        <f>huishoudens!P8</f>
        <v>1105.8666666666668</v>
      </c>
      <c r="R11" s="700">
        <f>SUM(C11:Q11)</f>
        <v>95121.643719663232</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6597.5964492666999</v>
      </c>
      <c r="D13" s="1012">
        <f>industrie!C18</f>
        <v>0</v>
      </c>
      <c r="E13" s="1012">
        <f>industrie!D18</f>
        <v>5151.5689605102798</v>
      </c>
      <c r="F13" s="1012">
        <f>industrie!E18</f>
        <v>659.00889662572263</v>
      </c>
      <c r="G13" s="1012">
        <f>industrie!F18</f>
        <v>2441.9148319103915</v>
      </c>
      <c r="H13" s="1012">
        <f>industrie!G18</f>
        <v>0</v>
      </c>
      <c r="I13" s="1012">
        <f>industrie!H18</f>
        <v>0</v>
      </c>
      <c r="J13" s="1012">
        <f>industrie!I18</f>
        <v>0</v>
      </c>
      <c r="K13" s="1012">
        <f>industrie!J18</f>
        <v>38.36903090845172</v>
      </c>
      <c r="L13" s="1012">
        <f>industrie!K18</f>
        <v>0</v>
      </c>
      <c r="M13" s="1012">
        <f>industrie!L18</f>
        <v>0</v>
      </c>
      <c r="N13" s="1012">
        <f>industrie!M18</f>
        <v>0</v>
      </c>
      <c r="O13" s="1012">
        <f>industrie!N18</f>
        <v>1537.5331742575149</v>
      </c>
      <c r="P13" s="1012">
        <f>industrie!O18</f>
        <v>0</v>
      </c>
      <c r="Q13" s="1013">
        <f>industrie!P18</f>
        <v>0</v>
      </c>
      <c r="R13" s="700">
        <f>SUM(C13:Q13)</f>
        <v>16425.991343479061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42300.867113235392</v>
      </c>
      <c r="D16" s="732">
        <f t="shared" ref="D16:R16" ca="1" si="0">SUM(D9:D15)</f>
        <v>0</v>
      </c>
      <c r="E16" s="732">
        <f t="shared" ca="1" si="0"/>
        <v>56979.651204296708</v>
      </c>
      <c r="F16" s="732">
        <f t="shared" si="0"/>
        <v>2756.3645680713807</v>
      </c>
      <c r="G16" s="732">
        <f t="shared" ca="1" si="0"/>
        <v>18315.261091691096</v>
      </c>
      <c r="H16" s="732">
        <f t="shared" si="0"/>
        <v>0</v>
      </c>
      <c r="I16" s="732">
        <f t="shared" si="0"/>
        <v>0</v>
      </c>
      <c r="J16" s="732">
        <f t="shared" si="0"/>
        <v>0</v>
      </c>
      <c r="K16" s="732">
        <f t="shared" si="0"/>
        <v>38.36903090845172</v>
      </c>
      <c r="L16" s="732">
        <f t="shared" si="0"/>
        <v>0</v>
      </c>
      <c r="M16" s="732">
        <f t="shared" ca="1" si="0"/>
        <v>0</v>
      </c>
      <c r="N16" s="732">
        <f t="shared" si="0"/>
        <v>0</v>
      </c>
      <c r="O16" s="732">
        <f t="shared" ca="1" si="0"/>
        <v>11357.214498044485</v>
      </c>
      <c r="P16" s="732">
        <f t="shared" si="0"/>
        <v>171.96666666666667</v>
      </c>
      <c r="Q16" s="732">
        <f t="shared" si="0"/>
        <v>1124.9333333333334</v>
      </c>
      <c r="R16" s="732">
        <f t="shared" ca="1" si="0"/>
        <v>133044.62750624752</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615.72219087969825</v>
      </c>
      <c r="I19" s="1012">
        <f>transport!H54</f>
        <v>0</v>
      </c>
      <c r="J19" s="1012">
        <f>transport!I54</f>
        <v>0</v>
      </c>
      <c r="K19" s="1012">
        <f>transport!J54</f>
        <v>0</v>
      </c>
      <c r="L19" s="1012">
        <f>transport!K54</f>
        <v>0</v>
      </c>
      <c r="M19" s="1012">
        <f>transport!L54</f>
        <v>0</v>
      </c>
      <c r="N19" s="1012">
        <f>transport!M54</f>
        <v>19.098324878431537</v>
      </c>
      <c r="O19" s="1012">
        <f>transport!N54</f>
        <v>0</v>
      </c>
      <c r="P19" s="1012">
        <f>transport!O54</f>
        <v>0</v>
      </c>
      <c r="Q19" s="1013">
        <f>transport!P54</f>
        <v>0</v>
      </c>
      <c r="R19" s="700">
        <f>SUM(C19:Q19)</f>
        <v>634.82051575812977</v>
      </c>
      <c r="S19" s="67"/>
    </row>
    <row r="20" spans="1:19" s="473" customFormat="1">
      <c r="A20" s="809" t="s">
        <v>307</v>
      </c>
      <c r="B20" s="814"/>
      <c r="C20" s="1012">
        <f>transport!B14</f>
        <v>14.856672543486187</v>
      </c>
      <c r="D20" s="1012">
        <f>transport!C14</f>
        <v>0</v>
      </c>
      <c r="E20" s="1012">
        <f>transport!D14</f>
        <v>37.200973113884118</v>
      </c>
      <c r="F20" s="1012">
        <f>transport!E14</f>
        <v>141.1783612117851</v>
      </c>
      <c r="G20" s="1012">
        <f>transport!F14</f>
        <v>0</v>
      </c>
      <c r="H20" s="1012">
        <f>transport!G14</f>
        <v>48818.226330617945</v>
      </c>
      <c r="I20" s="1012">
        <f>transport!H14</f>
        <v>9931.6064901557438</v>
      </c>
      <c r="J20" s="1012">
        <f>transport!I14</f>
        <v>0</v>
      </c>
      <c r="K20" s="1012">
        <f>transport!J14</f>
        <v>0</v>
      </c>
      <c r="L20" s="1012">
        <f>transport!K14</f>
        <v>0</v>
      </c>
      <c r="M20" s="1012">
        <f>transport!L14</f>
        <v>0</v>
      </c>
      <c r="N20" s="1012">
        <f>transport!M14</f>
        <v>1835.5955270356296</v>
      </c>
      <c r="O20" s="1012">
        <f>transport!N14</f>
        <v>0</v>
      </c>
      <c r="P20" s="1012">
        <f>transport!O14</f>
        <v>0</v>
      </c>
      <c r="Q20" s="1013">
        <f>transport!P14</f>
        <v>0</v>
      </c>
      <c r="R20" s="700">
        <f>SUM(C20:Q20)</f>
        <v>60778.664354678469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14.856672543486187</v>
      </c>
      <c r="D22" s="812">
        <f t="shared" ref="D22:R22" si="1">SUM(D18:D21)</f>
        <v>0</v>
      </c>
      <c r="E22" s="812">
        <f t="shared" si="1"/>
        <v>37.200973113884118</v>
      </c>
      <c r="F22" s="812">
        <f t="shared" si="1"/>
        <v>141.1783612117851</v>
      </c>
      <c r="G22" s="812">
        <f t="shared" si="1"/>
        <v>0</v>
      </c>
      <c r="H22" s="812">
        <f t="shared" si="1"/>
        <v>49433.948521497645</v>
      </c>
      <c r="I22" s="812">
        <f t="shared" si="1"/>
        <v>9931.6064901557438</v>
      </c>
      <c r="J22" s="812">
        <f t="shared" si="1"/>
        <v>0</v>
      </c>
      <c r="K22" s="812">
        <f t="shared" si="1"/>
        <v>0</v>
      </c>
      <c r="L22" s="812">
        <f t="shared" si="1"/>
        <v>0</v>
      </c>
      <c r="M22" s="812">
        <f t="shared" si="1"/>
        <v>0</v>
      </c>
      <c r="N22" s="812">
        <f t="shared" si="1"/>
        <v>1854.6938519140613</v>
      </c>
      <c r="O22" s="812">
        <f t="shared" si="1"/>
        <v>0</v>
      </c>
      <c r="P22" s="812">
        <f t="shared" si="1"/>
        <v>0</v>
      </c>
      <c r="Q22" s="812">
        <f t="shared" si="1"/>
        <v>0</v>
      </c>
      <c r="R22" s="812">
        <f t="shared" si="1"/>
        <v>61413.484870436601</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1017.145892</v>
      </c>
      <c r="D24" s="1012">
        <f>+landbouw!C8</f>
        <v>5867.4375</v>
      </c>
      <c r="E24" s="1012">
        <f>+landbouw!D8</f>
        <v>89.214125574464006</v>
      </c>
      <c r="F24" s="1012">
        <f>+landbouw!E8</f>
        <v>26.228287165975289</v>
      </c>
      <c r="G24" s="1012">
        <f>+landbouw!F8</f>
        <v>458.1744412854473</v>
      </c>
      <c r="H24" s="1012">
        <f>+landbouw!G8</f>
        <v>0</v>
      </c>
      <c r="I24" s="1012">
        <f>+landbouw!H8</f>
        <v>0</v>
      </c>
      <c r="J24" s="1012">
        <f>+landbouw!I8</f>
        <v>0</v>
      </c>
      <c r="K24" s="1012">
        <f>+landbouw!J8</f>
        <v>146.43159105087668</v>
      </c>
      <c r="L24" s="1012">
        <f>+landbouw!K8</f>
        <v>0</v>
      </c>
      <c r="M24" s="1012">
        <f>+landbouw!L8</f>
        <v>0</v>
      </c>
      <c r="N24" s="1012">
        <f>+landbouw!M8</f>
        <v>0</v>
      </c>
      <c r="O24" s="1012">
        <f>+landbouw!N8</f>
        <v>0</v>
      </c>
      <c r="P24" s="1012">
        <f>+landbouw!O8</f>
        <v>0</v>
      </c>
      <c r="Q24" s="1013">
        <f>+landbouw!P8</f>
        <v>0</v>
      </c>
      <c r="R24" s="700">
        <f>SUM(C24:Q24)</f>
        <v>7604.6318370767631</v>
      </c>
      <c r="S24" s="67"/>
    </row>
    <row r="25" spans="1:19" s="473" customFormat="1" ht="15" thickBot="1">
      <c r="A25" s="831" t="s">
        <v>848</v>
      </c>
      <c r="B25" s="1015"/>
      <c r="C25" s="1016">
        <f>IF(Onbekend_ele_kWh="---",0,Onbekend_ele_kWh)/1000+IF(REST_rest_ele_kWh="---",0,REST_rest_ele_kWh)/1000</f>
        <v>1158.7949546999998</v>
      </c>
      <c r="D25" s="1016"/>
      <c r="E25" s="1016">
        <f>IF(onbekend_gas_kWh="---",0,onbekend_gas_kWh)/1000+IF(REST_rest_gas_kWh="---",0,REST_rest_gas_kWh)/1000</f>
        <v>1043.5520896</v>
      </c>
      <c r="F25" s="1016"/>
      <c r="G25" s="1016"/>
      <c r="H25" s="1016"/>
      <c r="I25" s="1016"/>
      <c r="J25" s="1016"/>
      <c r="K25" s="1016"/>
      <c r="L25" s="1016"/>
      <c r="M25" s="1016"/>
      <c r="N25" s="1016"/>
      <c r="O25" s="1016"/>
      <c r="P25" s="1016"/>
      <c r="Q25" s="1017"/>
      <c r="R25" s="700">
        <f>SUM(C25:Q25)</f>
        <v>2202.3470442999997</v>
      </c>
      <c r="S25" s="67"/>
    </row>
    <row r="26" spans="1:19" s="473" customFormat="1" ht="15.75" thickBot="1">
      <c r="A26" s="705" t="s">
        <v>849</v>
      </c>
      <c r="B26" s="817"/>
      <c r="C26" s="812">
        <f>SUM(C24:C25)</f>
        <v>2175.9408466999998</v>
      </c>
      <c r="D26" s="812">
        <f t="shared" ref="D26:R26" si="2">SUM(D24:D25)</f>
        <v>5867.4375</v>
      </c>
      <c r="E26" s="812">
        <f t="shared" si="2"/>
        <v>1132.7662151744642</v>
      </c>
      <c r="F26" s="812">
        <f t="shared" si="2"/>
        <v>26.228287165975289</v>
      </c>
      <c r="G26" s="812">
        <f t="shared" si="2"/>
        <v>458.1744412854473</v>
      </c>
      <c r="H26" s="812">
        <f t="shared" si="2"/>
        <v>0</v>
      </c>
      <c r="I26" s="812">
        <f t="shared" si="2"/>
        <v>0</v>
      </c>
      <c r="J26" s="812">
        <f t="shared" si="2"/>
        <v>0</v>
      </c>
      <c r="K26" s="812">
        <f t="shared" si="2"/>
        <v>146.43159105087668</v>
      </c>
      <c r="L26" s="812">
        <f t="shared" si="2"/>
        <v>0</v>
      </c>
      <c r="M26" s="812">
        <f t="shared" si="2"/>
        <v>0</v>
      </c>
      <c r="N26" s="812">
        <f t="shared" si="2"/>
        <v>0</v>
      </c>
      <c r="O26" s="812">
        <f t="shared" si="2"/>
        <v>0</v>
      </c>
      <c r="P26" s="812">
        <f t="shared" si="2"/>
        <v>0</v>
      </c>
      <c r="Q26" s="812">
        <f t="shared" si="2"/>
        <v>0</v>
      </c>
      <c r="R26" s="812">
        <f t="shared" si="2"/>
        <v>9806.9788813767627</v>
      </c>
      <c r="S26" s="67"/>
    </row>
    <row r="27" spans="1:19" s="473" customFormat="1" ht="17.25" thickTop="1" thickBot="1">
      <c r="A27" s="706" t="s">
        <v>116</v>
      </c>
      <c r="B27" s="805"/>
      <c r="C27" s="707">
        <f ca="1">C22+C16+C26</f>
        <v>44491.664632478882</v>
      </c>
      <c r="D27" s="707">
        <f t="shared" ref="D27:R27" ca="1" si="3">D22+D16+D26</f>
        <v>5867.4375</v>
      </c>
      <c r="E27" s="707">
        <f t="shared" ca="1" si="3"/>
        <v>58149.618392585056</v>
      </c>
      <c r="F27" s="707">
        <f t="shared" si="3"/>
        <v>2923.7712164491413</v>
      </c>
      <c r="G27" s="707">
        <f t="shared" ca="1" si="3"/>
        <v>18773.435532976542</v>
      </c>
      <c r="H27" s="707">
        <f t="shared" si="3"/>
        <v>49433.948521497645</v>
      </c>
      <c r="I27" s="707">
        <f t="shared" si="3"/>
        <v>9931.6064901557438</v>
      </c>
      <c r="J27" s="707">
        <f t="shared" si="3"/>
        <v>0</v>
      </c>
      <c r="K27" s="707">
        <f t="shared" si="3"/>
        <v>184.8006219593284</v>
      </c>
      <c r="L27" s="707">
        <f t="shared" si="3"/>
        <v>0</v>
      </c>
      <c r="M27" s="707">
        <f t="shared" ca="1" si="3"/>
        <v>0</v>
      </c>
      <c r="N27" s="707">
        <f t="shared" si="3"/>
        <v>1854.6938519140613</v>
      </c>
      <c r="O27" s="707">
        <f t="shared" ca="1" si="3"/>
        <v>11357.214498044485</v>
      </c>
      <c r="P27" s="707">
        <f t="shared" si="3"/>
        <v>171.96666666666667</v>
      </c>
      <c r="Q27" s="707">
        <f t="shared" si="3"/>
        <v>1124.9333333333334</v>
      </c>
      <c r="R27" s="707">
        <f t="shared" ca="1" si="3"/>
        <v>204265.09125806089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1670.9878786978234</v>
      </c>
      <c r="D40" s="1012">
        <f ca="1">tertiair!C20</f>
        <v>0</v>
      </c>
      <c r="E40" s="1012">
        <f ca="1">tertiair!D20</f>
        <v>1962.5431450185931</v>
      </c>
      <c r="F40" s="1012">
        <f>tertiair!E20</f>
        <v>40.499751973863965</v>
      </c>
      <c r="G40" s="1012">
        <f ca="1">tertiair!F20</f>
        <v>523.80198033019803</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4197.8327560204789</v>
      </c>
    </row>
    <row r="41" spans="1:18">
      <c r="A41" s="822" t="s">
        <v>225</v>
      </c>
      <c r="B41" s="829"/>
      <c r="C41" s="1012">
        <f ca="1">huishoudens!B12</f>
        <v>4959.6032380132219</v>
      </c>
      <c r="D41" s="1012">
        <f ca="1">huishoudens!C12</f>
        <v>0</v>
      </c>
      <c r="E41" s="1012">
        <f>huishoudens!D12</f>
        <v>8506.7294682262655</v>
      </c>
      <c r="F41" s="1012">
        <f>huishoudens!E12</f>
        <v>435.59998544430044</v>
      </c>
      <c r="G41" s="1012">
        <f>huishoudens!F12</f>
        <v>3714.3814710312504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17616.314162715036</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1225.2649013553823</v>
      </c>
      <c r="D43" s="1012">
        <f ca="1">industrie!C22</f>
        <v>0</v>
      </c>
      <c r="E43" s="1012">
        <f>industrie!D22</f>
        <v>1040.6169300230765</v>
      </c>
      <c r="F43" s="1012">
        <f>industrie!E22</f>
        <v>149.59501953403904</v>
      </c>
      <c r="G43" s="1012">
        <f>industrie!F22</f>
        <v>651.99126012007457</v>
      </c>
      <c r="H43" s="1012">
        <f>industrie!G22</f>
        <v>0</v>
      </c>
      <c r="I43" s="1012">
        <f>industrie!H22</f>
        <v>0</v>
      </c>
      <c r="J43" s="1012">
        <f>industrie!I22</f>
        <v>0</v>
      </c>
      <c r="K43" s="1012">
        <f>industrie!J22</f>
        <v>13.582636941591907</v>
      </c>
      <c r="L43" s="1012">
        <f>industrie!K22</f>
        <v>0</v>
      </c>
      <c r="M43" s="1012">
        <f>industrie!L22</f>
        <v>0</v>
      </c>
      <c r="N43" s="1012">
        <f>industrie!M22</f>
        <v>0</v>
      </c>
      <c r="O43" s="1012">
        <f>industrie!N22</f>
        <v>0</v>
      </c>
      <c r="P43" s="1012">
        <f>industrie!O22</f>
        <v>0</v>
      </c>
      <c r="Q43" s="774">
        <f>industrie!P22</f>
        <v>0</v>
      </c>
      <c r="R43" s="849">
        <f t="shared" ca="1" si="4"/>
        <v>3081.0507479741641</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7855.8560180664281</v>
      </c>
      <c r="D46" s="732">
        <f t="shared" ref="D46:Q46" ca="1" si="5">SUM(D39:D45)</f>
        <v>0</v>
      </c>
      <c r="E46" s="732">
        <f t="shared" ca="1" si="5"/>
        <v>11509.889543267935</v>
      </c>
      <c r="F46" s="732">
        <f t="shared" si="5"/>
        <v>625.69475695220342</v>
      </c>
      <c r="G46" s="732">
        <f t="shared" ca="1" si="5"/>
        <v>4890.1747114815234</v>
      </c>
      <c r="H46" s="732">
        <f t="shared" si="5"/>
        <v>0</v>
      </c>
      <c r="I46" s="732">
        <f t="shared" si="5"/>
        <v>0</v>
      </c>
      <c r="J46" s="732">
        <f t="shared" si="5"/>
        <v>0</v>
      </c>
      <c r="K46" s="732">
        <f t="shared" si="5"/>
        <v>13.582636941591907</v>
      </c>
      <c r="L46" s="732">
        <f t="shared" si="5"/>
        <v>0</v>
      </c>
      <c r="M46" s="732">
        <f t="shared" ca="1" si="5"/>
        <v>0</v>
      </c>
      <c r="N46" s="732">
        <f t="shared" si="5"/>
        <v>0</v>
      </c>
      <c r="O46" s="732">
        <f t="shared" ca="1" si="5"/>
        <v>0</v>
      </c>
      <c r="P46" s="732">
        <f t="shared" si="5"/>
        <v>0</v>
      </c>
      <c r="Q46" s="732">
        <f t="shared" si="5"/>
        <v>0</v>
      </c>
      <c r="R46" s="732">
        <f ca="1">SUM(R39:R45)</f>
        <v>24895.197666709679</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164.39782496487945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164.39782496487945</v>
      </c>
    </row>
    <row r="50" spans="1:18">
      <c r="A50" s="825" t="s">
        <v>307</v>
      </c>
      <c r="B50" s="835"/>
      <c r="C50" s="703">
        <f ca="1">transport!B18</f>
        <v>2.7590895500265193</v>
      </c>
      <c r="D50" s="703">
        <f>transport!C18</f>
        <v>0</v>
      </c>
      <c r="E50" s="703">
        <f>transport!D18</f>
        <v>7.5145965690045919</v>
      </c>
      <c r="F50" s="703">
        <f>transport!E18</f>
        <v>32.047487995075222</v>
      </c>
      <c r="G50" s="703">
        <f>transport!F18</f>
        <v>0</v>
      </c>
      <c r="H50" s="703">
        <f>transport!G18</f>
        <v>13034.466430274992</v>
      </c>
      <c r="I50" s="703">
        <f>transport!H18</f>
        <v>2472.9700160487801</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15549.757620437878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2.7590895500265193</v>
      </c>
      <c r="D52" s="732">
        <f t="shared" ref="D52:Q52" ca="1" si="6">SUM(D48:D51)</f>
        <v>0</v>
      </c>
      <c r="E52" s="732">
        <f t="shared" si="6"/>
        <v>7.5145965690045919</v>
      </c>
      <c r="F52" s="732">
        <f t="shared" si="6"/>
        <v>32.047487995075222</v>
      </c>
      <c r="G52" s="732">
        <f t="shared" si="6"/>
        <v>0</v>
      </c>
      <c r="H52" s="732">
        <f t="shared" si="6"/>
        <v>13198.864255239871</v>
      </c>
      <c r="I52" s="732">
        <f t="shared" si="6"/>
        <v>2472.9700160487801</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15714.155445402757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188.89805865042433</v>
      </c>
      <c r="D54" s="703">
        <f ca="1">+landbouw!C12</f>
        <v>460.76641544117649</v>
      </c>
      <c r="E54" s="703">
        <f>+landbouw!D12</f>
        <v>18.02125336604173</v>
      </c>
      <c r="F54" s="703">
        <f>+landbouw!E12</f>
        <v>5.9538211866763904</v>
      </c>
      <c r="G54" s="703">
        <f>+landbouw!F12</f>
        <v>122.33257582321444</v>
      </c>
      <c r="H54" s="703">
        <f>+landbouw!G12</f>
        <v>0</v>
      </c>
      <c r="I54" s="703">
        <f>+landbouw!H12</f>
        <v>0</v>
      </c>
      <c r="J54" s="703">
        <f>+landbouw!I12</f>
        <v>0</v>
      </c>
      <c r="K54" s="703">
        <f>+landbouw!J12</f>
        <v>51.83678323201034</v>
      </c>
      <c r="L54" s="703">
        <f>+landbouw!K12</f>
        <v>0</v>
      </c>
      <c r="M54" s="703">
        <f>+landbouw!L12</f>
        <v>0</v>
      </c>
      <c r="N54" s="703">
        <f>+landbouw!M12</f>
        <v>0</v>
      </c>
      <c r="O54" s="703">
        <f>+landbouw!N12</f>
        <v>0</v>
      </c>
      <c r="P54" s="703">
        <f>+landbouw!O12</f>
        <v>0</v>
      </c>
      <c r="Q54" s="704">
        <f>+landbouw!P12</f>
        <v>0</v>
      </c>
      <c r="R54" s="731">
        <f ca="1">SUM(C54:Q54)</f>
        <v>847.80890769954374</v>
      </c>
    </row>
    <row r="55" spans="1:18" ht="15" thickBot="1">
      <c r="A55" s="825" t="s">
        <v>848</v>
      </c>
      <c r="B55" s="835"/>
      <c r="C55" s="703">
        <f ca="1">C25*'EF ele_warmte'!B12</f>
        <v>215.204248513778</v>
      </c>
      <c r="D55" s="703"/>
      <c r="E55" s="703">
        <f>E25*EF_CO2_aardgas</f>
        <v>210.79752209920002</v>
      </c>
      <c r="F55" s="703"/>
      <c r="G55" s="703"/>
      <c r="H55" s="703"/>
      <c r="I55" s="703"/>
      <c r="J55" s="703"/>
      <c r="K55" s="703"/>
      <c r="L55" s="703"/>
      <c r="M55" s="703"/>
      <c r="N55" s="703"/>
      <c r="O55" s="703"/>
      <c r="P55" s="703"/>
      <c r="Q55" s="704"/>
      <c r="R55" s="731">
        <f ca="1">SUM(C55:Q55)</f>
        <v>426.00177061297802</v>
      </c>
    </row>
    <row r="56" spans="1:18" ht="15.75" thickBot="1">
      <c r="A56" s="823" t="s">
        <v>849</v>
      </c>
      <c r="B56" s="836"/>
      <c r="C56" s="732">
        <f ca="1">SUM(C54:C55)</f>
        <v>404.10230716420233</v>
      </c>
      <c r="D56" s="732">
        <f t="shared" ref="D56:Q56" ca="1" si="7">SUM(D54:D55)</f>
        <v>460.76641544117649</v>
      </c>
      <c r="E56" s="732">
        <f t="shared" si="7"/>
        <v>228.81877546524174</v>
      </c>
      <c r="F56" s="732">
        <f t="shared" si="7"/>
        <v>5.9538211866763904</v>
      </c>
      <c r="G56" s="732">
        <f t="shared" si="7"/>
        <v>122.33257582321444</v>
      </c>
      <c r="H56" s="732">
        <f t="shared" si="7"/>
        <v>0</v>
      </c>
      <c r="I56" s="732">
        <f t="shared" si="7"/>
        <v>0</v>
      </c>
      <c r="J56" s="732">
        <f t="shared" si="7"/>
        <v>0</v>
      </c>
      <c r="K56" s="732">
        <f t="shared" si="7"/>
        <v>51.83678323201034</v>
      </c>
      <c r="L56" s="732">
        <f t="shared" si="7"/>
        <v>0</v>
      </c>
      <c r="M56" s="732">
        <f t="shared" si="7"/>
        <v>0</v>
      </c>
      <c r="N56" s="732">
        <f t="shared" si="7"/>
        <v>0</v>
      </c>
      <c r="O56" s="732">
        <f t="shared" si="7"/>
        <v>0</v>
      </c>
      <c r="P56" s="732">
        <f t="shared" si="7"/>
        <v>0</v>
      </c>
      <c r="Q56" s="733">
        <f t="shared" si="7"/>
        <v>0</v>
      </c>
      <c r="R56" s="734">
        <f ca="1">SUM(R54:R55)</f>
        <v>1273.8106783125218</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8262.7174147806563</v>
      </c>
      <c r="D61" s="740">
        <f t="shared" ref="D61:Q61" ca="1" si="8">D46+D52+D56</f>
        <v>460.76641544117649</v>
      </c>
      <c r="E61" s="740">
        <f t="shared" ca="1" si="8"/>
        <v>11746.22291530218</v>
      </c>
      <c r="F61" s="740">
        <f t="shared" si="8"/>
        <v>663.69606613395501</v>
      </c>
      <c r="G61" s="740">
        <f t="shared" ca="1" si="8"/>
        <v>5012.5072873047375</v>
      </c>
      <c r="H61" s="740">
        <f t="shared" si="8"/>
        <v>13198.864255239871</v>
      </c>
      <c r="I61" s="740">
        <f t="shared" si="8"/>
        <v>2472.9700160487801</v>
      </c>
      <c r="J61" s="740">
        <f t="shared" si="8"/>
        <v>0</v>
      </c>
      <c r="K61" s="740">
        <f t="shared" si="8"/>
        <v>65.419420173602248</v>
      </c>
      <c r="L61" s="740">
        <f t="shared" si="8"/>
        <v>0</v>
      </c>
      <c r="M61" s="740">
        <f t="shared" ca="1" si="8"/>
        <v>0</v>
      </c>
      <c r="N61" s="740">
        <f t="shared" si="8"/>
        <v>0</v>
      </c>
      <c r="O61" s="740">
        <f t="shared" ca="1" si="8"/>
        <v>0</v>
      </c>
      <c r="P61" s="740">
        <f t="shared" si="8"/>
        <v>0</v>
      </c>
      <c r="Q61" s="740">
        <f t="shared" si="8"/>
        <v>0</v>
      </c>
      <c r="R61" s="740">
        <f ca="1">R46+R52+R56</f>
        <v>41883.163790424958</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0.18571382938881723</v>
      </c>
      <c r="D63" s="781">
        <f t="shared" ca="1" si="9"/>
        <v>7.8529411764705889E-2</v>
      </c>
      <c r="E63" s="1023">
        <f t="shared" ca="1" si="9"/>
        <v>0.20199999999999999</v>
      </c>
      <c r="F63" s="781">
        <f t="shared" si="9"/>
        <v>0.22699999999999998</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3741.561611113108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3911.6249999999995</v>
      </c>
      <c r="C76" s="750">
        <f>'lokale energieproductie'!B8*IFERROR(SUM(D76:H76)/SUM(D76:O76),0)</f>
        <v>1303.875</v>
      </c>
      <c r="D76" s="1033">
        <f>'lokale energieproductie'!C8</f>
        <v>0</v>
      </c>
      <c r="E76" s="1034">
        <f>'lokale energieproductie'!D8</f>
        <v>0</v>
      </c>
      <c r="F76" s="1034">
        <f>'lokale energieproductie'!E8</f>
        <v>1533.9705882352941</v>
      </c>
      <c r="G76" s="1034">
        <f>'lokale energieproductie'!F8</f>
        <v>0</v>
      </c>
      <c r="H76" s="1034">
        <f>'lokale energieproductie'!G8</f>
        <v>0</v>
      </c>
      <c r="I76" s="1034">
        <f>'lokale energieproductie'!I8</f>
        <v>4601.911764705882</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409.57014705882358</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7653.1866111131076</v>
      </c>
      <c r="C78" s="755">
        <f>SUM(C72:C77)</f>
        <v>1303.875</v>
      </c>
      <c r="D78" s="756">
        <f t="shared" ref="D78:H78" si="10">SUM(D76:D77)</f>
        <v>0</v>
      </c>
      <c r="E78" s="756">
        <f t="shared" si="10"/>
        <v>0</v>
      </c>
      <c r="F78" s="756">
        <f t="shared" si="10"/>
        <v>1533.9705882352941</v>
      </c>
      <c r="G78" s="756">
        <f t="shared" si="10"/>
        <v>0</v>
      </c>
      <c r="H78" s="756">
        <f t="shared" si="10"/>
        <v>0</v>
      </c>
      <c r="I78" s="756">
        <f>SUM(I76:I77)</f>
        <v>4601.911764705882</v>
      </c>
      <c r="J78" s="756">
        <f>SUM(J76:J77)</f>
        <v>0</v>
      </c>
      <c r="K78" s="756">
        <f t="shared" ref="K78:L78" si="11">SUM(K76:K77)</f>
        <v>0</v>
      </c>
      <c r="L78" s="756">
        <f t="shared" si="11"/>
        <v>0</v>
      </c>
      <c r="M78" s="756">
        <f>SUM(M76:M77)</f>
        <v>0</v>
      </c>
      <c r="N78" s="756">
        <f>SUM(N76:N77)</f>
        <v>0</v>
      </c>
      <c r="O78" s="860">
        <f>SUM(O76:O77)</f>
        <v>0</v>
      </c>
      <c r="P78" s="757">
        <v>0</v>
      </c>
      <c r="Q78" s="757">
        <f>SUM(Q76:Q77)</f>
        <v>409.57014705882358</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4400.5781250000009</v>
      </c>
      <c r="C87" s="766">
        <f>'lokale energieproductie'!B17*IFERROR(SUM(D87:H87)/SUM(D87:O87),0)</f>
        <v>1466.859375</v>
      </c>
      <c r="D87" s="777">
        <f>'lokale energieproductie'!C17</f>
        <v>0</v>
      </c>
      <c r="E87" s="777">
        <f>'lokale energieproductie'!D17</f>
        <v>0</v>
      </c>
      <c r="F87" s="777">
        <f>'lokale energieproductie'!E17</f>
        <v>1725.7169117647059</v>
      </c>
      <c r="G87" s="777">
        <f>'lokale energieproductie'!F17</f>
        <v>0</v>
      </c>
      <c r="H87" s="777">
        <f>'lokale energieproductie'!G17</f>
        <v>0</v>
      </c>
      <c r="I87" s="777">
        <f>'lokale energieproductie'!I17</f>
        <v>5177.150735294118</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460.76641544117649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4400.5781250000009</v>
      </c>
      <c r="C90" s="755">
        <f>SUM(C87:C89)</f>
        <v>1466.859375</v>
      </c>
      <c r="D90" s="755">
        <f t="shared" ref="D90:H90" si="12">SUM(D87:D89)</f>
        <v>0</v>
      </c>
      <c r="E90" s="755">
        <f t="shared" si="12"/>
        <v>0</v>
      </c>
      <c r="F90" s="755">
        <f t="shared" si="12"/>
        <v>1725.7169117647059</v>
      </c>
      <c r="G90" s="755">
        <f t="shared" si="12"/>
        <v>0</v>
      </c>
      <c r="H90" s="755">
        <f t="shared" si="12"/>
        <v>0</v>
      </c>
      <c r="I90" s="755">
        <f>SUM(I87:I89)</f>
        <v>5177.150735294118</v>
      </c>
      <c r="J90" s="755">
        <f>SUM(J87:J89)</f>
        <v>0</v>
      </c>
      <c r="K90" s="755">
        <f t="shared" ref="K90:L90" si="13">SUM(K87:K89)</f>
        <v>0</v>
      </c>
      <c r="L90" s="755">
        <f t="shared" si="13"/>
        <v>0</v>
      </c>
      <c r="M90" s="755">
        <f>SUM(M87:M89)</f>
        <v>0</v>
      </c>
      <c r="N90" s="755">
        <f>SUM(N87:N89)</f>
        <v>0</v>
      </c>
      <c r="O90" s="755">
        <f>SUM(O87:O89)</f>
        <v>0</v>
      </c>
      <c r="P90" s="755">
        <v>0</v>
      </c>
      <c r="Q90" s="755">
        <f>SUM(Q87:Q89)</f>
        <v>460.76641544117649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26705.62151636869</v>
      </c>
      <c r="C4" s="477">
        <f>huishoudens!C8</f>
        <v>0</v>
      </c>
      <c r="D4" s="477">
        <f>huishoudens!D8</f>
        <v>42112.522119932008</v>
      </c>
      <c r="E4" s="477">
        <f>huishoudens!E8</f>
        <v>1918.9426671555086</v>
      </c>
      <c r="F4" s="477">
        <f>huishoudens!F8</f>
        <v>13911.541090004683</v>
      </c>
      <c r="G4" s="477">
        <f>huishoudens!G8</f>
        <v>0</v>
      </c>
      <c r="H4" s="477">
        <f>huishoudens!H8</f>
        <v>0</v>
      </c>
      <c r="I4" s="477">
        <f>huishoudens!I8</f>
        <v>0</v>
      </c>
      <c r="J4" s="477">
        <f>huishoudens!J8</f>
        <v>0</v>
      </c>
      <c r="K4" s="477">
        <f>huishoudens!K8</f>
        <v>0</v>
      </c>
      <c r="L4" s="477">
        <f>huishoudens!L8</f>
        <v>0</v>
      </c>
      <c r="M4" s="477">
        <f>huishoudens!M8</f>
        <v>0</v>
      </c>
      <c r="N4" s="477">
        <f>huishoudens!N8</f>
        <v>9196.746326202343</v>
      </c>
      <c r="O4" s="477">
        <f>huishoudens!O8</f>
        <v>170.40333333333334</v>
      </c>
      <c r="P4" s="478">
        <f>huishoudens!P8</f>
        <v>1105.8666666666668</v>
      </c>
      <c r="Q4" s="479">
        <f>SUM(B4:P4)</f>
        <v>95121.643719663232</v>
      </c>
    </row>
    <row r="5" spans="1:17">
      <c r="A5" s="476" t="s">
        <v>156</v>
      </c>
      <c r="B5" s="477">
        <f ca="1">tertiair!B16</f>
        <v>8034.0091476000007</v>
      </c>
      <c r="C5" s="477">
        <f ca="1">tertiair!C16</f>
        <v>0</v>
      </c>
      <c r="D5" s="477">
        <f ca="1">tertiair!D16</f>
        <v>9715.5601238544205</v>
      </c>
      <c r="E5" s="477">
        <f>tertiair!E16</f>
        <v>178.41300429014962</v>
      </c>
      <c r="F5" s="477">
        <f ca="1">tertiair!F16</f>
        <v>1961.8051697760227</v>
      </c>
      <c r="G5" s="477">
        <f>tertiair!G16</f>
        <v>0</v>
      </c>
      <c r="H5" s="477">
        <f>tertiair!H16</f>
        <v>0</v>
      </c>
      <c r="I5" s="477">
        <f>tertiair!I16</f>
        <v>0</v>
      </c>
      <c r="J5" s="477">
        <f>tertiair!J16</f>
        <v>0</v>
      </c>
      <c r="K5" s="477">
        <f>tertiair!K16</f>
        <v>0</v>
      </c>
      <c r="L5" s="477">
        <f ca="1">tertiair!L16</f>
        <v>0</v>
      </c>
      <c r="M5" s="477">
        <f>tertiair!M16</f>
        <v>0</v>
      </c>
      <c r="N5" s="477">
        <f ca="1">tertiair!N16</f>
        <v>622.93499758462781</v>
      </c>
      <c r="O5" s="477">
        <f>tertiair!O16</f>
        <v>1.5633333333333335</v>
      </c>
      <c r="P5" s="478">
        <f>tertiair!P16</f>
        <v>19.066666666666666</v>
      </c>
      <c r="Q5" s="476">
        <f t="shared" ref="Q5:Q14" ca="1" si="0">SUM(B5:P5)</f>
        <v>20533.352443105217</v>
      </c>
    </row>
    <row r="6" spans="1:17">
      <c r="A6" s="476" t="s">
        <v>194</v>
      </c>
      <c r="B6" s="477">
        <f>'openbare verlichting'!B8</f>
        <v>963.64</v>
      </c>
      <c r="C6" s="477"/>
      <c r="D6" s="477"/>
      <c r="E6" s="477"/>
      <c r="F6" s="477"/>
      <c r="G6" s="477"/>
      <c r="H6" s="477"/>
      <c r="I6" s="477"/>
      <c r="J6" s="477"/>
      <c r="K6" s="477"/>
      <c r="L6" s="477"/>
      <c r="M6" s="477"/>
      <c r="N6" s="477"/>
      <c r="O6" s="477"/>
      <c r="P6" s="478"/>
      <c r="Q6" s="476">
        <f t="shared" si="0"/>
        <v>963.64</v>
      </c>
    </row>
    <row r="7" spans="1:17">
      <c r="A7" s="476" t="s">
        <v>112</v>
      </c>
      <c r="B7" s="477">
        <f>landbouw!B8</f>
        <v>1017.145892</v>
      </c>
      <c r="C7" s="477">
        <f>landbouw!C8</f>
        <v>5867.4375</v>
      </c>
      <c r="D7" s="477">
        <f>landbouw!D8</f>
        <v>89.214125574464006</v>
      </c>
      <c r="E7" s="477">
        <f>landbouw!E8</f>
        <v>26.228287165975289</v>
      </c>
      <c r="F7" s="477">
        <f>landbouw!F8</f>
        <v>458.1744412854473</v>
      </c>
      <c r="G7" s="477">
        <f>landbouw!G8</f>
        <v>0</v>
      </c>
      <c r="H7" s="477">
        <f>landbouw!H8</f>
        <v>0</v>
      </c>
      <c r="I7" s="477">
        <f>landbouw!I8</f>
        <v>0</v>
      </c>
      <c r="J7" s="477">
        <f>landbouw!J8</f>
        <v>146.43159105087668</v>
      </c>
      <c r="K7" s="477">
        <f>landbouw!K8</f>
        <v>0</v>
      </c>
      <c r="L7" s="477">
        <f>landbouw!L8</f>
        <v>0</v>
      </c>
      <c r="M7" s="477">
        <f>landbouw!M8</f>
        <v>0</v>
      </c>
      <c r="N7" s="477">
        <f>landbouw!N8</f>
        <v>0</v>
      </c>
      <c r="O7" s="477">
        <f>landbouw!O8</f>
        <v>0</v>
      </c>
      <c r="P7" s="478">
        <f>landbouw!P8</f>
        <v>0</v>
      </c>
      <c r="Q7" s="476">
        <f t="shared" si="0"/>
        <v>7604.6318370767631</v>
      </c>
    </row>
    <row r="8" spans="1:17">
      <c r="A8" s="476" t="s">
        <v>638</v>
      </c>
      <c r="B8" s="477">
        <f>industrie!B18</f>
        <v>6597.5964492666999</v>
      </c>
      <c r="C8" s="477">
        <f>industrie!C18</f>
        <v>0</v>
      </c>
      <c r="D8" s="477">
        <f>industrie!D18</f>
        <v>5151.5689605102798</v>
      </c>
      <c r="E8" s="477">
        <f>industrie!E18</f>
        <v>659.00889662572263</v>
      </c>
      <c r="F8" s="477">
        <f>industrie!F18</f>
        <v>2441.9148319103915</v>
      </c>
      <c r="G8" s="477">
        <f>industrie!G18</f>
        <v>0</v>
      </c>
      <c r="H8" s="477">
        <f>industrie!H18</f>
        <v>0</v>
      </c>
      <c r="I8" s="477">
        <f>industrie!I18</f>
        <v>0</v>
      </c>
      <c r="J8" s="477">
        <f>industrie!J18</f>
        <v>38.36903090845172</v>
      </c>
      <c r="K8" s="477">
        <f>industrie!K18</f>
        <v>0</v>
      </c>
      <c r="L8" s="477">
        <f>industrie!L18</f>
        <v>0</v>
      </c>
      <c r="M8" s="477">
        <f>industrie!M18</f>
        <v>0</v>
      </c>
      <c r="N8" s="477">
        <f>industrie!N18</f>
        <v>1537.5331742575149</v>
      </c>
      <c r="O8" s="477">
        <f>industrie!O18</f>
        <v>0</v>
      </c>
      <c r="P8" s="478">
        <f>industrie!P18</f>
        <v>0</v>
      </c>
      <c r="Q8" s="476">
        <f t="shared" si="0"/>
        <v>16425.991343479061</v>
      </c>
    </row>
    <row r="9" spans="1:17" s="482" customFormat="1">
      <c r="A9" s="480" t="s">
        <v>564</v>
      </c>
      <c r="B9" s="481">
        <f>transport!B14</f>
        <v>14.856672543486187</v>
      </c>
      <c r="C9" s="481">
        <f>transport!C14</f>
        <v>0</v>
      </c>
      <c r="D9" s="481">
        <f>transport!D14</f>
        <v>37.200973113884118</v>
      </c>
      <c r="E9" s="481">
        <f>transport!E14</f>
        <v>141.1783612117851</v>
      </c>
      <c r="F9" s="481">
        <f>transport!F14</f>
        <v>0</v>
      </c>
      <c r="G9" s="481">
        <f>transport!G14</f>
        <v>48818.226330617945</v>
      </c>
      <c r="H9" s="481">
        <f>transport!H14</f>
        <v>9931.6064901557438</v>
      </c>
      <c r="I9" s="481">
        <f>transport!I14</f>
        <v>0</v>
      </c>
      <c r="J9" s="481">
        <f>transport!J14</f>
        <v>0</v>
      </c>
      <c r="K9" s="481">
        <f>transport!K14</f>
        <v>0</v>
      </c>
      <c r="L9" s="481">
        <f>transport!L14</f>
        <v>0</v>
      </c>
      <c r="M9" s="481">
        <f>transport!M14</f>
        <v>1835.5955270356296</v>
      </c>
      <c r="N9" s="481">
        <f>transport!N14</f>
        <v>0</v>
      </c>
      <c r="O9" s="481">
        <f>transport!O14</f>
        <v>0</v>
      </c>
      <c r="P9" s="481">
        <f>transport!P14</f>
        <v>0</v>
      </c>
      <c r="Q9" s="480">
        <f>SUM(B9:P9)</f>
        <v>60778.664354678469</v>
      </c>
    </row>
    <row r="10" spans="1:17">
      <c r="A10" s="476" t="s">
        <v>554</v>
      </c>
      <c r="B10" s="477">
        <f>transport!B54</f>
        <v>0</v>
      </c>
      <c r="C10" s="477">
        <f>transport!C54</f>
        <v>0</v>
      </c>
      <c r="D10" s="477">
        <f>transport!D54</f>
        <v>0</v>
      </c>
      <c r="E10" s="477">
        <f>transport!E54</f>
        <v>0</v>
      </c>
      <c r="F10" s="477">
        <f>transport!F54</f>
        <v>0</v>
      </c>
      <c r="G10" s="477">
        <f>transport!G54</f>
        <v>615.72219087969825</v>
      </c>
      <c r="H10" s="477">
        <f>transport!H54</f>
        <v>0</v>
      </c>
      <c r="I10" s="477">
        <f>transport!I54</f>
        <v>0</v>
      </c>
      <c r="J10" s="477">
        <f>transport!J54</f>
        <v>0</v>
      </c>
      <c r="K10" s="477">
        <f>transport!K54</f>
        <v>0</v>
      </c>
      <c r="L10" s="477">
        <f>transport!L54</f>
        <v>0</v>
      </c>
      <c r="M10" s="477">
        <f>transport!M54</f>
        <v>19.098324878431537</v>
      </c>
      <c r="N10" s="477">
        <f>transport!N54</f>
        <v>0</v>
      </c>
      <c r="O10" s="477">
        <f>transport!O54</f>
        <v>0</v>
      </c>
      <c r="P10" s="478">
        <f>transport!P54</f>
        <v>0</v>
      </c>
      <c r="Q10" s="476">
        <f t="shared" si="0"/>
        <v>634.82051575812977</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1158.7949546999998</v>
      </c>
      <c r="C14" s="484"/>
      <c r="D14" s="484">
        <f>'SEAP template'!E25</f>
        <v>1043.5520896</v>
      </c>
      <c r="E14" s="484"/>
      <c r="F14" s="484"/>
      <c r="G14" s="484"/>
      <c r="H14" s="484"/>
      <c r="I14" s="484"/>
      <c r="J14" s="484"/>
      <c r="K14" s="484"/>
      <c r="L14" s="484"/>
      <c r="M14" s="484"/>
      <c r="N14" s="484"/>
      <c r="O14" s="484"/>
      <c r="P14" s="485"/>
      <c r="Q14" s="476">
        <f t="shared" si="0"/>
        <v>2202.3470442999997</v>
      </c>
    </row>
    <row r="15" spans="1:17" s="486" customFormat="1">
      <c r="A15" s="1038" t="s">
        <v>558</v>
      </c>
      <c r="B15" s="978">
        <f ca="1">SUM(B4:B14)</f>
        <v>44491.664632478874</v>
      </c>
      <c r="C15" s="978">
        <f t="shared" ref="C15:Q15" ca="1" si="1">SUM(C4:C14)</f>
        <v>5867.4375</v>
      </c>
      <c r="D15" s="978">
        <f t="shared" ca="1" si="1"/>
        <v>58149.618392585056</v>
      </c>
      <c r="E15" s="978">
        <f t="shared" si="1"/>
        <v>2923.7712164491413</v>
      </c>
      <c r="F15" s="978">
        <f t="shared" ca="1" si="1"/>
        <v>18773.435532976546</v>
      </c>
      <c r="G15" s="978">
        <f t="shared" si="1"/>
        <v>49433.948521497645</v>
      </c>
      <c r="H15" s="978">
        <f t="shared" si="1"/>
        <v>9931.6064901557438</v>
      </c>
      <c r="I15" s="978">
        <f t="shared" si="1"/>
        <v>0</v>
      </c>
      <c r="J15" s="978">
        <f t="shared" si="1"/>
        <v>184.8006219593284</v>
      </c>
      <c r="K15" s="978">
        <f t="shared" si="1"/>
        <v>0</v>
      </c>
      <c r="L15" s="978">
        <f t="shared" ca="1" si="1"/>
        <v>0</v>
      </c>
      <c r="M15" s="978">
        <f t="shared" si="1"/>
        <v>1854.6938519140613</v>
      </c>
      <c r="N15" s="978">
        <f t="shared" ca="1" si="1"/>
        <v>11357.214498044485</v>
      </c>
      <c r="O15" s="978">
        <f t="shared" si="1"/>
        <v>171.96666666666667</v>
      </c>
      <c r="P15" s="978">
        <f t="shared" si="1"/>
        <v>1124.9333333333334</v>
      </c>
      <c r="Q15" s="978">
        <f t="shared" ca="1" si="1"/>
        <v>204265.09125806089</v>
      </c>
    </row>
    <row r="17" spans="1:17">
      <c r="A17" s="487" t="s">
        <v>559</v>
      </c>
      <c r="B17" s="786">
        <f ca="1">huishoudens!B10</f>
        <v>0.18571382938881725</v>
      </c>
      <c r="C17" s="786">
        <f ca="1">huishoudens!C10</f>
        <v>7.8529411764705889E-2</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4959.6032380132219</v>
      </c>
      <c r="C22" s="477">
        <f t="shared" ref="C22:C32" ca="1" si="3">C4*$C$17</f>
        <v>0</v>
      </c>
      <c r="D22" s="477">
        <f t="shared" ref="D22:D32" si="4">D4*$D$17</f>
        <v>8506.7294682262655</v>
      </c>
      <c r="E22" s="477">
        <f t="shared" ref="E22:E32" si="5">E4*$E$17</f>
        <v>435.59998544430044</v>
      </c>
      <c r="F22" s="477">
        <f t="shared" ref="F22:F32" si="6">F4*$F$17</f>
        <v>3714.3814710312504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17616.314162715036</v>
      </c>
    </row>
    <row r="23" spans="1:17">
      <c r="A23" s="476" t="s">
        <v>156</v>
      </c>
      <c r="B23" s="477">
        <f t="shared" ca="1" si="2"/>
        <v>1492.0266041455836</v>
      </c>
      <c r="C23" s="477">
        <f t="shared" ca="1" si="3"/>
        <v>0</v>
      </c>
      <c r="D23" s="477">
        <f t="shared" ca="1" si="4"/>
        <v>1962.5431450185931</v>
      </c>
      <c r="E23" s="477">
        <f t="shared" si="5"/>
        <v>40.499751973863965</v>
      </c>
      <c r="F23" s="477">
        <f t="shared" ca="1" si="6"/>
        <v>523.80198033019803</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4018.8714814682389</v>
      </c>
    </row>
    <row r="24" spans="1:17">
      <c r="A24" s="476" t="s">
        <v>194</v>
      </c>
      <c r="B24" s="477">
        <f t="shared" ca="1" si="2"/>
        <v>178.96127455223984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178.96127455223984</v>
      </c>
    </row>
    <row r="25" spans="1:17">
      <c r="A25" s="476" t="s">
        <v>112</v>
      </c>
      <c r="B25" s="477">
        <f t="shared" ca="1" si="2"/>
        <v>188.89805865042433</v>
      </c>
      <c r="C25" s="477">
        <f t="shared" ca="1" si="3"/>
        <v>460.76641544117649</v>
      </c>
      <c r="D25" s="477">
        <f t="shared" si="4"/>
        <v>18.02125336604173</v>
      </c>
      <c r="E25" s="477">
        <f t="shared" si="5"/>
        <v>5.9538211866763904</v>
      </c>
      <c r="F25" s="477">
        <f t="shared" si="6"/>
        <v>122.33257582321444</v>
      </c>
      <c r="G25" s="477">
        <f t="shared" si="7"/>
        <v>0</v>
      </c>
      <c r="H25" s="477">
        <f t="shared" si="8"/>
        <v>0</v>
      </c>
      <c r="I25" s="477">
        <f t="shared" si="9"/>
        <v>0</v>
      </c>
      <c r="J25" s="477">
        <f t="shared" si="10"/>
        <v>51.83678323201034</v>
      </c>
      <c r="K25" s="477">
        <f t="shared" si="11"/>
        <v>0</v>
      </c>
      <c r="L25" s="477">
        <f t="shared" si="12"/>
        <v>0</v>
      </c>
      <c r="M25" s="477">
        <f t="shared" si="13"/>
        <v>0</v>
      </c>
      <c r="N25" s="477">
        <f t="shared" si="14"/>
        <v>0</v>
      </c>
      <c r="O25" s="477">
        <f t="shared" si="15"/>
        <v>0</v>
      </c>
      <c r="P25" s="478">
        <f t="shared" si="16"/>
        <v>0</v>
      </c>
      <c r="Q25" s="476">
        <f t="shared" ca="1" si="17"/>
        <v>847.80890769954374</v>
      </c>
    </row>
    <row r="26" spans="1:17">
      <c r="A26" s="476" t="s">
        <v>638</v>
      </c>
      <c r="B26" s="477">
        <f t="shared" ca="1" si="2"/>
        <v>1225.2649013553823</v>
      </c>
      <c r="C26" s="477">
        <f t="shared" ca="1" si="3"/>
        <v>0</v>
      </c>
      <c r="D26" s="477">
        <f t="shared" si="4"/>
        <v>1040.6169300230765</v>
      </c>
      <c r="E26" s="477">
        <f t="shared" si="5"/>
        <v>149.59501953403904</v>
      </c>
      <c r="F26" s="477">
        <f t="shared" si="6"/>
        <v>651.99126012007457</v>
      </c>
      <c r="G26" s="477">
        <f t="shared" si="7"/>
        <v>0</v>
      </c>
      <c r="H26" s="477">
        <f t="shared" si="8"/>
        <v>0</v>
      </c>
      <c r="I26" s="477">
        <f t="shared" si="9"/>
        <v>0</v>
      </c>
      <c r="J26" s="477">
        <f t="shared" si="10"/>
        <v>13.582636941591907</v>
      </c>
      <c r="K26" s="477">
        <f t="shared" si="11"/>
        <v>0</v>
      </c>
      <c r="L26" s="477">
        <f t="shared" si="12"/>
        <v>0</v>
      </c>
      <c r="M26" s="477">
        <f t="shared" si="13"/>
        <v>0</v>
      </c>
      <c r="N26" s="477">
        <f t="shared" si="14"/>
        <v>0</v>
      </c>
      <c r="O26" s="477">
        <f t="shared" si="15"/>
        <v>0</v>
      </c>
      <c r="P26" s="478">
        <f t="shared" si="16"/>
        <v>0</v>
      </c>
      <c r="Q26" s="476">
        <f t="shared" ca="1" si="17"/>
        <v>3081.0507479741641</v>
      </c>
    </row>
    <row r="27" spans="1:17" s="482" customFormat="1">
      <c r="A27" s="480" t="s">
        <v>564</v>
      </c>
      <c r="B27" s="780">
        <f t="shared" ca="1" si="2"/>
        <v>2.7590895500265193</v>
      </c>
      <c r="C27" s="481">
        <f t="shared" ca="1" si="3"/>
        <v>0</v>
      </c>
      <c r="D27" s="481">
        <f t="shared" si="4"/>
        <v>7.5145965690045919</v>
      </c>
      <c r="E27" s="481">
        <f t="shared" si="5"/>
        <v>32.047487995075222</v>
      </c>
      <c r="F27" s="481">
        <f t="shared" si="6"/>
        <v>0</v>
      </c>
      <c r="G27" s="481">
        <f t="shared" si="7"/>
        <v>13034.466430274992</v>
      </c>
      <c r="H27" s="481">
        <f t="shared" si="8"/>
        <v>2472.9700160487801</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15549.757620437878</v>
      </c>
    </row>
    <row r="28" spans="1:17">
      <c r="A28" s="476" t="s">
        <v>554</v>
      </c>
      <c r="B28" s="477">
        <f t="shared" ca="1" si="2"/>
        <v>0</v>
      </c>
      <c r="C28" s="477">
        <f t="shared" ca="1" si="3"/>
        <v>0</v>
      </c>
      <c r="D28" s="477">
        <f t="shared" si="4"/>
        <v>0</v>
      </c>
      <c r="E28" s="477">
        <f t="shared" si="5"/>
        <v>0</v>
      </c>
      <c r="F28" s="477">
        <f t="shared" si="6"/>
        <v>0</v>
      </c>
      <c r="G28" s="477">
        <f t="shared" si="7"/>
        <v>164.39782496487945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164.39782496487945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215.204248513778</v>
      </c>
      <c r="C32" s="477">
        <f t="shared" ca="1" si="3"/>
        <v>0</v>
      </c>
      <c r="D32" s="477">
        <f t="shared" si="4"/>
        <v>210.79752209920002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426.00177061297802</v>
      </c>
    </row>
    <row r="33" spans="1:17" s="486" customFormat="1">
      <c r="A33" s="1038" t="s">
        <v>558</v>
      </c>
      <c r="B33" s="978">
        <f ca="1">SUM(B22:B32)</f>
        <v>8262.7174147806563</v>
      </c>
      <c r="C33" s="978">
        <f t="shared" ref="C33:Q33" ca="1" si="18">SUM(C22:C32)</f>
        <v>460.76641544117649</v>
      </c>
      <c r="D33" s="978">
        <f t="shared" ca="1" si="18"/>
        <v>11746.22291530218</v>
      </c>
      <c r="E33" s="978">
        <f t="shared" si="18"/>
        <v>663.69606613395513</v>
      </c>
      <c r="F33" s="978">
        <f t="shared" ca="1" si="18"/>
        <v>5012.5072873047375</v>
      </c>
      <c r="G33" s="978">
        <f t="shared" si="18"/>
        <v>13198.864255239871</v>
      </c>
      <c r="H33" s="978">
        <f t="shared" si="18"/>
        <v>2472.9700160487801</v>
      </c>
      <c r="I33" s="978">
        <f t="shared" si="18"/>
        <v>0</v>
      </c>
      <c r="J33" s="978">
        <f t="shared" si="18"/>
        <v>65.419420173602248</v>
      </c>
      <c r="K33" s="978">
        <f t="shared" si="18"/>
        <v>0</v>
      </c>
      <c r="L33" s="978">
        <f t="shared" ca="1" si="18"/>
        <v>0</v>
      </c>
      <c r="M33" s="978">
        <f t="shared" si="18"/>
        <v>0</v>
      </c>
      <c r="N33" s="978">
        <f t="shared" ca="1" si="18"/>
        <v>0</v>
      </c>
      <c r="O33" s="978">
        <f t="shared" si="18"/>
        <v>0</v>
      </c>
      <c r="P33" s="978">
        <f t="shared" si="18"/>
        <v>0</v>
      </c>
      <c r="Q33" s="978">
        <f t="shared" ca="1" si="18"/>
        <v>41883.163790424958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3741.561611113108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3911.6249999999995</v>
      </c>
      <c r="C8" s="1055">
        <f>'SEAP template'!C76</f>
        <v>1303.875</v>
      </c>
      <c r="D8" s="1055">
        <f>'SEAP template'!D76</f>
        <v>0</v>
      </c>
      <c r="E8" s="1055">
        <f>'SEAP template'!E76</f>
        <v>0</v>
      </c>
      <c r="F8" s="1055">
        <f>'SEAP template'!F76</f>
        <v>1533.9705882352941</v>
      </c>
      <c r="G8" s="1055">
        <f>'SEAP template'!G76</f>
        <v>0</v>
      </c>
      <c r="H8" s="1055">
        <f>'SEAP template'!H76</f>
        <v>0</v>
      </c>
      <c r="I8" s="1055">
        <f>'SEAP template'!I76</f>
        <v>4601.911764705882</v>
      </c>
      <c r="J8" s="1055">
        <f>'SEAP template'!J76</f>
        <v>0</v>
      </c>
      <c r="K8" s="1055">
        <f>'SEAP template'!K76</f>
        <v>0</v>
      </c>
      <c r="L8" s="1055">
        <f>'SEAP template'!L76</f>
        <v>0</v>
      </c>
      <c r="M8" s="1055">
        <f>'SEAP template'!M76</f>
        <v>0</v>
      </c>
      <c r="N8" s="1055">
        <f>'SEAP template'!N76</f>
        <v>0</v>
      </c>
      <c r="O8" s="1055">
        <f>'SEAP template'!O76</f>
        <v>0</v>
      </c>
      <c r="P8" s="1056">
        <f>'SEAP template'!Q76</f>
        <v>409.57014705882358</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7653.1866111131076</v>
      </c>
      <c r="C10" s="1059">
        <f>SUM(C4:C9)</f>
        <v>1303.875</v>
      </c>
      <c r="D10" s="1059">
        <f t="shared" ref="D10:H10" si="0">SUM(D8:D9)</f>
        <v>0</v>
      </c>
      <c r="E10" s="1059">
        <f t="shared" si="0"/>
        <v>0</v>
      </c>
      <c r="F10" s="1059">
        <f t="shared" si="0"/>
        <v>1533.9705882352941</v>
      </c>
      <c r="G10" s="1059">
        <f t="shared" si="0"/>
        <v>0</v>
      </c>
      <c r="H10" s="1059">
        <f t="shared" si="0"/>
        <v>0</v>
      </c>
      <c r="I10" s="1059">
        <f>SUM(I8:I9)</f>
        <v>4601.911764705882</v>
      </c>
      <c r="J10" s="1059">
        <f>SUM(J8:J9)</f>
        <v>0</v>
      </c>
      <c r="K10" s="1059">
        <f t="shared" ref="K10:L10" si="1">SUM(K8:K9)</f>
        <v>0</v>
      </c>
      <c r="L10" s="1059">
        <f t="shared" si="1"/>
        <v>0</v>
      </c>
      <c r="M10" s="1059">
        <f>SUM(M8:M9)</f>
        <v>0</v>
      </c>
      <c r="N10" s="1059">
        <f>SUM(N8:N9)</f>
        <v>0</v>
      </c>
      <c r="O10" s="1059">
        <f>SUM(O8:O9)</f>
        <v>0</v>
      </c>
      <c r="P10" s="1059">
        <f>SUM(P8:P9)</f>
        <v>409.57014705882358</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0.18571382938881725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4400.5781250000009</v>
      </c>
      <c r="C17" s="1061">
        <f>'SEAP template'!C87</f>
        <v>1466.859375</v>
      </c>
      <c r="D17" s="1056">
        <f>'SEAP template'!D87</f>
        <v>0</v>
      </c>
      <c r="E17" s="1056">
        <f>'SEAP template'!E87</f>
        <v>0</v>
      </c>
      <c r="F17" s="1056">
        <f>'SEAP template'!F87</f>
        <v>1725.7169117647059</v>
      </c>
      <c r="G17" s="1056">
        <f>'SEAP template'!G87</f>
        <v>0</v>
      </c>
      <c r="H17" s="1056">
        <f>'SEAP template'!H87</f>
        <v>0</v>
      </c>
      <c r="I17" s="1056">
        <f>'SEAP template'!I87</f>
        <v>5177.150735294118</v>
      </c>
      <c r="J17" s="1056">
        <f>'SEAP template'!J87</f>
        <v>0</v>
      </c>
      <c r="K17" s="1056">
        <f>'SEAP template'!K87</f>
        <v>0</v>
      </c>
      <c r="L17" s="1056">
        <f>'SEAP template'!L87</f>
        <v>0</v>
      </c>
      <c r="M17" s="1056">
        <f>'SEAP template'!M87</f>
        <v>0</v>
      </c>
      <c r="N17" s="1056">
        <f>'SEAP template'!N87</f>
        <v>0</v>
      </c>
      <c r="O17" s="1056">
        <f>'SEAP template'!O87</f>
        <v>0</v>
      </c>
      <c r="P17" s="1056">
        <f>'SEAP template'!Q87</f>
        <v>460.76641544117649</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4400.5781250000009</v>
      </c>
      <c r="C20" s="1059">
        <f>SUM(C17:C19)</f>
        <v>1466.859375</v>
      </c>
      <c r="D20" s="1059">
        <f t="shared" ref="D20:H20" si="2">SUM(D17:D19)</f>
        <v>0</v>
      </c>
      <c r="E20" s="1059">
        <f t="shared" si="2"/>
        <v>0</v>
      </c>
      <c r="F20" s="1059">
        <f t="shared" si="2"/>
        <v>1725.7169117647059</v>
      </c>
      <c r="G20" s="1059">
        <f t="shared" si="2"/>
        <v>0</v>
      </c>
      <c r="H20" s="1059">
        <f t="shared" si="2"/>
        <v>0</v>
      </c>
      <c r="I20" s="1059">
        <f>SUM(I17:I19)</f>
        <v>5177.150735294118</v>
      </c>
      <c r="J20" s="1059">
        <f>SUM(J17:J19)</f>
        <v>0</v>
      </c>
      <c r="K20" s="1059">
        <f t="shared" ref="K20:L20" si="3">SUM(K17:K19)</f>
        <v>0</v>
      </c>
      <c r="L20" s="1059">
        <f t="shared" si="3"/>
        <v>0</v>
      </c>
      <c r="M20" s="1059">
        <f>SUM(M17:M19)</f>
        <v>0</v>
      </c>
      <c r="N20" s="1059">
        <f>SUM(N17:N19)</f>
        <v>0</v>
      </c>
      <c r="O20" s="1059">
        <f>SUM(O17:O19)</f>
        <v>0</v>
      </c>
      <c r="P20" s="1059">
        <f>SUM(P17:P19)</f>
        <v>460.76641544117649</v>
      </c>
    </row>
    <row r="22" spans="1:16">
      <c r="A22" s="487" t="s">
        <v>871</v>
      </c>
      <c r="B22" s="786" t="s">
        <v>865</v>
      </c>
      <c r="C22" s="786">
        <f ca="1">'EF ele_warmte'!B22</f>
        <v>7.8529411764705889E-2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0.18571382938881725</v>
      </c>
      <c r="C17" s="524">
        <f ca="1">'EF ele_warmte'!B22</f>
        <v>7.8529411764705889E-2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0.18571382938881725</v>
      </c>
      <c r="C17" s="524">
        <f ca="1">'EF ele_warmte'!B22</f>
        <v>7.8529411764705889E-2</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0.18571382938881725</v>
      </c>
      <c r="C29" s="525">
        <f ca="1">'EF ele_warmte'!B22</f>
        <v>7.8529411764705889E-2</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23060</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5763</v>
      </c>
      <c r="C9" s="342">
        <v>5749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960.85999999999899</v>
      </c>
    </row>
    <row r="15" spans="1:6">
      <c r="A15" s="348" t="s">
        <v>184</v>
      </c>
      <c r="B15" s="334">
        <v>13</v>
      </c>
    </row>
    <row r="16" spans="1:6">
      <c r="A16" s="348" t="s">
        <v>6</v>
      </c>
      <c r="B16" s="334">
        <v>258</v>
      </c>
    </row>
    <row r="17" spans="1:6">
      <c r="A17" s="348" t="s">
        <v>7</v>
      </c>
      <c r="B17" s="334">
        <v>273</v>
      </c>
    </row>
    <row r="18" spans="1:6">
      <c r="A18" s="348" t="s">
        <v>8</v>
      </c>
      <c r="B18" s="334">
        <v>333</v>
      </c>
    </row>
    <row r="19" spans="1:6">
      <c r="A19" s="348" t="s">
        <v>9</v>
      </c>
      <c r="B19" s="334">
        <v>320</v>
      </c>
    </row>
    <row r="20" spans="1:6">
      <c r="A20" s="348" t="s">
        <v>10</v>
      </c>
      <c r="B20" s="334">
        <v>269</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312</v>
      </c>
    </row>
    <row r="27" spans="1:6">
      <c r="A27" s="348" t="s">
        <v>17</v>
      </c>
      <c r="B27" s="334">
        <v>0</v>
      </c>
    </row>
    <row r="28" spans="1:6" s="356" customFormat="1">
      <c r="A28" s="355" t="s">
        <v>18</v>
      </c>
      <c r="B28" s="355">
        <v>0</v>
      </c>
    </row>
    <row r="29" spans="1:6">
      <c r="A29" s="355" t="s">
        <v>884</v>
      </c>
      <c r="B29" s="355">
        <v>28</v>
      </c>
      <c r="C29" s="356"/>
      <c r="D29" s="356"/>
      <c r="E29" s="356"/>
      <c r="F29" s="356"/>
    </row>
    <row r="30" spans="1:6">
      <c r="A30" s="355" t="s">
        <v>885</v>
      </c>
      <c r="B30" s="341">
        <v>24</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15590</v>
      </c>
    </row>
    <row r="39" spans="1:6">
      <c r="A39" s="348" t="s">
        <v>30</v>
      </c>
      <c r="B39" s="348" t="s">
        <v>31</v>
      </c>
      <c r="C39" s="334">
        <v>3206</v>
      </c>
      <c r="D39" s="334">
        <v>46687940.266000003</v>
      </c>
      <c r="E39" s="334">
        <v>5714</v>
      </c>
      <c r="F39" s="334">
        <v>23589775.782000002</v>
      </c>
    </row>
    <row r="40" spans="1:6">
      <c r="A40" s="348" t="s">
        <v>30</v>
      </c>
      <c r="B40" s="348" t="s">
        <v>29</v>
      </c>
      <c r="C40" s="334">
        <v>0</v>
      </c>
      <c r="D40" s="334">
        <v>0</v>
      </c>
      <c r="E40" s="334">
        <v>0</v>
      </c>
      <c r="F40" s="334">
        <v>0</v>
      </c>
    </row>
    <row r="41" spans="1:6">
      <c r="A41" s="348" t="s">
        <v>32</v>
      </c>
      <c r="B41" s="348" t="s">
        <v>33</v>
      </c>
      <c r="C41" s="334">
        <v>44</v>
      </c>
      <c r="D41" s="334">
        <v>697118.27034000005</v>
      </c>
      <c r="E41" s="334">
        <v>156</v>
      </c>
      <c r="F41" s="334">
        <v>1542049.4091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134600.1545</v>
      </c>
      <c r="E44" s="334">
        <v>5</v>
      </c>
      <c r="F44" s="334">
        <v>48856.920429999998</v>
      </c>
    </row>
    <row r="45" spans="1:6">
      <c r="A45" s="348" t="s">
        <v>32</v>
      </c>
      <c r="B45" s="348" t="s">
        <v>37</v>
      </c>
      <c r="C45" s="334">
        <v>0</v>
      </c>
      <c r="D45" s="334">
        <v>0</v>
      </c>
      <c r="E45" s="334">
        <v>3</v>
      </c>
      <c r="F45" s="334">
        <v>8350.8121766999993</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20</v>
      </c>
      <c r="D48" s="334">
        <v>4879555.3673</v>
      </c>
      <c r="E48" s="334">
        <v>28</v>
      </c>
      <c r="F48" s="334">
        <v>4731559.7257000003</v>
      </c>
    </row>
    <row r="49" spans="1:6">
      <c r="A49" s="348" t="s">
        <v>32</v>
      </c>
      <c r="B49" s="348" t="s">
        <v>40</v>
      </c>
      <c r="C49" s="334">
        <v>0</v>
      </c>
      <c r="D49" s="334">
        <v>0</v>
      </c>
      <c r="E49" s="334">
        <v>0</v>
      </c>
      <c r="F49" s="334">
        <v>0</v>
      </c>
    </row>
    <row r="50" spans="1:6">
      <c r="A50" s="348" t="s">
        <v>32</v>
      </c>
      <c r="B50" s="348" t="s">
        <v>41</v>
      </c>
      <c r="C50" s="334">
        <v>0</v>
      </c>
      <c r="D50" s="334">
        <v>0</v>
      </c>
      <c r="E50" s="334">
        <v>8</v>
      </c>
      <c r="F50" s="334">
        <v>266779.58185999998</v>
      </c>
    </row>
    <row r="51" spans="1:6">
      <c r="A51" s="348" t="s">
        <v>42</v>
      </c>
      <c r="B51" s="348" t="s">
        <v>43</v>
      </c>
      <c r="C51" s="334">
        <v>4</v>
      </c>
      <c r="D51" s="334">
        <v>52919.847172000002</v>
      </c>
      <c r="E51" s="334">
        <v>51</v>
      </c>
      <c r="F51" s="334">
        <v>877880.28191000002</v>
      </c>
    </row>
    <row r="52" spans="1:6">
      <c r="A52" s="348" t="s">
        <v>42</v>
      </c>
      <c r="B52" s="348" t="s">
        <v>29</v>
      </c>
      <c r="C52" s="334">
        <v>2</v>
      </c>
      <c r="D52" s="334">
        <v>45987.165659999999</v>
      </c>
      <c r="E52" s="334">
        <v>5</v>
      </c>
      <c r="F52" s="334">
        <v>139265.61009</v>
      </c>
    </row>
    <row r="53" spans="1:6">
      <c r="A53" s="348" t="s">
        <v>44</v>
      </c>
      <c r="B53" s="348" t="s">
        <v>45</v>
      </c>
      <c r="C53" s="334">
        <v>64</v>
      </c>
      <c r="D53" s="334">
        <v>1043552.0895999999</v>
      </c>
      <c r="E53" s="334">
        <v>192</v>
      </c>
      <c r="F53" s="334">
        <v>1158794.9546999999</v>
      </c>
    </row>
    <row r="54" spans="1:6">
      <c r="A54" s="348" t="s">
        <v>46</v>
      </c>
      <c r="B54" s="348" t="s">
        <v>47</v>
      </c>
      <c r="C54" s="334">
        <v>0</v>
      </c>
      <c r="D54" s="334">
        <v>0</v>
      </c>
      <c r="E54" s="334">
        <v>1</v>
      </c>
      <c r="F54" s="334">
        <v>963640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25</v>
      </c>
      <c r="D57" s="334">
        <v>589879.35840999999</v>
      </c>
      <c r="E57" s="334">
        <v>45</v>
      </c>
      <c r="F57" s="334">
        <v>536397.75412000006</v>
      </c>
    </row>
    <row r="58" spans="1:6">
      <c r="A58" s="348" t="s">
        <v>49</v>
      </c>
      <c r="B58" s="348" t="s">
        <v>51</v>
      </c>
      <c r="C58" s="334">
        <v>8</v>
      </c>
      <c r="D58" s="334">
        <v>161508.12312999999</v>
      </c>
      <c r="E58" s="334">
        <v>13</v>
      </c>
      <c r="F58" s="334">
        <v>93114.909790999998</v>
      </c>
    </row>
    <row r="59" spans="1:6">
      <c r="A59" s="348" t="s">
        <v>49</v>
      </c>
      <c r="B59" s="348" t="s">
        <v>52</v>
      </c>
      <c r="C59" s="334">
        <v>41</v>
      </c>
      <c r="D59" s="334">
        <v>1225608.8163999999</v>
      </c>
      <c r="E59" s="334">
        <v>136</v>
      </c>
      <c r="F59" s="334">
        <v>3146379.2318000002</v>
      </c>
    </row>
    <row r="60" spans="1:6">
      <c r="A60" s="348" t="s">
        <v>49</v>
      </c>
      <c r="B60" s="348" t="s">
        <v>53</v>
      </c>
      <c r="C60" s="334">
        <v>25</v>
      </c>
      <c r="D60" s="334">
        <v>1052982.0944999999</v>
      </c>
      <c r="E60" s="334">
        <v>31</v>
      </c>
      <c r="F60" s="334">
        <v>640375.38887999998</v>
      </c>
    </row>
    <row r="61" spans="1:6">
      <c r="A61" s="348" t="s">
        <v>49</v>
      </c>
      <c r="B61" s="348" t="s">
        <v>54</v>
      </c>
      <c r="C61" s="334">
        <v>78</v>
      </c>
      <c r="D61" s="334">
        <v>3811582.7496000002</v>
      </c>
      <c r="E61" s="334">
        <v>185</v>
      </c>
      <c r="F61" s="334">
        <v>1405699.9267</v>
      </c>
    </row>
    <row r="62" spans="1:6">
      <c r="A62" s="348" t="s">
        <v>49</v>
      </c>
      <c r="B62" s="348" t="s">
        <v>55</v>
      </c>
      <c r="C62" s="334">
        <v>3</v>
      </c>
      <c r="D62" s="334">
        <v>756933.50456999999</v>
      </c>
      <c r="E62" s="334">
        <v>3</v>
      </c>
      <c r="F62" s="334">
        <v>15858.520509</v>
      </c>
    </row>
    <row r="63" spans="1:6">
      <c r="A63" s="348" t="s">
        <v>49</v>
      </c>
      <c r="B63" s="348" t="s">
        <v>29</v>
      </c>
      <c r="C63" s="334">
        <v>71</v>
      </c>
      <c r="D63" s="334">
        <v>3172636.3111</v>
      </c>
      <c r="E63" s="334">
        <v>94</v>
      </c>
      <c r="F63" s="334">
        <v>2196183.4158000001</v>
      </c>
    </row>
    <row r="64" spans="1:6">
      <c r="A64" s="348" t="s">
        <v>56</v>
      </c>
      <c r="B64" s="348" t="s">
        <v>57</v>
      </c>
      <c r="C64" s="334">
        <v>0</v>
      </c>
      <c r="D64" s="334">
        <v>0</v>
      </c>
      <c r="E64" s="334">
        <v>0</v>
      </c>
      <c r="F64" s="334">
        <v>0</v>
      </c>
    </row>
    <row r="65" spans="1:6">
      <c r="A65" s="348" t="s">
        <v>56</v>
      </c>
      <c r="B65" s="348" t="s">
        <v>29</v>
      </c>
      <c r="C65" s="334">
        <v>2</v>
      </c>
      <c r="D65" s="334">
        <v>54114.955718999998</v>
      </c>
      <c r="E65" s="334">
        <v>2</v>
      </c>
      <c r="F65" s="334">
        <v>15384.42923</v>
      </c>
    </row>
    <row r="66" spans="1:6">
      <c r="A66" s="348" t="s">
        <v>56</v>
      </c>
      <c r="B66" s="348" t="s">
        <v>58</v>
      </c>
      <c r="C66" s="334">
        <v>0</v>
      </c>
      <c r="D66" s="334">
        <v>0</v>
      </c>
      <c r="E66" s="334">
        <v>3</v>
      </c>
      <c r="F66" s="334">
        <v>6825</v>
      </c>
    </row>
    <row r="67" spans="1:6">
      <c r="A67" s="355" t="s">
        <v>56</v>
      </c>
      <c r="B67" s="355" t="s">
        <v>59</v>
      </c>
      <c r="C67" s="334">
        <v>0</v>
      </c>
      <c r="D67" s="334">
        <v>0</v>
      </c>
      <c r="E67" s="334">
        <v>0</v>
      </c>
      <c r="F67" s="334">
        <v>0</v>
      </c>
    </row>
    <row r="68" spans="1:6">
      <c r="A68" s="341" t="s">
        <v>56</v>
      </c>
      <c r="B68" s="341" t="s">
        <v>60</v>
      </c>
      <c r="C68" s="334">
        <v>0</v>
      </c>
      <c r="D68" s="334">
        <v>0</v>
      </c>
      <c r="E68" s="334">
        <v>8</v>
      </c>
      <c r="F68" s="334">
        <v>20878.919106000001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41994896</v>
      </c>
      <c r="E73" s="475">
        <v>44588315.004418194</v>
      </c>
    </row>
    <row r="74" spans="1:6">
      <c r="A74" s="348" t="s">
        <v>64</v>
      </c>
      <c r="B74" s="348" t="s">
        <v>667</v>
      </c>
      <c r="C74" s="1294" t="s">
        <v>669</v>
      </c>
      <c r="D74" s="475">
        <v>4144502.9320156369</v>
      </c>
      <c r="E74" s="475">
        <v>4024074.577591043</v>
      </c>
    </row>
    <row r="75" spans="1:6">
      <c r="A75" s="348" t="s">
        <v>65</v>
      </c>
      <c r="B75" s="348" t="s">
        <v>666</v>
      </c>
      <c r="C75" s="1294" t="s">
        <v>670</v>
      </c>
      <c r="D75" s="475">
        <v>21404328</v>
      </c>
      <c r="E75" s="475">
        <v>22784238.097326703</v>
      </c>
    </row>
    <row r="76" spans="1:6">
      <c r="A76" s="348" t="s">
        <v>65</v>
      </c>
      <c r="B76" s="348" t="s">
        <v>667</v>
      </c>
      <c r="C76" s="1294" t="s">
        <v>671</v>
      </c>
      <c r="D76" s="475">
        <v>1539431.9320156367</v>
      </c>
      <c r="E76" s="475">
        <v>1497198.255861629</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170504.13596872645</v>
      </c>
      <c r="C83" s="475">
        <v>170504.13596872645</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3115.8457343686887</v>
      </c>
    </row>
    <row r="92" spans="1:6">
      <c r="A92" s="341" t="s">
        <v>69</v>
      </c>
      <c r="B92" s="342">
        <v>625.71587674441923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991</v>
      </c>
    </row>
    <row r="98" spans="1:6">
      <c r="A98" s="348" t="s">
        <v>72</v>
      </c>
      <c r="B98" s="334">
        <v>4</v>
      </c>
    </row>
    <row r="99" spans="1:6">
      <c r="A99" s="348" t="s">
        <v>73</v>
      </c>
      <c r="B99" s="334">
        <v>32</v>
      </c>
    </row>
    <row r="100" spans="1:6">
      <c r="A100" s="348" t="s">
        <v>74</v>
      </c>
      <c r="B100" s="334">
        <v>641</v>
      </c>
    </row>
    <row r="101" spans="1:6">
      <c r="A101" s="348" t="s">
        <v>75</v>
      </c>
      <c r="B101" s="334">
        <v>54</v>
      </c>
    </row>
    <row r="102" spans="1:6">
      <c r="A102" s="348" t="s">
        <v>76</v>
      </c>
      <c r="B102" s="334">
        <v>59</v>
      </c>
    </row>
    <row r="103" spans="1:6">
      <c r="A103" s="348" t="s">
        <v>77</v>
      </c>
      <c r="B103" s="334">
        <v>73</v>
      </c>
    </row>
    <row r="104" spans="1:6">
      <c r="A104" s="348" t="s">
        <v>78</v>
      </c>
      <c r="B104" s="334">
        <v>2565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26</v>
      </c>
      <c r="C123" s="334">
        <v>19</v>
      </c>
    </row>
    <row r="124" spans="1:6">
      <c r="A124" s="341" t="s">
        <v>89</v>
      </c>
      <c r="B124" s="334">
        <v>2</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90</v>
      </c>
    </row>
    <row r="130" spans="1:6">
      <c r="A130" s="348" t="s">
        <v>295</v>
      </c>
      <c r="B130" s="334">
        <v>1</v>
      </c>
    </row>
    <row r="131" spans="1:6">
      <c r="A131" s="348" t="s">
        <v>296</v>
      </c>
      <c r="B131" s="334">
        <v>1</v>
      </c>
    </row>
    <row r="132" spans="1:6">
      <c r="A132" s="341" t="s">
        <v>297</v>
      </c>
      <c r="B132" s="342">
        <v>30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44491.664632478882</v>
      </c>
      <c r="C3" s="43" t="s">
        <v>170</v>
      </c>
      <c r="D3" s="43"/>
      <c r="E3" s="154"/>
      <c r="F3" s="43"/>
      <c r="G3" s="43"/>
      <c r="H3" s="43"/>
      <c r="I3" s="43"/>
      <c r="J3" s="43"/>
      <c r="K3" s="96"/>
    </row>
    <row r="4" spans="1:11">
      <c r="A4" s="383" t="s">
        <v>171</v>
      </c>
      <c r="B4" s="49">
        <f>IF(ISERROR('SEAP template'!B78+'SEAP template'!C78),0,'SEAP template'!B78+'SEAP template'!C78)</f>
        <v>8957.0616111131076</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409.57014705882358</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0.18571382938881725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460.76641544117649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5867.4375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7.8529411764705889E-2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963.64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963.64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0.18571382938881725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178.96127455223984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23589.775782000001</v>
      </c>
      <c r="C5" s="17">
        <f>IF(ISERROR('Eigen informatie GS &amp; warmtenet'!B57),0,'Eigen informatie GS &amp; warmtenet'!B57)</f>
        <v>0</v>
      </c>
      <c r="D5" s="30">
        <f>(SUM(HH_hh_gas_kWh,HH_rest_gas_kWh)/1000)*0.902</f>
        <v>42112.522119932008</v>
      </c>
      <c r="E5" s="17">
        <f>B46*B57</f>
        <v>1918.9426671555086</v>
      </c>
      <c r="F5" s="17">
        <f>B51*B62</f>
        <v>13911.541090004683</v>
      </c>
      <c r="G5" s="18"/>
      <c r="H5" s="17"/>
      <c r="I5" s="17"/>
      <c r="J5" s="17">
        <f>B50*B61+C50*C61</f>
        <v>0</v>
      </c>
      <c r="K5" s="17"/>
      <c r="L5" s="17"/>
      <c r="M5" s="17"/>
      <c r="N5" s="17">
        <f>B48*B59+C48*C59</f>
        <v>9196.746326202343</v>
      </c>
      <c r="O5" s="17">
        <f>B69*B70*B71</f>
        <v>170.40333333333334</v>
      </c>
      <c r="P5" s="17">
        <f>B77*B78*B79/1000-B77*B78*B79/1000/B80</f>
        <v>1105.8666666666668</v>
      </c>
    </row>
    <row r="6" spans="1:16">
      <c r="A6" s="16" t="s">
        <v>624</v>
      </c>
      <c r="B6" s="788">
        <f>kWh_PV_kleiner_dan_10kW</f>
        <v>3115.8457343686887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26705.62151636869</v>
      </c>
      <c r="C8" s="21">
        <f>C5</f>
        <v>0</v>
      </c>
      <c r="D8" s="21">
        <f>D5</f>
        <v>42112.522119932008</v>
      </c>
      <c r="E8" s="21">
        <f>E5</f>
        <v>1918.9426671555086</v>
      </c>
      <c r="F8" s="21">
        <f>F5</f>
        <v>13911.541090004683</v>
      </c>
      <c r="G8" s="21"/>
      <c r="H8" s="21"/>
      <c r="I8" s="21"/>
      <c r="J8" s="21">
        <f>J5</f>
        <v>0</v>
      </c>
      <c r="K8" s="21"/>
      <c r="L8" s="21">
        <f>L5</f>
        <v>0</v>
      </c>
      <c r="M8" s="21">
        <f>M5</f>
        <v>0</v>
      </c>
      <c r="N8" s="21">
        <f>N5</f>
        <v>9196.746326202343</v>
      </c>
      <c r="O8" s="21">
        <f>O5</f>
        <v>170.40333333333334</v>
      </c>
      <c r="P8" s="21">
        <f>P5</f>
        <v>1105.8666666666668</v>
      </c>
    </row>
    <row r="9" spans="1:16">
      <c r="B9" s="19"/>
      <c r="C9" s="19"/>
      <c r="D9" s="258"/>
      <c r="E9" s="19"/>
      <c r="F9" s="19"/>
      <c r="G9" s="19"/>
      <c r="H9" s="19"/>
      <c r="I9" s="19"/>
      <c r="J9" s="19"/>
      <c r="K9" s="19"/>
      <c r="L9" s="19"/>
      <c r="M9" s="19"/>
      <c r="N9" s="19"/>
      <c r="O9" s="19"/>
      <c r="P9" s="19"/>
    </row>
    <row r="10" spans="1:16">
      <c r="A10" s="24" t="s">
        <v>214</v>
      </c>
      <c r="B10" s="25">
        <f ca="1">'EF ele_warmte'!B12</f>
        <v>0.18571382938881725</v>
      </c>
      <c r="C10" s="25">
        <f ca="1">'EF ele_warmte'!B22</f>
        <v>7.8529411764705889E-2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4959.6032380132219</v>
      </c>
      <c r="C12" s="23">
        <f ca="1">C10*C8</f>
        <v>0</v>
      </c>
      <c r="D12" s="23">
        <f>D8*D10</f>
        <v>8506.7294682262655</v>
      </c>
      <c r="E12" s="23">
        <f>E10*E8</f>
        <v>435.59998544430044</v>
      </c>
      <c r="F12" s="23">
        <f>F10*F8</f>
        <v>3714.3814710312504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991</v>
      </c>
      <c r="C18" s="166" t="s">
        <v>111</v>
      </c>
      <c r="D18" s="228"/>
      <c r="E18" s="15"/>
    </row>
    <row r="19" spans="1:7">
      <c r="A19" s="171" t="s">
        <v>72</v>
      </c>
      <c r="B19" s="37">
        <f>aantalw2001_ander</f>
        <v>4</v>
      </c>
      <c r="C19" s="166" t="s">
        <v>111</v>
      </c>
      <c r="D19" s="229"/>
      <c r="E19" s="15"/>
    </row>
    <row r="20" spans="1:7">
      <c r="A20" s="171" t="s">
        <v>73</v>
      </c>
      <c r="B20" s="37">
        <f>aantalw2001_propaan</f>
        <v>32</v>
      </c>
      <c r="C20" s="167">
        <f>IF(ISERROR(B20/SUM($B$20,$B$21,$B$22)*100),0,B20/SUM($B$20,$B$21,$B$22)*100)</f>
        <v>4.4016506189821181</v>
      </c>
      <c r="D20" s="229"/>
      <c r="E20" s="15"/>
    </row>
    <row r="21" spans="1:7">
      <c r="A21" s="171" t="s">
        <v>74</v>
      </c>
      <c r="B21" s="37">
        <f>aantalw2001_elektriciteit</f>
        <v>641</v>
      </c>
      <c r="C21" s="167">
        <f>IF(ISERROR(B21/SUM($B$20,$B$21,$B$22)*100),0,B21/SUM($B$20,$B$21,$B$22)*100)</f>
        <v>88.170563961485556</v>
      </c>
      <c r="D21" s="229"/>
      <c r="E21" s="15"/>
    </row>
    <row r="22" spans="1:7">
      <c r="A22" s="171" t="s">
        <v>75</v>
      </c>
      <c r="B22" s="37">
        <f>aantalw2001_hout</f>
        <v>54</v>
      </c>
      <c r="C22" s="167">
        <f>IF(ISERROR(B22/SUM($B$20,$B$21,$B$22)*100),0,B22/SUM($B$20,$B$21,$B$22)*100)</f>
        <v>7.4277854195323245</v>
      </c>
      <c r="D22" s="229"/>
      <c r="E22" s="15"/>
    </row>
    <row r="23" spans="1:7">
      <c r="A23" s="171" t="s">
        <v>76</v>
      </c>
      <c r="B23" s="37">
        <f>aantalw2001_niet_gespec</f>
        <v>59</v>
      </c>
      <c r="C23" s="166" t="s">
        <v>111</v>
      </c>
      <c r="D23" s="228"/>
      <c r="E23" s="15"/>
    </row>
    <row r="24" spans="1:7">
      <c r="A24" s="171" t="s">
        <v>77</v>
      </c>
      <c r="B24" s="37">
        <f>aantalw2001_steenkool</f>
        <v>73</v>
      </c>
      <c r="C24" s="166" t="s">
        <v>111</v>
      </c>
      <c r="D24" s="229"/>
      <c r="E24" s="15"/>
    </row>
    <row r="25" spans="1:7">
      <c r="A25" s="171" t="s">
        <v>78</v>
      </c>
      <c r="B25" s="37">
        <f>aantalw2001_stookolie</f>
        <v>2565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5763</v>
      </c>
      <c r="C28" s="36"/>
      <c r="D28" s="228"/>
    </row>
    <row r="29" spans="1:7" s="15" customFormat="1">
      <c r="A29" s="230" t="s">
        <v>699</v>
      </c>
      <c r="B29" s="37">
        <f>SUM(HH_hh_gas_aantal,HH_rest_gas_aantal)</f>
        <v>3206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3206</v>
      </c>
      <c r="C32" s="167">
        <f>IF(ISERROR(B32/SUM($B$32,$B$34,$B$35,$B$36,$B$38,$B$39)*100),0,B32/SUM($B$32,$B$34,$B$35,$B$36,$B$38,$B$39)*100)</f>
        <v>56.196319018404907</v>
      </c>
      <c r="D32" s="233"/>
      <c r="G32" s="15"/>
    </row>
    <row r="33" spans="1:7">
      <c r="A33" s="171" t="s">
        <v>72</v>
      </c>
      <c r="B33" s="34" t="s">
        <v>111</v>
      </c>
      <c r="C33" s="167"/>
      <c r="D33" s="233"/>
      <c r="G33" s="15"/>
    </row>
    <row r="34" spans="1:7">
      <c r="A34" s="171" t="s">
        <v>73</v>
      </c>
      <c r="B34" s="33">
        <f>IF((($B$28-$B$32-$B$39-$B$77-$B$38)*C20/100)&lt;0,0,($B$28-$B$32-$B$39-$B$77-$B$38)*C20/100)</f>
        <v>84.841815680880316</v>
      </c>
      <c r="C34" s="167">
        <f>IF(ISERROR(B34/SUM($B$32,$B$34,$B$35,$B$36,$B$38,$B$39)*100),0,B34/SUM($B$32,$B$34,$B$35,$B$36,$B$38,$B$39)*100)</f>
        <v>1.4871483905500493</v>
      </c>
      <c r="D34" s="233"/>
      <c r="G34" s="15"/>
    </row>
    <row r="35" spans="1:7">
      <c r="A35" s="171" t="s">
        <v>74</v>
      </c>
      <c r="B35" s="33">
        <f>IF((($B$28-$B$32-$B$39-$B$77-$B$38)*C21/100)&lt;0,0,($B$28-$B$32-$B$39-$B$77-$B$38)*C21/100)</f>
        <v>1699.4876203576341</v>
      </c>
      <c r="C35" s="167">
        <f>IF(ISERROR(B35/SUM($B$32,$B$34,$B$35,$B$36,$B$38,$B$39)*100),0,B35/SUM($B$32,$B$34,$B$35,$B$36,$B$38,$B$39)*100)</f>
        <v>29.789441198205679</v>
      </c>
      <c r="D35" s="233"/>
      <c r="G35" s="15"/>
    </row>
    <row r="36" spans="1:7">
      <c r="A36" s="171" t="s">
        <v>75</v>
      </c>
      <c r="B36" s="33">
        <f>IF((($B$28-$B$32-$B$39-$B$77-$B$38)*C22/100)&lt;0,0,($B$28-$B$32-$B$39-$B$77-$B$38)*C22/100)</f>
        <v>143.17056396148556</v>
      </c>
      <c r="C36" s="167">
        <f>IF(ISERROR(B36/SUM($B$32,$B$34,$B$35,$B$36,$B$38,$B$39)*100),0,B36/SUM($B$32,$B$34,$B$35,$B$36,$B$38,$B$39)*100)</f>
        <v>2.5095629090532086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571.5</v>
      </c>
      <c r="C39" s="167">
        <f>IF(ISERROR(B39/SUM($B$32,$B$34,$B$35,$B$36,$B$38,$B$39)*100),0,B39/SUM($B$32,$B$34,$B$35,$B$36,$B$38,$B$39)*100)</f>
        <v>10.017528483786151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3206</v>
      </c>
      <c r="C44" s="34" t="s">
        <v>111</v>
      </c>
      <c r="D44" s="174"/>
    </row>
    <row r="45" spans="1:7">
      <c r="A45" s="171" t="s">
        <v>72</v>
      </c>
      <c r="B45" s="33" t="str">
        <f t="shared" si="0"/>
        <v>-</v>
      </c>
      <c r="C45" s="34" t="s">
        <v>111</v>
      </c>
      <c r="D45" s="174"/>
    </row>
    <row r="46" spans="1:7">
      <c r="A46" s="171" t="s">
        <v>73</v>
      </c>
      <c r="B46" s="33">
        <f t="shared" si="0"/>
        <v>84.841815680880316</v>
      </c>
      <c r="C46" s="34" t="s">
        <v>111</v>
      </c>
      <c r="D46" s="174"/>
    </row>
    <row r="47" spans="1:7">
      <c r="A47" s="171" t="s">
        <v>74</v>
      </c>
      <c r="B47" s="33">
        <f t="shared" si="0"/>
        <v>1699.4876203576341</v>
      </c>
      <c r="C47" s="34" t="s">
        <v>111</v>
      </c>
      <c r="D47" s="174"/>
    </row>
    <row r="48" spans="1:7">
      <c r="A48" s="171" t="s">
        <v>75</v>
      </c>
      <c r="B48" s="33">
        <f t="shared" si="0"/>
        <v>143.17056396148556</v>
      </c>
      <c r="C48" s="33">
        <f>B48*10</f>
        <v>1431.7056396148555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571.5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58</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8034.0091476000007</v>
      </c>
      <c r="C5" s="17">
        <f>IF(ISERROR('Eigen informatie GS &amp; warmtenet'!B58),0,'Eigen informatie GS &amp; warmtenet'!B58)</f>
        <v>0</v>
      </c>
      <c r="D5" s="30">
        <f>SUM(D6:D12)</f>
        <v>9715.5601238544205</v>
      </c>
      <c r="E5" s="17">
        <f>SUM(E6:E12)</f>
        <v>178.41300429014962</v>
      </c>
      <c r="F5" s="17">
        <f>SUM(F6:F12)</f>
        <v>1961.8051697760227</v>
      </c>
      <c r="G5" s="18"/>
      <c r="H5" s="17"/>
      <c r="I5" s="17"/>
      <c r="J5" s="17">
        <f>SUM(J6:J12)</f>
        <v>0</v>
      </c>
      <c r="K5" s="17"/>
      <c r="L5" s="17"/>
      <c r="M5" s="17"/>
      <c r="N5" s="17">
        <f>SUM(N6:N12)</f>
        <v>622.93499758462781</v>
      </c>
      <c r="O5" s="17">
        <f>B38*B39*B40</f>
        <v>1.5633333333333335</v>
      </c>
      <c r="P5" s="17">
        <f>B46*B47*B48/1000-B46*B47*B48/1000/B49</f>
        <v>19.066666666666666</v>
      </c>
      <c r="R5" s="32"/>
    </row>
    <row r="6" spans="1:18">
      <c r="A6" s="32" t="s">
        <v>54</v>
      </c>
      <c r="B6" s="37">
        <f>B26</f>
        <v>1405.6999266999999</v>
      </c>
      <c r="C6" s="33"/>
      <c r="D6" s="37">
        <f>IF(ISERROR(TER_kantoor_gas_kWh/1000),0,TER_kantoor_gas_kWh/1000)*0.902</f>
        <v>3438.0476401392002</v>
      </c>
      <c r="E6" s="33">
        <f>$C$26*'E Balans VL '!I12/100/3.6*1000000</f>
        <v>18.402343611727893</v>
      </c>
      <c r="F6" s="33">
        <f>$C$26*('E Balans VL '!L12+'E Balans VL '!N12)/100/3.6*1000000</f>
        <v>358.43895534807325</v>
      </c>
      <c r="G6" s="34"/>
      <c r="H6" s="33"/>
      <c r="I6" s="33"/>
      <c r="J6" s="33">
        <f>$C$26*('E Balans VL '!D12+'E Balans VL '!E12)/100/3.6*1000000</f>
        <v>0</v>
      </c>
      <c r="K6" s="33"/>
      <c r="L6" s="33"/>
      <c r="M6" s="33"/>
      <c r="N6" s="33">
        <f>$C$26*'E Balans VL '!Y12/100/3.6*1000000</f>
        <v>1.4104335459099251</v>
      </c>
      <c r="O6" s="33"/>
      <c r="P6" s="33"/>
      <c r="R6" s="32"/>
    </row>
    <row r="7" spans="1:18">
      <c r="A7" s="32" t="s">
        <v>53</v>
      </c>
      <c r="B7" s="37">
        <f t="shared" ref="B7:B12" si="0">B27</f>
        <v>640.37538887999995</v>
      </c>
      <c r="C7" s="33"/>
      <c r="D7" s="37">
        <f>IF(ISERROR(TER_horeca_gas_kWh/1000),0,TER_horeca_gas_kWh/1000)*0.902</f>
        <v>949.78984923899998</v>
      </c>
      <c r="E7" s="33">
        <f>$C$27*'E Balans VL '!I9/100/3.6*1000000</f>
        <v>21.192530099108033</v>
      </c>
      <c r="F7" s="33">
        <f>$C$27*('E Balans VL '!L9+'E Balans VL '!N9)/100/3.6*1000000</f>
        <v>275.35896300263488</v>
      </c>
      <c r="G7" s="34"/>
      <c r="H7" s="33"/>
      <c r="I7" s="33"/>
      <c r="J7" s="33">
        <f>$C$27*('E Balans VL '!D9+'E Balans VL '!E9)/100/3.6*1000000</f>
        <v>0</v>
      </c>
      <c r="K7" s="33"/>
      <c r="L7" s="33"/>
      <c r="M7" s="33"/>
      <c r="N7" s="33">
        <f>$C$27*'E Balans VL '!Y9/100/3.6*1000000</f>
        <v>0.15414765537457273</v>
      </c>
      <c r="O7" s="33"/>
      <c r="P7" s="33"/>
      <c r="R7" s="32"/>
    </row>
    <row r="8" spans="1:18">
      <c r="A8" s="6" t="s">
        <v>52</v>
      </c>
      <c r="B8" s="37">
        <f t="shared" si="0"/>
        <v>3146.3792318000001</v>
      </c>
      <c r="C8" s="33"/>
      <c r="D8" s="37">
        <f>IF(ISERROR(TER_handel_gas_kWh/1000),0,TER_handel_gas_kWh/1000)*0.902</f>
        <v>1105.4991523927999</v>
      </c>
      <c r="E8" s="33">
        <f>$C$28*'E Balans VL '!I13/100/3.6*1000000</f>
        <v>99.304536079970589</v>
      </c>
      <c r="F8" s="33">
        <f>$C$28*('E Balans VL '!L13+'E Balans VL '!N13)/100/3.6*1000000</f>
        <v>617.06037165444809</v>
      </c>
      <c r="G8" s="34"/>
      <c r="H8" s="33"/>
      <c r="I8" s="33"/>
      <c r="J8" s="33">
        <f>$C$28*('E Balans VL '!D13+'E Balans VL '!E13)/100/3.6*1000000</f>
        <v>0</v>
      </c>
      <c r="K8" s="33"/>
      <c r="L8" s="33"/>
      <c r="M8" s="33"/>
      <c r="N8" s="33">
        <f>$C$28*'E Balans VL '!Y13/100/3.6*1000000</f>
        <v>3.7341412861179726</v>
      </c>
      <c r="O8" s="33"/>
      <c r="P8" s="33"/>
      <c r="R8" s="32"/>
    </row>
    <row r="9" spans="1:18">
      <c r="A9" s="32" t="s">
        <v>51</v>
      </c>
      <c r="B9" s="37">
        <f t="shared" si="0"/>
        <v>93.114909791000002</v>
      </c>
      <c r="C9" s="33"/>
      <c r="D9" s="37">
        <f>IF(ISERROR(TER_gezond_gas_kWh/1000),0,TER_gezond_gas_kWh/1000)*0.902</f>
        <v>145.68032706325999</v>
      </c>
      <c r="E9" s="33">
        <f>$C$29*'E Balans VL '!I10/100/3.6*1000000</f>
        <v>1.1921432469493122E-2</v>
      </c>
      <c r="F9" s="33">
        <f>$C$29*('E Balans VL '!L10+'E Balans VL '!N10)/100/3.6*1000000</f>
        <v>19.399738513000759</v>
      </c>
      <c r="G9" s="34"/>
      <c r="H9" s="33"/>
      <c r="I9" s="33"/>
      <c r="J9" s="33">
        <f>$C$29*('E Balans VL '!D10+'E Balans VL '!E10)/100/3.6*1000000</f>
        <v>0</v>
      </c>
      <c r="K9" s="33"/>
      <c r="L9" s="33"/>
      <c r="M9" s="33"/>
      <c r="N9" s="33">
        <f>$C$29*'E Balans VL '!Y10/100/3.6*1000000</f>
        <v>1.0936786273877219</v>
      </c>
      <c r="O9" s="33"/>
      <c r="P9" s="33"/>
      <c r="R9" s="32"/>
    </row>
    <row r="10" spans="1:18">
      <c r="A10" s="32" t="s">
        <v>50</v>
      </c>
      <c r="B10" s="37">
        <f t="shared" si="0"/>
        <v>536.39775412000006</v>
      </c>
      <c r="C10" s="33"/>
      <c r="D10" s="37">
        <f>IF(ISERROR(TER_ander_gas_kWh/1000),0,TER_ander_gas_kWh/1000)*0.902</f>
        <v>532.07118128581999</v>
      </c>
      <c r="E10" s="33">
        <f>$C$30*'E Balans VL '!I14/100/3.6*1000000</f>
        <v>0.80661607990327322</v>
      </c>
      <c r="F10" s="33">
        <f>$C$30*('E Balans VL '!L14+'E Balans VL '!N14)/100/3.6*1000000</f>
        <v>118.41933354426695</v>
      </c>
      <c r="G10" s="34"/>
      <c r="H10" s="33"/>
      <c r="I10" s="33"/>
      <c r="J10" s="33">
        <f>$C$30*('E Balans VL '!D14+'E Balans VL '!E14)/100/3.6*1000000</f>
        <v>0</v>
      </c>
      <c r="K10" s="33"/>
      <c r="L10" s="33"/>
      <c r="M10" s="33"/>
      <c r="N10" s="33">
        <f>$C$30*'E Balans VL '!Y14/100/3.6*1000000</f>
        <v>422.71752845437442</v>
      </c>
      <c r="O10" s="33"/>
      <c r="P10" s="33"/>
      <c r="R10" s="32"/>
    </row>
    <row r="11" spans="1:18">
      <c r="A11" s="32" t="s">
        <v>55</v>
      </c>
      <c r="B11" s="37">
        <f t="shared" si="0"/>
        <v>15.858520509</v>
      </c>
      <c r="C11" s="33"/>
      <c r="D11" s="37">
        <f>IF(ISERROR(TER_onderwijs_gas_kWh/1000),0,TER_onderwijs_gas_kWh/1000)*0.902</f>
        <v>682.75402112213999</v>
      </c>
      <c r="E11" s="33">
        <f>$C$31*'E Balans VL '!I11/100/3.6*1000000</f>
        <v>2.7928183555773985E-2</v>
      </c>
      <c r="F11" s="33">
        <f>$C$31*('E Balans VL '!L11+'E Balans VL '!N11)/100/3.6*1000000</f>
        <v>7.3221658784592982</v>
      </c>
      <c r="G11" s="34"/>
      <c r="H11" s="33"/>
      <c r="I11" s="33"/>
      <c r="J11" s="33">
        <f>$C$31*('E Balans VL '!D11+'E Balans VL '!E11)/100/3.6*1000000</f>
        <v>0</v>
      </c>
      <c r="K11" s="33"/>
      <c r="L11" s="33"/>
      <c r="M11" s="33"/>
      <c r="N11" s="33">
        <f>$C$31*'E Balans VL '!Y11/100/3.6*1000000</f>
        <v>2.9544643012237793E-2</v>
      </c>
      <c r="O11" s="33"/>
      <c r="P11" s="33"/>
      <c r="R11" s="32"/>
    </row>
    <row r="12" spans="1:18">
      <c r="A12" s="32" t="s">
        <v>260</v>
      </c>
      <c r="B12" s="37">
        <f t="shared" si="0"/>
        <v>2196.1834158000001</v>
      </c>
      <c r="C12" s="33"/>
      <c r="D12" s="37">
        <f>IF(ISERROR(TER_rest_gas_kWh/1000),0,TER_rest_gas_kWh/1000)*0.902</f>
        <v>2861.7179526122</v>
      </c>
      <c r="E12" s="33">
        <f>$C$32*'E Balans VL '!I8/100/3.6*1000000</f>
        <v>38.667128803414514</v>
      </c>
      <c r="F12" s="33">
        <f>$C$32*('E Balans VL '!L8+'E Balans VL '!N8)/100/3.6*1000000</f>
        <v>565.80564183513934</v>
      </c>
      <c r="G12" s="34"/>
      <c r="H12" s="33"/>
      <c r="I12" s="33"/>
      <c r="J12" s="33">
        <f>$C$32*('E Balans VL '!D8+'E Balans VL '!E8)/100/3.6*1000000</f>
        <v>0</v>
      </c>
      <c r="K12" s="33"/>
      <c r="L12" s="33"/>
      <c r="M12" s="33"/>
      <c r="N12" s="33">
        <f>$C$32*'E Balans VL '!Y8/100/3.6*1000000</f>
        <v>193.79552337245093</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8034.0091476000007</v>
      </c>
      <c r="C16" s="21">
        <f t="shared" ca="1" si="1"/>
        <v>0</v>
      </c>
      <c r="D16" s="21">
        <f t="shared" ca="1" si="1"/>
        <v>9715.5601238544205</v>
      </c>
      <c r="E16" s="21">
        <f t="shared" si="1"/>
        <v>178.41300429014962</v>
      </c>
      <c r="F16" s="21">
        <f t="shared" ca="1" si="1"/>
        <v>1961.8051697760227</v>
      </c>
      <c r="G16" s="21">
        <f t="shared" si="1"/>
        <v>0</v>
      </c>
      <c r="H16" s="21">
        <f t="shared" si="1"/>
        <v>0</v>
      </c>
      <c r="I16" s="21">
        <f t="shared" si="1"/>
        <v>0</v>
      </c>
      <c r="J16" s="21">
        <f t="shared" si="1"/>
        <v>0</v>
      </c>
      <c r="K16" s="21">
        <f t="shared" si="1"/>
        <v>0</v>
      </c>
      <c r="L16" s="21">
        <f t="shared" ca="1" si="1"/>
        <v>0</v>
      </c>
      <c r="M16" s="21">
        <f t="shared" si="1"/>
        <v>0</v>
      </c>
      <c r="N16" s="21">
        <f t="shared" ca="1" si="1"/>
        <v>622.93499758462781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0.18571382938881725</v>
      </c>
      <c r="C18" s="25">
        <f ca="1">'EF ele_warmte'!B22</f>
        <v>7.8529411764705889E-2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1492.0266041455836</v>
      </c>
      <c r="C20" s="23">
        <f t="shared" ref="C20:P20" ca="1" si="2">C16*C18</f>
        <v>0</v>
      </c>
      <c r="D20" s="23">
        <f t="shared" ca="1" si="2"/>
        <v>1962.5431450185931</v>
      </c>
      <c r="E20" s="23">
        <f t="shared" si="2"/>
        <v>40.499751973863965</v>
      </c>
      <c r="F20" s="23">
        <f t="shared" ca="1" si="2"/>
        <v>523.80198033019803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1405.6999266999999</v>
      </c>
      <c r="C26" s="39">
        <f>IF(ISERROR(B26*3.6/1000000/'E Balans VL '!Z12*100),0,B26*3.6/1000000/'E Balans VL '!Z12*100)</f>
        <v>3.0111184475663303E-2</v>
      </c>
      <c r="D26" s="237" t="s">
        <v>660</v>
      </c>
      <c r="F26" s="6"/>
    </row>
    <row r="27" spans="1:18">
      <c r="A27" s="231" t="s">
        <v>53</v>
      </c>
      <c r="B27" s="33">
        <f>IF(ISERROR(TER_horeca_ele_kWh/1000),0,TER_horeca_ele_kWh/1000)</f>
        <v>640.37538887999995</v>
      </c>
      <c r="C27" s="39">
        <f>IF(ISERROR(B27*3.6/1000000/'E Balans VL '!Z9*100),0,B27*3.6/1000000/'E Balans VL '!Z9*100)</f>
        <v>5.1387899035488606E-2</v>
      </c>
      <c r="D27" s="237" t="s">
        <v>660</v>
      </c>
      <c r="F27" s="6"/>
    </row>
    <row r="28" spans="1:18">
      <c r="A28" s="171" t="s">
        <v>52</v>
      </c>
      <c r="B28" s="33">
        <f>IF(ISERROR(TER_handel_ele_kWh/1000),0,TER_handel_ele_kWh/1000)</f>
        <v>3146.3792318000001</v>
      </c>
      <c r="C28" s="39">
        <f>IF(ISERROR(B28*3.6/1000000/'E Balans VL '!Z13*100),0,B28*3.6/1000000/'E Balans VL '!Z13*100)</f>
        <v>9.2800140426659211E-2</v>
      </c>
      <c r="D28" s="237" t="s">
        <v>660</v>
      </c>
      <c r="F28" s="6"/>
    </row>
    <row r="29" spans="1:18">
      <c r="A29" s="231" t="s">
        <v>51</v>
      </c>
      <c r="B29" s="33">
        <f>IF(ISERROR(TER_gezond_ele_kWh/1000),0,TER_gezond_ele_kWh/1000)</f>
        <v>93.114909791000002</v>
      </c>
      <c r="C29" s="39">
        <f>IF(ISERROR(B29*3.6/1000000/'E Balans VL '!Z10*100),0,B29*3.6/1000000/'E Balans VL '!Z10*100)</f>
        <v>9.9421758613291618E-3</v>
      </c>
      <c r="D29" s="237" t="s">
        <v>660</v>
      </c>
      <c r="F29" s="6"/>
    </row>
    <row r="30" spans="1:18">
      <c r="A30" s="231" t="s">
        <v>50</v>
      </c>
      <c r="B30" s="33">
        <f>IF(ISERROR(TER_ander_ele_kWh/1000),0,TER_ander_ele_kWh/1000)</f>
        <v>536.39775412000006</v>
      </c>
      <c r="C30" s="39">
        <f>IF(ISERROR(B30*3.6/1000000/'E Balans VL '!Z14*100),0,B30*3.6/1000000/'E Balans VL '!Z14*100)</f>
        <v>4.0516228717700921E-2</v>
      </c>
      <c r="D30" s="237" t="s">
        <v>660</v>
      </c>
      <c r="F30" s="6"/>
    </row>
    <row r="31" spans="1:18">
      <c r="A31" s="231" t="s">
        <v>55</v>
      </c>
      <c r="B31" s="33">
        <f>IF(ISERROR(TER_onderwijs_ele_kWh/1000),0,TER_onderwijs_ele_kWh/1000)</f>
        <v>15.858520509</v>
      </c>
      <c r="C31" s="39">
        <f>IF(ISERROR(B31*3.6/1000000/'E Balans VL '!Z11*100),0,B31*3.6/1000000/'E Balans VL '!Z11*100)</f>
        <v>3.202364689079939E-3</v>
      </c>
      <c r="D31" s="237" t="s">
        <v>660</v>
      </c>
    </row>
    <row r="32" spans="1:18">
      <c r="A32" s="231" t="s">
        <v>260</v>
      </c>
      <c r="B32" s="33">
        <f>IF(ISERROR(TER_rest_ele_kWh/1000),0,TER_rest_ele_kWh/1000)</f>
        <v>2196.1834158000001</v>
      </c>
      <c r="C32" s="39">
        <f>IF(ISERROR(B32*3.6/1000000/'E Balans VL '!Z8*100),0,B32*3.6/1000000/'E Balans VL '!Z8*100)</f>
        <v>1.8209418680326547E-2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6597.5964492666999</v>
      </c>
      <c r="C5" s="17">
        <f>IF(ISERROR('Eigen informatie GS &amp; warmtenet'!B59),0,'Eigen informatie GS &amp; warmtenet'!B59)</f>
        <v>0</v>
      </c>
      <c r="D5" s="30">
        <f>SUM(D6:D15)</f>
        <v>5151.5689605102798</v>
      </c>
      <c r="E5" s="17">
        <f>SUM(E6:E15)</f>
        <v>659.00889662572263</v>
      </c>
      <c r="F5" s="17">
        <f>SUM(F6:F15)</f>
        <v>2441.9148319103915</v>
      </c>
      <c r="G5" s="18"/>
      <c r="H5" s="17"/>
      <c r="I5" s="17"/>
      <c r="J5" s="17">
        <f>SUM(J6:J15)</f>
        <v>38.36903090845172</v>
      </c>
      <c r="K5" s="17"/>
      <c r="L5" s="17"/>
      <c r="M5" s="17"/>
      <c r="N5" s="17">
        <f>SUM(N6:N15)</f>
        <v>1537.5331742575149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48.856920429999995</v>
      </c>
      <c r="C8" s="33"/>
      <c r="D8" s="37">
        <f>IF( ISERROR(IND_metaal_Gas_kWH/1000),0,IND_metaal_Gas_kWH/1000)*0.902</f>
        <v>121.409339359</v>
      </c>
      <c r="E8" s="33">
        <f>C30*'E Balans VL '!I18/100/3.6*1000000</f>
        <v>1.7580197992749171</v>
      </c>
      <c r="F8" s="33">
        <f>C30*'E Balans VL '!L18/100/3.6*1000000+C30*'E Balans VL '!N18/100/3.6*1000000</f>
        <v>21.334233380818372</v>
      </c>
      <c r="G8" s="34"/>
      <c r="H8" s="33"/>
      <c r="I8" s="33"/>
      <c r="J8" s="40">
        <f>C30*'E Balans VL '!D18/100/3.6*1000000+C30*'E Balans VL '!E18/100/3.6*1000000</f>
        <v>0</v>
      </c>
      <c r="K8" s="33"/>
      <c r="L8" s="33"/>
      <c r="M8" s="33"/>
      <c r="N8" s="33">
        <f>C30*'E Balans VL '!Y18/100/3.6*1000000</f>
        <v>2.4486756501561184</v>
      </c>
      <c r="O8" s="33"/>
      <c r="P8" s="33"/>
      <c r="R8" s="32"/>
    </row>
    <row r="9" spans="1:18">
      <c r="A9" s="6" t="s">
        <v>33</v>
      </c>
      <c r="B9" s="37">
        <f t="shared" si="0"/>
        <v>1542.0494091</v>
      </c>
      <c r="C9" s="33"/>
      <c r="D9" s="37">
        <f>IF( ISERROR(IND_andere_gas_kWh/1000),0,IND_andere_gas_kWh/1000)*0.902</f>
        <v>628.80067984668005</v>
      </c>
      <c r="E9" s="33">
        <f>C31*'E Balans VL '!I19/100/3.6*1000000</f>
        <v>393.49611935721089</v>
      </c>
      <c r="F9" s="33">
        <f>C31*'E Balans VL '!L19/100/3.6*1000000+C31*'E Balans VL '!N19/100/3.6*1000000</f>
        <v>1327.5886362955152</v>
      </c>
      <c r="G9" s="34"/>
      <c r="H9" s="33"/>
      <c r="I9" s="33"/>
      <c r="J9" s="40">
        <f>C31*'E Balans VL '!D19/100/3.6*1000000+C31*'E Balans VL '!E19/100/3.6*1000000</f>
        <v>0</v>
      </c>
      <c r="K9" s="33"/>
      <c r="L9" s="33"/>
      <c r="M9" s="33"/>
      <c r="N9" s="33">
        <f>C31*'E Balans VL '!Y19/100/3.6*1000000</f>
        <v>482.25165990245358</v>
      </c>
      <c r="O9" s="33"/>
      <c r="P9" s="33"/>
      <c r="R9" s="32"/>
    </row>
    <row r="10" spans="1:18">
      <c r="A10" s="6" t="s">
        <v>41</v>
      </c>
      <c r="B10" s="37">
        <f t="shared" si="0"/>
        <v>266.77958185999995</v>
      </c>
      <c r="C10" s="33"/>
      <c r="D10" s="37">
        <f>IF( ISERROR(IND_voed_gas_kWh/1000),0,IND_voed_gas_kWh/1000)*0.902</f>
        <v>0</v>
      </c>
      <c r="E10" s="33">
        <f>C32*'E Balans VL '!I20/100/3.6*1000000</f>
        <v>6.7819032892662658</v>
      </c>
      <c r="F10" s="33">
        <f>C32*'E Balans VL '!L20/100/3.6*1000000+C32*'E Balans VL '!N20/100/3.6*1000000</f>
        <v>60.368214668028138</v>
      </c>
      <c r="G10" s="34"/>
      <c r="H10" s="33"/>
      <c r="I10" s="33"/>
      <c r="J10" s="40">
        <f>C32*'E Balans VL '!D20/100/3.6*1000000+C32*'E Balans VL '!E20/100/3.6*1000000</f>
        <v>0</v>
      </c>
      <c r="K10" s="33"/>
      <c r="L10" s="33"/>
      <c r="M10" s="33"/>
      <c r="N10" s="33">
        <f>C32*'E Balans VL '!Y20/100/3.6*1000000</f>
        <v>100.04957454250156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8.3508121766999999</v>
      </c>
      <c r="C12" s="33"/>
      <c r="D12" s="37">
        <f>IF( ISERROR(IND_min_gas_kWh/1000),0,IND_min_gas_kWh/1000)*0.902</f>
        <v>0</v>
      </c>
      <c r="E12" s="33">
        <f>C34*'E Balans VL '!I22/100/3.6*1000000</f>
        <v>0.17743382976388469</v>
      </c>
      <c r="F12" s="33">
        <f>C34*'E Balans VL '!L22/100/3.6*1000000+C34*'E Balans VL '!N22/100/3.6*1000000</f>
        <v>1.3625061730734949</v>
      </c>
      <c r="G12" s="34"/>
      <c r="H12" s="33"/>
      <c r="I12" s="33"/>
      <c r="J12" s="40">
        <f>C34*'E Balans VL '!D22/100/3.6*1000000+C34*'E Balans VL '!E22/100/3.6*1000000</f>
        <v>9.7294754879230332E-3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4731.5597256999999</v>
      </c>
      <c r="C15" s="33"/>
      <c r="D15" s="37">
        <f>IF( ISERROR(IND_rest_gas_kWh/1000),0,IND_rest_gas_kWh/1000)*0.902</f>
        <v>4401.3589413046002</v>
      </c>
      <c r="E15" s="33">
        <f>C37*'E Balans VL '!I15/100/3.6*1000000</f>
        <v>256.79542035020671</v>
      </c>
      <c r="F15" s="33">
        <f>C37*'E Balans VL '!L15/100/3.6*1000000+C37*'E Balans VL '!N15/100/3.6*1000000</f>
        <v>1031.261241392956</v>
      </c>
      <c r="G15" s="34"/>
      <c r="H15" s="33"/>
      <c r="I15" s="33"/>
      <c r="J15" s="40">
        <f>C37*'E Balans VL '!D15/100/3.6*1000000+C37*'E Balans VL '!E15/100/3.6*1000000</f>
        <v>38.359301432963797</v>
      </c>
      <c r="K15" s="33"/>
      <c r="L15" s="33"/>
      <c r="M15" s="33"/>
      <c r="N15" s="33">
        <f>C37*'E Balans VL '!Y15/100/3.6*1000000</f>
        <v>952.7832641624035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6597.5964492666999</v>
      </c>
      <c r="C18" s="21">
        <f>C5+C16</f>
        <v>0</v>
      </c>
      <c r="D18" s="21">
        <f>MAX((D5+D16),0)</f>
        <v>5151.5689605102798</v>
      </c>
      <c r="E18" s="21">
        <f>MAX((E5+E16),0)</f>
        <v>659.00889662572263</v>
      </c>
      <c r="F18" s="21">
        <f>MAX((F5+F16),0)</f>
        <v>2441.9148319103915</v>
      </c>
      <c r="G18" s="21"/>
      <c r="H18" s="21"/>
      <c r="I18" s="21"/>
      <c r="J18" s="21">
        <f>MAX((J5+J16),0)</f>
        <v>38.36903090845172</v>
      </c>
      <c r="K18" s="21"/>
      <c r="L18" s="21">
        <f>MAX((L5+L16),0)</f>
        <v>0</v>
      </c>
      <c r="M18" s="21"/>
      <c r="N18" s="21">
        <f>MAX((N5+N16),0)</f>
        <v>1537.5331742575149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0.18571382938881725</v>
      </c>
      <c r="C20" s="25">
        <f ca="1">'EF ele_warmte'!B22</f>
        <v>7.8529411764705889E-2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1225.2649013553823</v>
      </c>
      <c r="C22" s="23">
        <f ca="1">C18*C20</f>
        <v>0</v>
      </c>
      <c r="D22" s="23">
        <f>D18*D20</f>
        <v>1040.6169300230765</v>
      </c>
      <c r="E22" s="23">
        <f>E18*E20</f>
        <v>149.59501953403904</v>
      </c>
      <c r="F22" s="23">
        <f>F18*F20</f>
        <v>651.99126012007457</v>
      </c>
      <c r="G22" s="23"/>
      <c r="H22" s="23"/>
      <c r="I22" s="23"/>
      <c r="J22" s="23">
        <f>J18*J20</f>
        <v>13.582636941591907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48.856920429999995</v>
      </c>
      <c r="C30" s="39">
        <f>IF(ISERROR(B30*3.6/1000000/'E Balans VL '!Z18*100),0,B30*3.6/1000000/'E Balans VL '!Z18*100)</f>
        <v>1.0351733974349481E-2</v>
      </c>
      <c r="D30" s="237" t="s">
        <v>660</v>
      </c>
    </row>
    <row r="31" spans="1:18">
      <c r="A31" s="6" t="s">
        <v>33</v>
      </c>
      <c r="B31" s="37">
        <f>IF( ISERROR(IND_ander_ele_kWh/1000),0,IND_ander_ele_kWh/1000)</f>
        <v>1542.0494091</v>
      </c>
      <c r="C31" s="39">
        <f>IF(ISERROR(B31*3.6/1000000/'E Balans VL '!Z19*100),0,B31*3.6/1000000/'E Balans VL '!Z19*100)</f>
        <v>6.490836110685054E-2</v>
      </c>
      <c r="D31" s="237" t="s">
        <v>660</v>
      </c>
    </row>
    <row r="32" spans="1:18">
      <c r="A32" s="171" t="s">
        <v>41</v>
      </c>
      <c r="B32" s="37">
        <f>IF( ISERROR(IND_voed_ele_kWh/1000),0,IND_voed_ele_kWh/1000)</f>
        <v>266.77958185999995</v>
      </c>
      <c r="C32" s="39">
        <f>IF(ISERROR(B32*3.6/1000000/'E Balans VL '!Z20*100),0,B32*3.6/1000000/'E Balans VL '!Z20*100)</f>
        <v>4.4568547553086001E-2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8.3508121766999999</v>
      </c>
      <c r="C34" s="39">
        <f>IF(ISERROR(B34*3.6/1000000/'E Balans VL '!Z22*100),0,B34*3.6/1000000/'E Balans VL '!Z22*100)</f>
        <v>1.0585104791937824E-3</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4731.5597256999999</v>
      </c>
      <c r="C37" s="39">
        <f>IF(ISERROR(B37*3.6/1000000/'E Balans VL '!Z15*100),0,B37*3.6/1000000/'E Balans VL '!Z15*100)</f>
        <v>3.8199713809475906E-2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1017.145892</v>
      </c>
      <c r="C5" s="17">
        <f>'Eigen informatie GS &amp; warmtenet'!B60</f>
        <v>0</v>
      </c>
      <c r="D5" s="30">
        <f>IF(ISERROR(SUM(LB_lb_gas_kWh,LB_rest_gas_kWh)/1000),0,SUM(LB_lb_gas_kWh,LB_rest_gas_kWh)/1000)*0.902</f>
        <v>89.214125574464006</v>
      </c>
      <c r="E5" s="17">
        <f>B17*'E Balans VL '!I25/3.6*1000000/100</f>
        <v>26.228287165975289</v>
      </c>
      <c r="F5" s="17">
        <f>B17*('E Balans VL '!L25/3.6*1000000+'E Balans VL '!N25/3.6*1000000)/100</f>
        <v>3717.8619412854473</v>
      </c>
      <c r="G5" s="18"/>
      <c r="H5" s="17"/>
      <c r="I5" s="17"/>
      <c r="J5" s="17">
        <f>('E Balans VL '!D25+'E Balans VL '!E25)/3.6*1000000*landbouw!B17/100</f>
        <v>146.43159105087668</v>
      </c>
      <c r="K5" s="17"/>
      <c r="L5" s="17">
        <f>L6*(-1)</f>
        <v>9779.0625</v>
      </c>
      <c r="M5" s="17"/>
      <c r="N5" s="17">
        <f>N6*(-1)</f>
        <v>0</v>
      </c>
      <c r="O5" s="17"/>
      <c r="P5" s="17"/>
      <c r="R5" s="32"/>
    </row>
    <row r="6" spans="1:18">
      <c r="A6" s="16" t="s">
        <v>491</v>
      </c>
      <c r="B6" s="17" t="s">
        <v>211</v>
      </c>
      <c r="C6" s="17">
        <f>'lokale energieproductie'!O92+'lokale energieproductie'!O61</f>
        <v>5867.4375</v>
      </c>
      <c r="D6" s="310">
        <f>('lokale energieproductie'!P61+'lokale energieproductie'!P92)*(-1)</f>
        <v>0</v>
      </c>
      <c r="E6" s="248"/>
      <c r="F6" s="310">
        <f>('lokale energieproductie'!S61+'lokale energieproductie'!S92)*(-1)</f>
        <v>-3259.6875</v>
      </c>
      <c r="G6" s="249"/>
      <c r="H6" s="248"/>
      <c r="I6" s="248"/>
      <c r="J6" s="248"/>
      <c r="K6" s="248"/>
      <c r="L6" s="310">
        <f>('lokale energieproductie'!T61+'lokale energieproductie'!U61+'lokale energieproductie'!T92+'lokale energieproductie'!U92)*(-1)</f>
        <v>-9779.0625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1017.145892</v>
      </c>
      <c r="C8" s="21">
        <f>C5+C6</f>
        <v>5867.4375</v>
      </c>
      <c r="D8" s="21">
        <f>MAX((D5+D6),0)</f>
        <v>89.214125574464006</v>
      </c>
      <c r="E8" s="21">
        <f>MAX((E5+E6),0)</f>
        <v>26.228287165975289</v>
      </c>
      <c r="F8" s="21">
        <f>MAX((F5+F6),0)</f>
        <v>458.1744412854473</v>
      </c>
      <c r="G8" s="21"/>
      <c r="H8" s="21"/>
      <c r="I8" s="21"/>
      <c r="J8" s="21">
        <f>MAX((J5+J6),0)</f>
        <v>146.43159105087668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0.18571382938881725</v>
      </c>
      <c r="C10" s="31">
        <f ca="1">'EF ele_warmte'!B22</f>
        <v>7.8529411764705889E-2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188.89805865042433</v>
      </c>
      <c r="C12" s="23">
        <f ca="1">C8*C10</f>
        <v>460.76641544117649</v>
      </c>
      <c r="D12" s="23">
        <f>D8*D10</f>
        <v>18.02125336604173</v>
      </c>
      <c r="E12" s="23">
        <f>E8*E10</f>
        <v>5.9538211866763904</v>
      </c>
      <c r="F12" s="23">
        <f>F8*F10</f>
        <v>122.33257582321444</v>
      </c>
      <c r="G12" s="23"/>
      <c r="H12" s="23"/>
      <c r="I12" s="23"/>
      <c r="J12" s="23">
        <f>J8*J10</f>
        <v>51.83678323201034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0.14342430819531624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106.30892212032126</v>
      </c>
      <c r="C26" s="247">
        <f>B26*'GWP N2O_CH4'!B5</f>
        <v>2232.4873645267462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13.513614263390391</v>
      </c>
      <c r="C27" s="247">
        <f>B27*'GWP N2O_CH4'!B5</f>
        <v>283.7858995311982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1.3275326027347796</v>
      </c>
      <c r="C28" s="247">
        <f>B28*'GWP N2O_CH4'!B4</f>
        <v>411.53510684778166</v>
      </c>
      <c r="D28" s="50"/>
    </row>
    <row r="29" spans="1:4">
      <c r="A29" s="41" t="s">
        <v>277</v>
      </c>
      <c r="B29" s="247">
        <f>B34*'ha_N2O bodem landbouw'!B4</f>
        <v>6.3388708805636336</v>
      </c>
      <c r="C29" s="247">
        <f>B29*'GWP N2O_CH4'!B4</f>
        <v>1965.0499729747264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1.4265904123907244E-3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5.3484021156550278E-5</v>
      </c>
      <c r="C5" s="463" t="s">
        <v>211</v>
      </c>
      <c r="D5" s="448">
        <f>SUM(D6:D11)</f>
        <v>1.3392350320998284E-4</v>
      </c>
      <c r="E5" s="448">
        <f>SUM(E6:E11)</f>
        <v>5.0824210036242638E-4</v>
      </c>
      <c r="F5" s="461" t="s">
        <v>211</v>
      </c>
      <c r="G5" s="448">
        <f>SUM(G6:G11)</f>
        <v>0.1757456147902246</v>
      </c>
      <c r="H5" s="448">
        <f>SUM(H6:H11)</f>
        <v>3.5753783364560678E-2</v>
      </c>
      <c r="I5" s="463" t="s">
        <v>211</v>
      </c>
      <c r="J5" s="463" t="s">
        <v>211</v>
      </c>
      <c r="K5" s="463" t="s">
        <v>211</v>
      </c>
      <c r="L5" s="463" t="s">
        <v>211</v>
      </c>
      <c r="M5" s="448">
        <f>SUM(M6:M11)</f>
        <v>6.6081438973282667E-3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3.5427182927840388E-5</v>
      </c>
      <c r="C6" s="449"/>
      <c r="D6" s="892">
        <f>vkm_2011_GW_PW*SUMIFS(TableVerdeelsleutelVkm[CNG],TableVerdeelsleutelVkm[Voertuigtype],"Lichte voertuigen")*SUMIFS(TableECFTransport[EnergieConsumptieFactor (PJ per km)],TableECFTransport[Index],CONCATENATE($A6,"_CNG_CNG"))</f>
        <v>7.0394433039089481E-5</v>
      </c>
      <c r="E6" s="892">
        <f>vkm_2011_GW_PW*SUMIFS(TableVerdeelsleutelVkm[LPG],TableVerdeelsleutelVkm[Voertuigtype],"Lichte voertuigen")*SUMIFS(TableECFTransport[EnergieConsumptieFactor (PJ per km)],TableECFTransport[Index],CONCATENATE($A6,"_LPG_LPG"))</f>
        <v>2.7702732852136983E-4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6.5867593360466409E-2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1.9057890793380074E-2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2.6463565075725316E-3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3.9713446399038226E-2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1.2829139487491187E-5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1.251309931439867E-3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1.8056838228709891E-5</v>
      </c>
      <c r="C8" s="449"/>
      <c r="D8" s="451">
        <f>vkm_2011_NGW_PW*SUMIFS(TableVerdeelsleutelVkm[CNG],TableVerdeelsleutelVkm[Voertuigtype],"Lichte voertuigen")*SUMIFS(TableECFTransport[EnergieConsumptieFactor (PJ per km)],TableECFTransport[Index],CONCATENATE($A8,"_CNG_CNG"))</f>
        <v>6.3529070170893369E-5</v>
      </c>
      <c r="E8" s="451">
        <f>vkm_2011_NGW_PW*SUMIFS(TableVerdeelsleutelVkm[LPG],TableVerdeelsleutelVkm[Voertuigtype],"Lichte voertuigen")*SUMIFS(TableECFTransport[EnergieConsumptieFactor (PJ per km)],TableECFTransport[Index],CONCATENATE($A8,"_LPG_LPG"))</f>
        <v>2.312147718410566E-4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5.1336179032589864E-2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1.6677311197067737E-2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2.1172334113016607E-3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1.8828395998130097E-2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5.7522346253820223E-6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5.9324404701420724E-4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14.856672543486187</v>
      </c>
      <c r="C14" s="21"/>
      <c r="D14" s="21">
        <f t="shared" ref="D14:M14" si="0">((D5)*10^9/3600)+D12</f>
        <v>37.200973113884118</v>
      </c>
      <c r="E14" s="21">
        <f t="shared" si="0"/>
        <v>141.1783612117851</v>
      </c>
      <c r="F14" s="21"/>
      <c r="G14" s="21">
        <f t="shared" si="0"/>
        <v>48818.226330617945</v>
      </c>
      <c r="H14" s="21">
        <f t="shared" si="0"/>
        <v>9931.6064901557438</v>
      </c>
      <c r="I14" s="21"/>
      <c r="J14" s="21"/>
      <c r="K14" s="21"/>
      <c r="L14" s="21"/>
      <c r="M14" s="21">
        <f t="shared" si="0"/>
        <v>1835.5955270356296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0.18571382938881725</v>
      </c>
      <c r="C16" s="56">
        <f ca="1">'EF ele_warmte'!B22</f>
        <v>7.8529411764705889E-2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2.7590895500265193</v>
      </c>
      <c r="C18" s="23"/>
      <c r="D18" s="23">
        <f t="shared" ref="D18:M18" si="1">D14*D16</f>
        <v>7.5145965690045919</v>
      </c>
      <c r="E18" s="23">
        <f t="shared" si="1"/>
        <v>32.047487995075222</v>
      </c>
      <c r="F18" s="23"/>
      <c r="G18" s="23">
        <f t="shared" si="1"/>
        <v>13034.466430274992</v>
      </c>
      <c r="H18" s="23">
        <f t="shared" si="1"/>
        <v>2472.9700160487801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2.2165998871669138E-3</v>
      </c>
      <c r="H50" s="321">
        <f t="shared" si="2"/>
        <v>0</v>
      </c>
      <c r="I50" s="321">
        <f t="shared" si="2"/>
        <v>0</v>
      </c>
      <c r="J50" s="321">
        <f t="shared" si="2"/>
        <v>0</v>
      </c>
      <c r="K50" s="321">
        <f t="shared" si="2"/>
        <v>0</v>
      </c>
      <c r="L50" s="321">
        <f t="shared" si="2"/>
        <v>0</v>
      </c>
      <c r="M50" s="321">
        <f t="shared" si="2"/>
        <v>6.8753969562353537E-5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2.2165998871669138E-3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6.8753969562353537E-5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615.72219087969825</v>
      </c>
      <c r="H54" s="21">
        <f t="shared" si="3"/>
        <v>0</v>
      </c>
      <c r="I54" s="21">
        <f t="shared" si="3"/>
        <v>0</v>
      </c>
      <c r="J54" s="21">
        <f t="shared" si="3"/>
        <v>0</v>
      </c>
      <c r="K54" s="21">
        <f t="shared" si="3"/>
        <v>0</v>
      </c>
      <c r="L54" s="21">
        <f t="shared" si="3"/>
        <v>0</v>
      </c>
      <c r="M54" s="21">
        <f t="shared" si="3"/>
        <v>19.098324878431537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0.18571382938881725</v>
      </c>
      <c r="C56" s="56">
        <f ca="1">'EF ele_warmte'!B22</f>
        <v>7.8529411764705889E-2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164.39782496487945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3741.561611113108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5215.5</v>
      </c>
      <c r="C8" s="570">
        <f>B101</f>
        <v>0</v>
      </c>
      <c r="D8" s="1043"/>
      <c r="E8" s="1043">
        <f>E101</f>
        <v>1533.9705882352941</v>
      </c>
      <c r="F8" s="1044"/>
      <c r="G8" s="571"/>
      <c r="H8" s="1043">
        <f>I101</f>
        <v>0</v>
      </c>
      <c r="I8" s="1043">
        <f>G101+F101</f>
        <v>4601.911764705882</v>
      </c>
      <c r="J8" s="1043">
        <f>H101+D101+C101</f>
        <v>0</v>
      </c>
      <c r="K8" s="1043"/>
      <c r="L8" s="1043"/>
      <c r="M8" s="1043"/>
      <c r="N8" s="572"/>
      <c r="O8" s="573">
        <f>C8*$C$12+D8*$D$12+E8*$E$12+F8*$F$12+G8*$G$12+H8*$H$12+I8*$I$12+J8*$J$12</f>
        <v>409.57014705882358</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8957.0616111131076</v>
      </c>
      <c r="C10" s="583">
        <f t="shared" ref="C10:L10" si="0">SUM(C8:C9)</f>
        <v>0</v>
      </c>
      <c r="D10" s="583">
        <f t="shared" si="0"/>
        <v>0</v>
      </c>
      <c r="E10" s="583">
        <f t="shared" si="0"/>
        <v>1533.9705882352941</v>
      </c>
      <c r="F10" s="583">
        <f t="shared" si="0"/>
        <v>0</v>
      </c>
      <c r="G10" s="583">
        <f t="shared" si="0"/>
        <v>0</v>
      </c>
      <c r="H10" s="583">
        <f t="shared" si="0"/>
        <v>0</v>
      </c>
      <c r="I10" s="583">
        <f t="shared" si="0"/>
        <v>4601.911764705882</v>
      </c>
      <c r="J10" s="583">
        <f t="shared" si="0"/>
        <v>0</v>
      </c>
      <c r="K10" s="583">
        <f t="shared" si="0"/>
        <v>0</v>
      </c>
      <c r="L10" s="583">
        <f t="shared" si="0"/>
        <v>0</v>
      </c>
      <c r="M10" s="1046"/>
      <c r="N10" s="1046"/>
      <c r="O10" s="584">
        <f>SUM(O4:O9)</f>
        <v>409.57014705882358</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5867.4375</v>
      </c>
      <c r="C17" s="595">
        <f>B102</f>
        <v>0</v>
      </c>
      <c r="D17" s="596"/>
      <c r="E17" s="596">
        <f>E102</f>
        <v>1725.7169117647059</v>
      </c>
      <c r="F17" s="1049"/>
      <c r="G17" s="597"/>
      <c r="H17" s="595">
        <f>I102</f>
        <v>0</v>
      </c>
      <c r="I17" s="596">
        <f>G102+F102</f>
        <v>5177.150735294118</v>
      </c>
      <c r="J17" s="596">
        <f>H102+D102+C102</f>
        <v>0</v>
      </c>
      <c r="K17" s="596"/>
      <c r="L17" s="596"/>
      <c r="M17" s="596"/>
      <c r="N17" s="1050"/>
      <c r="O17" s="598">
        <f>C17*$C$22+E17*$E$22+H17*$H$22+I17*$I$22+J17*$J$22+D17*$D$22+F17*$F$22+G17*$G$22+K17*$K$22+L17*$L$22</f>
        <v>460.76641544117649</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5867.4375</v>
      </c>
      <c r="C20" s="582">
        <f>SUM(C17:C19)</f>
        <v>0</v>
      </c>
      <c r="D20" s="582">
        <f t="shared" ref="D20:L20" si="1">SUM(D17:D19)</f>
        <v>0</v>
      </c>
      <c r="E20" s="582">
        <f t="shared" si="1"/>
        <v>1725.7169117647059</v>
      </c>
      <c r="F20" s="582">
        <f t="shared" si="1"/>
        <v>0</v>
      </c>
      <c r="G20" s="582">
        <f t="shared" si="1"/>
        <v>0</v>
      </c>
      <c r="H20" s="582">
        <f t="shared" si="1"/>
        <v>0</v>
      </c>
      <c r="I20" s="582">
        <f t="shared" si="1"/>
        <v>5177.150735294118</v>
      </c>
      <c r="J20" s="582">
        <f t="shared" si="1"/>
        <v>0</v>
      </c>
      <c r="K20" s="582">
        <f t="shared" si="1"/>
        <v>0</v>
      </c>
      <c r="L20" s="582">
        <f t="shared" si="1"/>
        <v>0</v>
      </c>
      <c r="M20" s="582"/>
      <c r="N20" s="582"/>
      <c r="O20" s="601">
        <f>SUM(O17:O19)</f>
        <v>460.76641544117649</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38.25">
      <c r="A28" s="605"/>
      <c r="B28" s="796">
        <v>23060</v>
      </c>
      <c r="C28" s="796">
        <v>1745</v>
      </c>
      <c r="D28" s="653" t="s">
        <v>890</v>
      </c>
      <c r="E28" s="652" t="s">
        <v>891</v>
      </c>
      <c r="F28" s="652" t="s">
        <v>892</v>
      </c>
      <c r="G28" s="652" t="s">
        <v>893</v>
      </c>
      <c r="H28" s="652" t="s">
        <v>894</v>
      </c>
      <c r="I28" s="652" t="s">
        <v>891</v>
      </c>
      <c r="J28" s="795">
        <v>39066</v>
      </c>
      <c r="K28" s="795">
        <v>39063</v>
      </c>
      <c r="L28" s="652" t="s">
        <v>895</v>
      </c>
      <c r="M28" s="652">
        <v>720</v>
      </c>
      <c r="N28" s="652">
        <v>3240</v>
      </c>
      <c r="O28" s="652">
        <v>3645</v>
      </c>
      <c r="P28" s="652">
        <v>0</v>
      </c>
      <c r="Q28" s="652">
        <v>0</v>
      </c>
      <c r="R28" s="652">
        <v>0</v>
      </c>
      <c r="S28" s="652">
        <v>2025</v>
      </c>
      <c r="T28" s="652">
        <v>6075</v>
      </c>
      <c r="U28" s="652">
        <v>0</v>
      </c>
      <c r="V28" s="652">
        <v>0</v>
      </c>
      <c r="W28" s="652">
        <v>0</v>
      </c>
      <c r="X28" s="652">
        <v>10</v>
      </c>
      <c r="Y28" s="652" t="s">
        <v>112</v>
      </c>
      <c r="Z28" s="654" t="s">
        <v>112</v>
      </c>
    </row>
    <row r="29" spans="1:26" s="606" customFormat="1" ht="38.25">
      <c r="A29" s="605"/>
      <c r="B29" s="796">
        <v>23060</v>
      </c>
      <c r="C29" s="796">
        <v>1745</v>
      </c>
      <c r="D29" s="653" t="s">
        <v>896</v>
      </c>
      <c r="E29" s="652" t="s">
        <v>897</v>
      </c>
      <c r="F29" s="652" t="s">
        <v>898</v>
      </c>
      <c r="G29" s="652" t="s">
        <v>893</v>
      </c>
      <c r="H29" s="652" t="s">
        <v>894</v>
      </c>
      <c r="I29" s="652" t="s">
        <v>899</v>
      </c>
      <c r="J29" s="795">
        <v>40444</v>
      </c>
      <c r="K29" s="795">
        <v>40444</v>
      </c>
      <c r="L29" s="652" t="s">
        <v>895</v>
      </c>
      <c r="M29" s="652">
        <v>439</v>
      </c>
      <c r="N29" s="652">
        <v>1975.5</v>
      </c>
      <c r="O29" s="652">
        <v>2222.4375</v>
      </c>
      <c r="P29" s="652">
        <v>0</v>
      </c>
      <c r="Q29" s="652">
        <v>0</v>
      </c>
      <c r="R29" s="652">
        <v>0</v>
      </c>
      <c r="S29" s="652">
        <v>1234.6875</v>
      </c>
      <c r="T29" s="652">
        <v>3704.0625</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1159</v>
      </c>
      <c r="N58" s="610">
        <f>SUM(N28:N57)</f>
        <v>5215.5</v>
      </c>
      <c r="O58" s="610">
        <f t="shared" ref="O58:W58" si="2">SUM(O28:O57)</f>
        <v>5867.4375</v>
      </c>
      <c r="P58" s="610">
        <f t="shared" si="2"/>
        <v>0</v>
      </c>
      <c r="Q58" s="610">
        <f t="shared" si="2"/>
        <v>0</v>
      </c>
      <c r="R58" s="610">
        <f t="shared" si="2"/>
        <v>0</v>
      </c>
      <c r="S58" s="610">
        <f t="shared" si="2"/>
        <v>3259.6875</v>
      </c>
      <c r="T58" s="610">
        <f t="shared" si="2"/>
        <v>9779.0625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1159</v>
      </c>
      <c r="N61" s="615">
        <f t="shared" si="4"/>
        <v>5215.5</v>
      </c>
      <c r="O61" s="615">
        <f t="shared" si="4"/>
        <v>5867.4375</v>
      </c>
      <c r="P61" s="615">
        <f t="shared" si="4"/>
        <v>0</v>
      </c>
      <c r="Q61" s="615">
        <f t="shared" si="4"/>
        <v>0</v>
      </c>
      <c r="R61" s="615">
        <f t="shared" si="4"/>
        <v>0</v>
      </c>
      <c r="S61" s="615">
        <f t="shared" si="4"/>
        <v>3259.6875</v>
      </c>
      <c r="T61" s="615">
        <f t="shared" si="4"/>
        <v>9779.0625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0.52941176470588236</v>
      </c>
      <c r="C98" s="635">
        <f>IF(ISERROR(N58/(O58+N58)),0,N58/(N58+O58))</f>
        <v>0.47058823529411764</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1533.9705882352941</v>
      </c>
      <c r="F101" s="644">
        <f t="shared" si="9"/>
        <v>4601.911764705882</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1725.7169117647059</v>
      </c>
      <c r="F102" s="647">
        <f t="shared" si="10"/>
        <v>5177.150735294118</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2019-08-12T08:23:22Z</dcterms:modified>
</cp:coreProperties>
</file>