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J28"/>
  <c r="J27"/>
  <c r="J32"/>
  <c r="J29"/>
  <c r="J31"/>
  <c r="J24"/>
  <c r="J30"/>
  <c r="P4"/>
  <c r="Q11" i="14"/>
  <c r="O4" i="48"/>
  <c r="P11" i="14"/>
  <c r="I27" i="48"/>
  <c r="I32"/>
  <c r="I31"/>
  <c r="I25"/>
  <c r="I26"/>
  <c r="I29"/>
  <c r="I28"/>
  <c r="I22"/>
  <c r="I30"/>
  <c r="I24"/>
  <c r="D4"/>
  <c r="D22" s="1"/>
  <c r="E11" i="14"/>
  <c r="H32" i="48"/>
  <c r="H25"/>
  <c r="H29"/>
  <c r="H26"/>
  <c r="H28"/>
  <c r="H22"/>
  <c r="H30"/>
  <c r="H24"/>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15"/>
  <c r="C22" i="14"/>
  <c r="P8" i="48"/>
  <c r="P26" s="1"/>
  <c r="Q13" i="14"/>
  <c r="Q16" s="1"/>
  <c r="Q27" s="1"/>
  <c r="Q63" s="1"/>
  <c r="F20"/>
  <c r="F22" s="1"/>
  <c r="E9" i="48"/>
  <c r="E27" s="1"/>
  <c r="E20" i="14"/>
  <c r="E22" s="1"/>
  <c r="D9" i="48"/>
  <c r="D27" s="1"/>
  <c r="O5"/>
  <c r="O23" s="1"/>
  <c r="P10" i="14"/>
  <c r="J7" i="48"/>
  <c r="J25" s="1"/>
  <c r="K24" i="14"/>
  <c r="K26" s="1"/>
  <c r="C20"/>
  <c r="B9" i="48"/>
  <c r="P22"/>
  <c r="F4"/>
  <c r="F22" s="1"/>
  <c r="G11" i="14"/>
  <c r="I5" i="48"/>
  <c r="J10" i="14"/>
  <c r="J16" s="1"/>
  <c r="J27" s="1"/>
  <c r="M12" i="22"/>
  <c r="M13" i="48"/>
  <c r="M31" s="1"/>
  <c r="N18" i="14"/>
  <c r="O22" i="48"/>
  <c r="H18" i="14"/>
  <c r="G13" i="48"/>
  <c r="H13"/>
  <c r="H31" s="1"/>
  <c r="I18" i="14"/>
  <c r="J12" i="17"/>
  <c r="K54" i="14" s="1"/>
  <c r="K56" s="1"/>
  <c r="L46"/>
  <c r="L61" s="1"/>
  <c r="L63" s="1"/>
  <c r="J46"/>
  <c r="J61" s="1"/>
  <c r="K33" i="48"/>
  <c r="G24" i="1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R11" s="1"/>
  <c r="E4" i="48"/>
  <c r="J4"/>
  <c r="K11" i="14"/>
  <c r="E7" i="48"/>
  <c r="E25" s="1"/>
  <c r="F24" i="14"/>
  <c r="F26" s="1"/>
  <c r="R18"/>
  <c r="N20"/>
  <c r="M9" i="48"/>
  <c r="O22" i="16"/>
  <c r="P43" i="14" s="1"/>
  <c r="P46" s="1"/>
  <c r="P61" s="1"/>
  <c r="P63" s="1"/>
  <c r="O8" i="48"/>
  <c r="P13" i="14"/>
  <c r="G31" i="48"/>
  <c r="Q13"/>
  <c r="I23"/>
  <c r="I33" s="1"/>
  <c r="I15"/>
  <c r="I20" i="14"/>
  <c r="I22" s="1"/>
  <c r="I27" s="1"/>
  <c r="H9" i="48"/>
  <c r="M10"/>
  <c r="M28" s="1"/>
  <c r="N19" i="14"/>
  <c r="G10" i="48"/>
  <c r="H19" i="14"/>
  <c r="P16"/>
  <c r="P27" s="1"/>
  <c r="G14" i="22"/>
  <c r="J63" i="14"/>
  <c r="N22"/>
  <c r="N27" s="1"/>
  <c r="P15" i="48"/>
  <c r="P33"/>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G9" i="48" l="1"/>
  <c r="H20" i="14"/>
  <c r="R20" s="1"/>
  <c r="M27" i="48"/>
  <c r="M33" s="1"/>
  <c r="M15"/>
  <c r="E22"/>
  <c r="Q4"/>
  <c r="H27"/>
  <c r="H33" s="1"/>
  <c r="H15"/>
  <c r="J22"/>
  <c r="O26"/>
  <c r="O33" s="1"/>
  <c r="O15"/>
  <c r="E5"/>
  <c r="E23" s="1"/>
  <c r="F10" i="14"/>
  <c r="G28" i="48"/>
  <c r="Q10"/>
  <c r="J5"/>
  <c r="J23" s="1"/>
  <c r="K10" i="14"/>
  <c r="R19"/>
  <c r="R22" s="1"/>
  <c r="Q7" i="48"/>
  <c r="E20" i="15"/>
  <c r="F40" i="14" s="1"/>
  <c r="J18" i="16"/>
  <c r="E18"/>
  <c r="F18"/>
  <c r="F22" s="1"/>
  <c r="G43" i="14" s="1"/>
  <c r="N18" i="16"/>
  <c r="G18" i="22"/>
  <c r="H50" i="14" s="1"/>
  <c r="H52" s="1"/>
  <c r="H61" s="1"/>
  <c r="H18" i="22"/>
  <c r="I50" i="14" s="1"/>
  <c r="I52" s="1"/>
  <c r="I61" s="1"/>
  <c r="I63" s="1"/>
  <c r="J22" i="16" l="1"/>
  <c r="K43" i="14" s="1"/>
  <c r="K46" s="1"/>
  <c r="K61" s="1"/>
  <c r="J8" i="48"/>
  <c r="J26" s="1"/>
  <c r="K13" i="14"/>
  <c r="K16" s="1"/>
  <c r="K27" s="1"/>
  <c r="E8" i="48"/>
  <c r="E26" s="1"/>
  <c r="F13" i="14"/>
  <c r="F16" s="1"/>
  <c r="F27" s="1"/>
  <c r="G27" i="48"/>
  <c r="G33" s="1"/>
  <c r="G15"/>
  <c r="Q9"/>
  <c r="J15"/>
  <c r="J33"/>
  <c r="E33"/>
  <c r="H22" i="14"/>
  <c r="H27" s="1"/>
  <c r="H63" s="1"/>
  <c r="E22" i="16"/>
  <c r="F43" i="14" s="1"/>
  <c r="F46" s="1"/>
  <c r="F61" s="1"/>
  <c r="F63" s="1"/>
  <c r="N8" i="48"/>
  <c r="N26" s="1"/>
  <c r="O13" i="14"/>
  <c r="N22" i="16"/>
  <c r="O43" i="14" s="1"/>
  <c r="G13"/>
  <c r="F8" i="48"/>
  <c r="R13" i="14" l="1"/>
  <c r="E15" i="48"/>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<sst xmlns="http://schemas.openxmlformats.org/spreadsheetml/2006/main" count="2392" uniqueCount="890">
  <si>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</si>
  <si>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</si>
  <si>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</si>
  <si>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</si>
  <si>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</si>
  <si>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</si>
  <si>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</si>
  <si>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</si>
  <si>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</si>
  <si>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</si>
  <si>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</si>
  <si>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</si>
  <si>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</si>
  <si>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</si>
  <si>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</si>
  <si>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</si>
  <si>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</si>
  <si>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</si>
  <si>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</si>
  <si>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</si>
  <si>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</si>
  <si>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</si>
  <si>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</si>
  <si>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</si>
  <si>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</si>
  <si>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</si>
  <si>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</si>
  <si>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</si>
  <si>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</si>
  <si>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</si>
  <si>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</si>
  <si>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</si>
  <si>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</si>
  <si>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</si>
  <si>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</si>
  <si>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</si>
  <si>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</si>
  <si>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</si>
  <si>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</si>
  <si>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</si>
  <si>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</si>
  <si>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</si>
  <si>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</si>
  <si>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</si>
  <si>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</si>
  <si>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</si>
  <si>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</si>
  <si>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</si>
  <si>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</si>
  <si>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</si>
  <si>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</si>
  <si>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</si>
  <si>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</si>
  <si>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</si>
  <si>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</si>
  <si>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</si>
  <si>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</si>
  <si>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</si>
  <si>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</si>
  <si>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</si>
  <si>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</si>
  <si>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</si>
  <si>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</si>
  <si>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</si>
  <si>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</si>
  <si>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</si>
  <si>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</si>
  <si>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</si>
  <si>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</si>
  <si>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</si>
  <si>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</si>
  <si>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</si>
  <si>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</si>
  <si>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</si>
  <si>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</si>
  <si>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</si>
  <si>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</si>
  <si>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</si>
  <si>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</si>
  <si>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</si>
  <si>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</si>
  <si>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</si>
  <si>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</si>
  <si>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</si>
  <si>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</si>
  <si>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</si>
  <si>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</si>
  <si>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</si>
  <si>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</si>
  <si>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</si>
  <si>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</si>
  <si>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</si>
  <si>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</si>
  <si>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</si>
  <si>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</si>
  <si>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</si>
  <si>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</si>
  <si>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</si>
  <si>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</si>
  <si>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</si>
  <si>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</si>
  <si>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</si>
  <si>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</si>
  <si>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</si>
  <si>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</si>
  <si>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</si>
  <si>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</si>
  <si>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</si>
  <si>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</si>
  <si>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</si>
  <si>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</si>
  <si>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</si>
  <si>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</si>
  <si>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</si>
  <si>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</si>
  <si>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</si>
  <si>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</si>
  <si>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</si>
  <si>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</si>
  <si>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</si>
  <si>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</si>
  <si>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</si>
  <si>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</si>
  <si>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</si>
  <si>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</si>
  <si>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</si>
  <si>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</si>
  <si>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</si>
  <si>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</si>
  <si>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</si>
  <si>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</si>
  <si>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</si>
  <si>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</si>
  <si>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</si>
  <si>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</si>
  <si>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</si>
  <si>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</si>
  <si>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</si>
  <si>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</si>
  <si>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</si>
  <si>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</si>
  <si>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</si>
  <si>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</si>
  <si>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</si>
  <si>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</si>
  <si>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</si>
  <si>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</si>
  <si>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</si>
  <si>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</si>
  <si>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</si>
  <si>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</si>
  <si>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</si>
  <si>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</si>
  <si>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</si>
  <si>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</si>
  <si>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</si>
  <si>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</si>
  <si>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</si>
  <si>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</si>
  <si>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</si>
  <si>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</si>
  <si>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</si>
  <si>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</si>
  <si>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</si>
  <si>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</si>
  <si>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</si>
  <si>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</si>
  <si>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</si>
  <si>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</si>
  <si>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</si>
  <si>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</si>
  <si>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</si>
  <si>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</si>
  <si>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</si>
  <si>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</si>
  <si>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</si>
  <si>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</si>
  <si>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</si>
  <si>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</si>
  <si>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</si>
  <si>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</si>
  <si>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</si>
  <si>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</si>
  <si>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</si>
  <si>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</si>
  <si>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</si>
  <si>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</si>
  <si>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</si>
  <si>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</si>
  <si>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</si>
  <si>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</si>
  <si>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</si>
  <si>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</si>
  <si>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</si>
  <si>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</si>
  <si>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</si>
  <si>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</si>
  <si>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</si>
  <si>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</si>
  <si>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</si>
  <si>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</si>
  <si>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</si>
  <si>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</si>
  <si>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</si>
  <si>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</si>
  <si>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</si>
  <si>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</si>
  <si>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</si>
  <si>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</si>
  <si>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</si>
  <si>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</si>
  <si>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</si>
  <si>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</si>
  <si>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</si>
  <si>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</si>
  <si>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</si>
  <si>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</si>
  <si>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</si>
  <si>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</si>
  <si>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</si>
  <si>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</si>
  <si>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</si>
  <si>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</si>
  <si>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</si>
  <si>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</si>
  <si>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</si>
  <si>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</si>
  <si>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</si>
  <si>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</si>
  <si>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</si>
  <si>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</si>
  <si>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</si>
  <si>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</si>
  <si>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</si>
  <si>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</si>
  <si>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</si>
  <si>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</si>
  <si>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</si>
  <si>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</si>
  <si>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</si>
  <si>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</si>
  <si>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</si>
  <si>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</si>
  <si>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</si>
  <si>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</si>
  <si>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</si>
  <si>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</si>
  <si>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</si>
  <si>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</si>
  <si>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</si>
  <si>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</si>
  <si>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</si>
  <si>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</si>
  <si>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</si>
  <si>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</si>
  <si>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</si>
  <si>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</si>
  <si>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</si>
  <si>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</si>
  <si>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</si>
  <si>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</si>
  <si>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</si>
  <si>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</si>
  <si>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</si>
  <si>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</si>
  <si>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</si>
  <si>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</si>
  <si>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</si>
  <si>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</si>
  <si>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</si>
  <si>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</si>
  <si>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</si>
  <si>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</si>
  <si>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</si>
  <si>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</si>
  <si>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</si>
  <si>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</si>
  <si>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</si>
  <si>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</si>
  <si>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</si>
  <si>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</si>
  <si>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</si>
  <si>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</si>
  <si>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</si>
  <si>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</si>
  <si>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</si>
  <si>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</si>
  <si>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</si>
  <si>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</si>
  <si>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</si>
  <si>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</si>
  <si>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</si>
  <si>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</si>
  <si>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</si>
  <si>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</si>
  <si>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</si>
  <si>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</si>
  <si>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</si>
  <si>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</si>
  <si>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</si>
  <si>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</si>
  <si>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</si>
  <si>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</si>
  <si>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</si>
  <si>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</si>
  <si>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</si>
  <si>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</si>
  <si>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</si>
  <si>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</si>
  <si>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</si>
  <si>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</si>
  <si>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</si>
  <si>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</si>
  <si>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</si>
  <si>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</si>
  <si>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</si>
  <si>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</si>
  <si>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</si>
  <si>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</si>
  <si>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</si>
  <si>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</si>
  <si>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</si>
  <si>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</si>
  <si>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</si>
  <si>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</si>
  <si>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</si>
  <si>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</si>
  <si>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</si>
  <si>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</si>
  <si>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</si>
  <si>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</si>
  <si>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</si>
  <si>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</si>
  <si>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</si>
  <si>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</si>
  <si>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</si>
  <si>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</si>
  <si>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</si>
  <si>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</si>
  <si>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</si>
  <si>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</si>
  <si>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</si>
  <si>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</si>
  <si>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</si>
  <si>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</si>
  <si>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</si>
  <si>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</si>
  <si>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</si>
  <si>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</si>
  <si>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</si>
  <si>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</si>
  <si>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</si>
  <si>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</si>
  <si>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</si>
  <si>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</si>
  <si>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</si>
  <si>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</si>
  <si>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</si>
  <si>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</si>
  <si>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</si>
  <si>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</si>
  <si>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</si>
  <si>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</si>
  <si>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</si>
  <si>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</si>
  <si>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</si>
  <si>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</si>
  <si>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</si>
  <si>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</si>
  <si>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</si>
  <si>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</si>
  <si>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</si>
  <si>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</si>
  <si>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</si>
  <si>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</si>
  <si>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</si>
  <si>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</si>
  <si>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</si>
  <si>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</si>
  <si>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</si>
  <si>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</si>
  <si>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</si>
  <si>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</si>
  <si>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</si>
  <si>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</si>
  <si>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</si>
  <si>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</si>
  <si>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</si>
  <si>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</si>
  <si>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</si>
  <si>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</si>
  <si>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</si>
  <si>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</si>
  <si>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</si>
  <si>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</si>
  <si>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</si>
  <si>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</si>
  <si>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</si>
  <si>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</si>
  <si>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</si>
  <si>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</si>
  <si>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</si>
  <si>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</si>
  <si>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</si>
  <si>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</si>
  <si>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</si>
  <si>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</si>
  <si>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</si>
  <si>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</si>
  <si>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</si>
  <si>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</si>
  <si>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</si>
  <si>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</si>
  <si>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</si>
  <si>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</si>
  <si>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</si>
  <si>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</si>
  <si>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</si>
  <si>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</si>
  <si>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</si>
  <si>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</si>
  <si>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</si>
  <si>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</si>
  <si>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</si>
  <si>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</si>
  <si>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</si>
  <si>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</si>
  <si>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</si>
  <si>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</si>
  <si>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</si>
  <si>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</si>
  <si>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</si>
  <si>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</si>
  <si>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</si>
  <si>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</si>
  <si>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</si>
  <si>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</si>
  <si>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</si>
  <si>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</si>
  <si>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</si>
  <si>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</si>
  <si>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</si>
  <si>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</si>
  <si>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</si>
  <si>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</si>
  <si>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</si>
  <si>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</si>
  <si>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</si>
  <si>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</si>
  <si>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</si>
  <si>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</si>
  <si>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</si>
  <si>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</si>
  <si>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</si>
  <si>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</si>
  <si>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</si>
  <si>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</si>
  <si>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</si>
  <si>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</si>
  <si>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</si>
  <si>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</si>
  <si>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</si>
  <si>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</si>
  <si>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</si>
  <si>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</si>
  <si>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</si>
  <si>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</si>
  <si>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</si>
  <si>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</si>
  <si>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</si>
  <si>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</si>
  <si>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</si>
  <si>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</si>
  <si>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</si>
  <si>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</si>
  <si>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</si>
  <si>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</si>
  <si>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</si>
  <si>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</si>
  <si>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</si>
  <si>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</si>
  <si>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</si>
  <si>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</si>
  <si>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</si>
  <si>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</si>
  <si>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</si>
  <si>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</si>
  <si>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</si>
  <si>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</si>
  <si>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</si>
  <si>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</si>
  <si>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</si>
  <si>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</si>
  <si>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</si>
  <si>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</si>
  <si>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</si>
  <si>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</si>
  <si>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</si>
  <si>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</si>
  <si>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</si>
  <si>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</si>
  <si>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</si>
  <si>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</si>
  <si>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</si>
  <si>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</si>
  <si>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</si>
  <si>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</si>
  <si>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</si>
  <si>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</si>
  <si>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</si>
  <si>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</si>
  <si>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</si>
  <si>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</si>
  <si>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</si>
  <si>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</si>
  <si>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</si>
  <si>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</si>
  <si>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</si>
  <si>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</si>
  <si>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</si>
  <si>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</si>
  <si>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</si>
  <si>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</si>
  <si>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</si>
  <si>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</si>
  <si>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</si>
  <si>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</si>
  <si>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</si>
  <si>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</si>
  <si>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</si>
  <si>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</si>
  <si>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</si>
  <si>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</si>
  <si>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</si>
  <si>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</si>
  <si>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</si>
  <si>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</si>
  <si>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</si>
  <si>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</si>
  <si>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</si>
  <si>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</si>
  <si>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</si>
  <si>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</si>
  <si>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</si>
  <si>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</si>
  <si>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</si>
  <si>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</si>
  <si>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</si>
  <si>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</si>
  <si>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</si>
  <si>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</si>
  <si>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</si>
  <si>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</si>
  <si>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</si>
  <si>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</si>
  <si>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</si>
  <si>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</si>
  <si>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</si>
  <si>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</si>
  <si>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</si>
  <si>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</si>
  <si>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</si>
  <si>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</si>
  <si>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</si>
  <si>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</si>
  <si>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</si>
  <si>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</si>
  <si>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</si>
  <si>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</si>
  <si>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</si>
  <si>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</si>
  <si>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</si>
  <si>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</si>
  <si>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</si>
  <si>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</si>
  <si>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</si>
  <si>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</si>
  <si>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</si>
  <si>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</si>
  <si>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</si>
  <si>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</si>
  <si>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</si>
  <si>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</si>
  <si>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</si>
  <si>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</si>
  <si>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</si>
  <si>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</si>
  <si>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</si>
  <si>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</si>
  <si>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</si>
  <si>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</si>
  <si>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</si>
  <si>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</si>
  <si>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</si>
  <si>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</si>
  <si>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</si>
  <si>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</si>
  <si>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</si>
  <si>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</si>
  <si>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</si>
  <si>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</si>
  <si>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</si>
  <si>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</si>
  <si>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</si>
  <si>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</si>
  <si>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</si>
  <si>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</si>
  <si>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</si>
  <si>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</si>
  <si>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</si>
  <si>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</si>
  <si>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</si>
  <si>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</si>
  <si>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</si>
  <si>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</si>
  <si>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</si>
  <si>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</si>
  <si>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</si>
  <si>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</si>
  <si>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</si>
  <si>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</si>
  <si>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</si>
  <si>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</si>
  <si>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</si>
  <si>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</si>
  <si>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</si>
  <si>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</si>
  <si>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</si>
  <si>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</si>
  <si>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</si>
  <si>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</si>
  <si>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</si>
  <si>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</si>
  <si>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</si>
  <si>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</si>
  <si>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</si>
  <si>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</si>
  <si>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</si>
  <si>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</si>
  <si>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</si>
  <si>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</si>
  <si>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</si>
  <si>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</si>
  <si>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</si>
  <si>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</si>
  <si>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</si>
  <si>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</si>
  <si>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</si>
  <si>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</si>
  <si>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</si>
  <si>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</si>
  <si>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</si>
  <si>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</si>
  <si>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</si>
  <si>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</si>
  <si>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</si>
  <si>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</si>
  <si>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</si>
  <si>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</si>
  <si>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</si>
  <si>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</si>
  <si>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</si>
  <si>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</si>
  <si>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</si>
  <si>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</si>
  <si>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</si>
  <si>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</si>
  <si>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</si>
  <si>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</si>
  <si>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</si>
  <si>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</si>
  <si>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</si>
  <si>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</si>
  <si>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</si>
  <si>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</si>
  <si>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</si>
  <si>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</si>
  <si>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</si>
  <si>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</si>
  <si>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</si>
  <si>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</si>
  <si>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</si>
  <si>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</si>
  <si>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</si>
  <si>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</si>
  <si>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</si>
  <si>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</si>
  <si>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</si>
  <si>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</si>
  <si>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</si>
  <si>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</si>
  <si>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</si>
  <si>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</si>
  <si>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</si>
  <si>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</si>
  <si>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</si>
  <si>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</si>
  <si>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</si>
  <si>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</si>
  <si>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</si>
  <si>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</si>
  <si>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</si>
  <si>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</si>
  <si>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</si>
  <si>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</si>
  <si>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</si>
  <si>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</si>
  <si>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</si>
  <si>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</si>
  <si>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</si>
  <si>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</si>
  <si>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</si>
  <si>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</si>
  <si>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</si>
  <si>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</si>
  <si>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</si>
  <si>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</si>
  <si>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</si>
  <si>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</si>
  <si>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</si>
  <si>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</si>
  <si>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</si>
  <si>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</si>
  <si>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</si>
  <si>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</si>
  <si>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</si>
  <si>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</si>
  <si>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</si>
  <si>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</si>
  <si>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</si>
  <si>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</si>
  <si>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</si>
  <si>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</si>
  <si>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</si>
  <si>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</si>
  <si>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</si>
  <si>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</si>
  <si>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</si>
  <si>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</si>
  <si>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</si>
  <si>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</si>
  <si>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</si>
  <si>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</si>
  <si>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</si>
  <si>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</si>
  <si>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</si>
  <si>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</si>
  <si>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</si>
  <si>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</si>
  <si>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</si>
  <si>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</si>
  <si>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</si>
  <si>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</si>
  <si>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</si>
  <si>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</si>
  <si>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</si>
  <si>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</si>
  <si>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</si>
  <si>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</si>
  <si>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</si>
  <si>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</si>
  <si>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</si>
  <si>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</si>
  <si>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</si>
  <si>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</si>
  <si>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</si>
  <si>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</si>
  <si>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</si>
  <si>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</si>
  <si>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</si>
  <si>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</si>
  <si>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</si>
  <si>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</si>
  <si>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</si>
  <si>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</si>
  <si>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</si>
  <si>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</si>
  <si>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</si>
  <si>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</si>
  <si>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</si>
  <si>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</si>
  <si>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</si>
  <si>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</si>
  <si>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</si>
  <si>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</si>
  <si>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</si>
  <si>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</si>
  <si>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</si>
  <si>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</si>
  <si>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</si>
  <si>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</si>
  <si>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</si>
  <si>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</si>
  <si>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</si>
  <si>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</si>
  <si>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</si>
  <si>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</si>
  <si>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</si>
  <si>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</si>
  <si>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</si>
  <si>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</si>
  <si>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</si>
  <si>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</si>
  <si>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</si>
  <si>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</si>
  <si>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</si>
  <si>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</si>
  <si>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</si>
  <si>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</si>
  <si>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</si>
  <si>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</si>
  <si>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</si>
  <si>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</si>
  <si>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</si>
  <si>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</si>
  <si>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</si>
  <si>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</si>
  <si>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</si>
  <si>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</si>
  <si>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</si>
  <si>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</si>
  <si>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</si>
  <si>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</si>
  <si>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</si>
  <si>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</si>
  <si>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</si>
  <si>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</si>
  <si>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</si>
  <si>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</si>
  <si>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</si>
  <si>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</si>
  <si>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</si>
  <si>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</si>
  <si>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</si>
  <si>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</si>
  <si>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</si>
  <si>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</si>
  <si>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</si>
  <si>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</si>
  <si>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</si>
  <si>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</si>
  <si>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</si>
  <si>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</si>
  <si>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</si>
  <si>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</si>
  <si>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</si>
  <si>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</si>
  <si>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</si>
  <si>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</si>
  <si>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</si>
  <si>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</si>
  <si>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</si>
  <si>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</si>
  <si>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</si>
  <si>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</si>
  <si>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</si>
  <si>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</si>
  <si>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</si>
  <si>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</si>
  <si>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</si>
  <si>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</si>
  <si>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</si>
  <si>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</si>
  <si>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</si>
  <si>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</si>
  <si>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</si>
  <si>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</si>
  <si>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</si>
  <si>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</si>
  <si>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</si>
  <si>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</si>
  <si>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</si>
  <si>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</si>
  <si>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</si>
  <si>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</si>
  <si>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</si>
  <si>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</si>
  <si>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</si>
  <si>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</si>
  <si>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</si>
  <si>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</si>
  <si>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</si>
  <si>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23047</t>
  </si>
  <si>
    <t>MACHELEN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</si>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</sst>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85215.520362385127</c:v>
                </c:pt>
                <c:pt idx="1">
                  <c:v>284494.69579280209</c:v>
                </c:pt>
                <c:pt idx="2">
                  <c:v>1449.799</c:v>
                </c:pt>
                <c:pt idx="3">
                  <c:v>63.830496141362779</c:v>
                </c:pt>
                <c:pt idx="4">
                  <c:v>21782.161786015546</c:v>
                </c:pt>
                <c:pt idx="5">
                  <c:v>458680.30383219896</c:v>
                </c:pt>
                <c:pt idx="6">
                  <c:v>4263.3540761300956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85215.520362385127</c:v>
                </c:pt>
                <c:pt idx="1">
                  <c:v>284494.69579280209</c:v>
                </c:pt>
                <c:pt idx="2">
                  <c:v>1449.799</c:v>
                </c:pt>
                <c:pt idx="3">
                  <c:v>63.830496141362779</c:v>
                </c:pt>
                <c:pt idx="4">
                  <c:v>21782.161786015546</c:v>
                </c:pt>
                <c:pt idx="5">
                  <c:v>458680.30383219896</c:v>
                </c:pt>
                <c:pt idx="6">
                  <c:v>4263.3540761300956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17075.704791557255</c:v>
                </c:pt>
                <c:pt idx="2">
                  <c:v>62496.748999979507</c:v>
                </c:pt>
                <c:pt idx="3">
                  <c:v>318.44627302601549</c:v>
                </c:pt>
                <c:pt idx="4">
                  <c:v>16.568365771702819</c:v>
                </c:pt>
                <c:pt idx="5">
                  <c:v>4407.0706230815558</c:v>
                </c:pt>
                <c:pt idx="6">
                  <c:v>117458.85493322369</c:v>
                </c:pt>
                <c:pt idx="7">
                  <c:v>1104.0697642449575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52032"/>
        <c:axId val="184034048"/>
      </c:barChart>
      <c:catAx>
        <c:axId val="183852032"/>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5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17075.704791557255</c:v>
                </c:pt>
                <c:pt idx="2">
                  <c:v>62496.748999979507</c:v>
                </c:pt>
                <c:pt idx="3">
                  <c:v>318.44627302601549</c:v>
                </c:pt>
                <c:pt idx="4">
                  <c:v>16.568365771702819</c:v>
                </c:pt>
                <c:pt idx="5">
                  <c:v>4407.0706230815558</c:v>
                </c:pt>
                <c:pt idx="6">
                  <c:v>117458.85493322369</c:v>
                </c:pt>
                <c:pt idx="7">
                  <c:v>1104.0697642449575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23047</v>
      </c>
      <c r="B6" s="415"/>
      <c r="C6" s="416"/>
    </row>
    <row r="7" spans="1:7" s="413" customFormat="1" ht="15.75" customHeight="1">
      <c r="A7" s="417" t="str">
        <f>txtMunicipality</f>
        <v>MACHELEN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0.21964856716414863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0.21964856716414863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5435</v>
      </c>
      <c r="C9" s="342">
        <v>6055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90.03</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0</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21</v>
      </c>
      <c r="D36" s="334">
        <v>3491050.3473999999</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9728238.4901000001</v>
      </c>
    </row>
    <row r="39" spans="1:6">
      <c r="A39" s="348" t="s">
        <v>30</v>
      </c>
      <c r="B39" s="348" t="s">
        <v>31</v>
      </c>
      <c r="C39" s="334">
        <v>4831</v>
      </c>
      <c r="D39" s="334">
        <v>69644560.363000005</v>
      </c>
      <c r="E39" s="334">
        <v>5632</v>
      </c>
      <c r="F39" s="334">
        <v>18619668.395</v>
      </c>
    </row>
    <row r="40" spans="1:6">
      <c r="A40" s="348" t="s">
        <v>30</v>
      </c>
      <c r="B40" s="348" t="s">
        <v>29</v>
      </c>
      <c r="C40" s="334">
        <v>0</v>
      </c>
      <c r="D40" s="334">
        <v>0</v>
      </c>
      <c r="E40" s="334">
        <v>0</v>
      </c>
      <c r="F40" s="334">
        <v>0</v>
      </c>
    </row>
    <row r="41" spans="1:6">
      <c r="A41" s="348" t="s">
        <v>32</v>
      </c>
      <c r="B41" s="348" t="s">
        <v>33</v>
      </c>
      <c r="C41" s="334">
        <v>45</v>
      </c>
      <c r="D41" s="334">
        <v>4345137.8191</v>
      </c>
      <c r="E41" s="334">
        <v>80</v>
      </c>
      <c r="F41" s="334">
        <v>897029.24835000001</v>
      </c>
    </row>
    <row r="42" spans="1:6">
      <c r="A42" s="348" t="s">
        <v>32</v>
      </c>
      <c r="B42" s="348" t="s">
        <v>34</v>
      </c>
      <c r="C42" s="334">
        <v>0</v>
      </c>
      <c r="D42" s="334">
        <v>0</v>
      </c>
      <c r="E42" s="334">
        <v>4</v>
      </c>
      <c r="F42" s="334">
        <v>3382546.3563000001</v>
      </c>
    </row>
    <row r="43" spans="1:6">
      <c r="A43" s="348" t="s">
        <v>32</v>
      </c>
      <c r="B43" s="348" t="s">
        <v>35</v>
      </c>
      <c r="C43" s="334">
        <v>0</v>
      </c>
      <c r="D43" s="334">
        <v>0</v>
      </c>
      <c r="E43" s="334">
        <v>0</v>
      </c>
      <c r="F43" s="334">
        <v>0</v>
      </c>
    </row>
    <row r="44" spans="1:6">
      <c r="A44" s="348" t="s">
        <v>32</v>
      </c>
      <c r="B44" s="348" t="s">
        <v>36</v>
      </c>
      <c r="C44" s="334">
        <v>0</v>
      </c>
      <c r="D44" s="334">
        <v>0</v>
      </c>
      <c r="E44" s="334">
        <v>10</v>
      </c>
      <c r="F44" s="334">
        <v>114747.37970999999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55771.764238999996</v>
      </c>
    </row>
    <row r="48" spans="1:6">
      <c r="A48" s="348" t="s">
        <v>32</v>
      </c>
      <c r="B48" s="348" t="s">
        <v>29</v>
      </c>
      <c r="C48" s="334">
        <v>24</v>
      </c>
      <c r="D48" s="334">
        <v>2430119.1000999999</v>
      </c>
      <c r="E48" s="334">
        <v>31</v>
      </c>
      <c r="F48" s="334">
        <v>6524275.7432000004</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1</v>
      </c>
      <c r="D52" s="334">
        <v>0</v>
      </c>
      <c r="E52" s="334">
        <v>5</v>
      </c>
      <c r="F52" s="334">
        <v>13229.283389</v>
      </c>
    </row>
    <row r="53" spans="1:6">
      <c r="A53" s="348" t="s">
        <v>44</v>
      </c>
      <c r="B53" s="348" t="s">
        <v>45</v>
      </c>
      <c r="C53" s="334">
        <v>116</v>
      </c>
      <c r="D53" s="334">
        <v>4158856.1801</v>
      </c>
      <c r="E53" s="334">
        <v>296</v>
      </c>
      <c r="F53" s="334">
        <v>1817014.4694999999</v>
      </c>
    </row>
    <row r="54" spans="1:6">
      <c r="A54" s="348" t="s">
        <v>46</v>
      </c>
      <c r="B54" s="348" t="s">
        <v>47</v>
      </c>
      <c r="C54" s="334">
        <v>0</v>
      </c>
      <c r="D54" s="334">
        <v>0</v>
      </c>
      <c r="E54" s="334">
        <v>2</v>
      </c>
      <c r="F54" s="334">
        <v>1449799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1362212.9679</v>
      </c>
      <c r="E57" s="334">
        <v>40</v>
      </c>
      <c r="F57" s="334">
        <v>905616.04770999996</v>
      </c>
    </row>
    <row r="58" spans="1:6">
      <c r="A58" s="348" t="s">
        <v>49</v>
      </c>
      <c r="B58" s="348" t="s">
        <v>51</v>
      </c>
      <c r="C58" s="334">
        <v>7</v>
      </c>
      <c r="D58" s="334">
        <v>160007.63892</v>
      </c>
      <c r="E58" s="334">
        <v>14</v>
      </c>
      <c r="F58" s="334">
        <v>262061.47672999999</v>
      </c>
    </row>
    <row r="59" spans="1:6">
      <c r="A59" s="348" t="s">
        <v>49</v>
      </c>
      <c r="B59" s="348" t="s">
        <v>52</v>
      </c>
      <c r="C59" s="334">
        <v>27</v>
      </c>
      <c r="D59" s="334">
        <v>3598663.1836999999</v>
      </c>
      <c r="E59" s="334">
        <v>98</v>
      </c>
      <c r="F59" s="334">
        <v>16184502.545</v>
      </c>
    </row>
    <row r="60" spans="1:6">
      <c r="A60" s="348" t="s">
        <v>49</v>
      </c>
      <c r="B60" s="348" t="s">
        <v>53</v>
      </c>
      <c r="C60" s="334">
        <v>58</v>
      </c>
      <c r="D60" s="334">
        <v>10671760.579</v>
      </c>
      <c r="E60" s="334">
        <v>68</v>
      </c>
      <c r="F60" s="334">
        <v>11074930.931</v>
      </c>
    </row>
    <row r="61" spans="1:6">
      <c r="A61" s="348" t="s">
        <v>49</v>
      </c>
      <c r="B61" s="348" t="s">
        <v>54</v>
      </c>
      <c r="C61" s="334">
        <v>145</v>
      </c>
      <c r="D61" s="334">
        <v>52740748.450000003</v>
      </c>
      <c r="E61" s="334">
        <v>545</v>
      </c>
      <c r="F61" s="334">
        <v>114509592.54000001</v>
      </c>
    </row>
    <row r="62" spans="1:6">
      <c r="A62" s="348" t="s">
        <v>49</v>
      </c>
      <c r="B62" s="348" t="s">
        <v>55</v>
      </c>
      <c r="C62" s="334">
        <v>0</v>
      </c>
      <c r="D62" s="334">
        <v>0</v>
      </c>
      <c r="E62" s="334">
        <v>5</v>
      </c>
      <c r="F62" s="334">
        <v>2959.5456089999998</v>
      </c>
    </row>
    <row r="63" spans="1:6">
      <c r="A63" s="348" t="s">
        <v>49</v>
      </c>
      <c r="B63" s="348" t="s">
        <v>29</v>
      </c>
      <c r="C63" s="334">
        <v>147</v>
      </c>
      <c r="D63" s="334">
        <v>20388438.537</v>
      </c>
      <c r="E63" s="334">
        <v>149</v>
      </c>
      <c r="F63" s="334">
        <v>14961432.044</v>
      </c>
    </row>
    <row r="64" spans="1:6">
      <c r="A64" s="348" t="s">
        <v>56</v>
      </c>
      <c r="B64" s="348" t="s">
        <v>57</v>
      </c>
      <c r="C64" s="334">
        <v>0</v>
      </c>
      <c r="D64" s="334">
        <v>0</v>
      </c>
      <c r="E64" s="334">
        <v>0</v>
      </c>
      <c r="F64" s="334">
        <v>0</v>
      </c>
    </row>
    <row r="65" spans="1:6">
      <c r="A65" s="348" t="s">
        <v>56</v>
      </c>
      <c r="B65" s="348" t="s">
        <v>29</v>
      </c>
      <c r="C65" s="334">
        <v>5</v>
      </c>
      <c r="D65" s="334">
        <v>829894.29628999997</v>
      </c>
      <c r="E65" s="334">
        <v>5</v>
      </c>
      <c r="F65" s="334">
        <v>488519.89009</v>
      </c>
    </row>
    <row r="66" spans="1:6">
      <c r="A66" s="348" t="s">
        <v>56</v>
      </c>
      <c r="B66" s="348" t="s">
        <v>58</v>
      </c>
      <c r="C66" s="334">
        <v>0</v>
      </c>
      <c r="D66" s="334">
        <v>0</v>
      </c>
      <c r="E66" s="334">
        <v>20</v>
      </c>
      <c r="F66" s="334">
        <v>1717686.6676</v>
      </c>
    </row>
    <row r="67" spans="1:6">
      <c r="A67" s="355" t="s">
        <v>56</v>
      </c>
      <c r="B67" s="355" t="s">
        <v>59</v>
      </c>
      <c r="C67" s="334">
        <v>0</v>
      </c>
      <c r="D67" s="334">
        <v>0</v>
      </c>
      <c r="E67" s="334">
        <v>0</v>
      </c>
      <c r="F67" s="334">
        <v>0</v>
      </c>
    </row>
    <row r="68" spans="1:6">
      <c r="A68" s="341" t="s">
        <v>56</v>
      </c>
      <c r="B68" s="341" t="s">
        <v>60</v>
      </c>
      <c r="C68" s="334">
        <v>9</v>
      </c>
      <c r="D68" s="334">
        <v>1078312.1784000001</v>
      </c>
      <c r="E68" s="334">
        <v>8</v>
      </c>
      <c r="F68" s="334">
        <v>173302.99538000001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66897632</v>
      </c>
      <c r="E73" s="475">
        <v>82650346.676154256</v>
      </c>
    </row>
    <row r="74" spans="1:6">
      <c r="A74" s="348" t="s">
        <v>64</v>
      </c>
      <c r="B74" s="348" t="s">
        <v>667</v>
      </c>
      <c r="C74" s="1294" t="s">
        <v>669</v>
      </c>
      <c r="D74" s="475">
        <v>5108638.6089162137</v>
      </c>
      <c r="E74" s="475">
        <v>5943563.3857237352</v>
      </c>
    </row>
    <row r="75" spans="1:6">
      <c r="A75" s="348" t="s">
        <v>65</v>
      </c>
      <c r="B75" s="348" t="s">
        <v>666</v>
      </c>
      <c r="C75" s="1294" t="s">
        <v>670</v>
      </c>
      <c r="D75" s="475">
        <v>33104760</v>
      </c>
      <c r="E75" s="475">
        <v>40432015.064862676</v>
      </c>
    </row>
    <row r="76" spans="1:6">
      <c r="A76" s="348" t="s">
        <v>65</v>
      </c>
      <c r="B76" s="348" t="s">
        <v>667</v>
      </c>
      <c r="C76" s="1294" t="s">
        <v>671</v>
      </c>
      <c r="D76" s="475">
        <v>1817240.6089162135</v>
      </c>
      <c r="E76" s="475">
        <v>2151995.0143781668</v>
      </c>
    </row>
    <row r="77" spans="1:6">
      <c r="A77" s="348" t="s">
        <v>66</v>
      </c>
      <c r="B77" s="348" t="s">
        <v>666</v>
      </c>
      <c r="C77" s="1294" t="s">
        <v>672</v>
      </c>
      <c r="D77" s="475">
        <v>387589551</v>
      </c>
      <c r="E77" s="475">
        <v>431016176.88835114</v>
      </c>
    </row>
    <row r="78" spans="1:6">
      <c r="A78" s="341" t="s">
        <v>66</v>
      </c>
      <c r="B78" s="341" t="s">
        <v>667</v>
      </c>
      <c r="C78" s="341" t="s">
        <v>673</v>
      </c>
      <c r="D78" s="1295">
        <v>41724313</v>
      </c>
      <c r="E78" s="1295">
        <v>44298504.344331749</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1145078.782167573</v>
      </c>
      <c r="C83" s="475">
        <v>1145078.782167573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874.84079828018662</v>
      </c>
    </row>
    <row r="92" spans="1:6">
      <c r="A92" s="341" t="s">
        <v>69</v>
      </c>
      <c r="B92" s="342">
        <v>297.81323527963502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3462</v>
      </c>
    </row>
    <row r="98" spans="1:6">
      <c r="A98" s="348" t="s">
        <v>72</v>
      </c>
      <c r="B98" s="334">
        <v>6</v>
      </c>
    </row>
    <row r="99" spans="1:6">
      <c r="A99" s="348" t="s">
        <v>73</v>
      </c>
      <c r="B99" s="334">
        <v>10</v>
      </c>
    </row>
    <row r="100" spans="1:6">
      <c r="A100" s="348" t="s">
        <v>74</v>
      </c>
      <c r="B100" s="334">
        <v>268</v>
      </c>
    </row>
    <row r="101" spans="1:6">
      <c r="A101" s="348" t="s">
        <v>75</v>
      </c>
      <c r="B101" s="334">
        <v>18</v>
      </c>
    </row>
    <row r="102" spans="1:6">
      <c r="A102" s="348" t="s">
        <v>76</v>
      </c>
      <c r="B102" s="334">
        <v>86</v>
      </c>
    </row>
    <row r="103" spans="1:6">
      <c r="A103" s="348" t="s">
        <v>77</v>
      </c>
      <c r="B103" s="334">
        <v>66</v>
      </c>
    </row>
    <row r="104" spans="1:6">
      <c r="A104" s="348" t="s">
        <v>78</v>
      </c>
      <c r="B104" s="334">
        <v>830</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22</v>
      </c>
    </row>
    <row r="130" spans="1:6">
      <c r="A130" s="348" t="s">
        <v>295</v>
      </c>
      <c r="B130" s="334">
        <v>1</v>
      </c>
    </row>
    <row r="131" spans="1:6">
      <c r="A131" s="348" t="s">
        <v>296</v>
      </c>
      <c r="B131" s="334">
        <v>17</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191764.27754432213</v>
      </c>
      <c r="C3" s="43" t="s">
        <v>170</v>
      </c>
      <c r="D3" s="43"/>
      <c r="E3" s="154"/>
      <c r="F3" s="43"/>
      <c r="G3" s="43"/>
      <c r="H3" s="43"/>
      <c r="I3" s="43"/>
      <c r="J3" s="43"/>
      <c r="K3" s="96"/>
    </row>
    <row r="4" spans="1:11">
      <c r="A4" s="383" t="s">
        <v>171</v>
      </c>
      <c r="B4" s="49">
        <f>IF(ISERROR('SEAP template'!B78+'SEAP template'!C78),0,'SEAP template'!B78+'SEAP template'!C78)</f>
        <v>1172.6540335598215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0.21964856716414863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1449.799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1449.799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0.21964856716414863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318.44627302601549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18619.668395000001</v>
      </c>
      <c r="C5" s="17">
        <f>IF(ISERROR('Eigen informatie GS &amp; warmtenet'!B57),0,'Eigen informatie GS &amp; warmtenet'!B57)</f>
        <v>0</v>
      </c>
      <c r="D5" s="30">
        <f>(SUM(HH_hh_gas_kWh,HH_rest_gas_kWh)/1000)*0.902</f>
        <v>62819.39344742601</v>
      </c>
      <c r="E5" s="17">
        <f>B46*B57</f>
        <v>459.23481632108127</v>
      </c>
      <c r="F5" s="17">
        <f>B51*B62</f>
        <v>0</v>
      </c>
      <c r="G5" s="18"/>
      <c r="H5" s="17"/>
      <c r="I5" s="17"/>
      <c r="J5" s="17">
        <f>B50*B61+C50*C61</f>
        <v>0</v>
      </c>
      <c r="K5" s="17"/>
      <c r="L5" s="17"/>
      <c r="M5" s="17"/>
      <c r="N5" s="17">
        <f>B48*B59+C48*C59</f>
        <v>2347.6629053578545</v>
      </c>
      <c r="O5" s="17">
        <f>B69*B70*B71</f>
        <v>37.520000000000003</v>
      </c>
      <c r="P5" s="17">
        <f>B77*B78*B79/1000-B77*B78*B79/1000/B80</f>
        <v>57.2</v>
      </c>
    </row>
    <row r="6" spans="1:16">
      <c r="A6" s="16" t="s">
        <v>624</v>
      </c>
      <c r="B6" s="788">
        <f>kWh_PV_kleiner_dan_10kW</f>
        <v>874.84079828018662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19494.509193280188</v>
      </c>
      <c r="C8" s="21">
        <f>C5</f>
        <v>0</v>
      </c>
      <c r="D8" s="21">
        <f>D5</f>
        <v>62819.39344742601</v>
      </c>
      <c r="E8" s="21">
        <f>E5</f>
        <v>459.23481632108127</v>
      </c>
      <c r="F8" s="21">
        <f>F5</f>
        <v>0</v>
      </c>
      <c r="G8" s="21"/>
      <c r="H8" s="21"/>
      <c r="I8" s="21"/>
      <c r="J8" s="21">
        <f>J5</f>
        <v>0</v>
      </c>
      <c r="K8" s="21"/>
      <c r="L8" s="21">
        <f>L5</f>
        <v>0</v>
      </c>
      <c r="M8" s="21">
        <f>M5</f>
        <v>0</v>
      </c>
      <c r="N8" s="21">
        <f>N5</f>
        <v>2347.6629053578545</v>
      </c>
      <c r="O8" s="21">
        <f>O5</f>
        <v>37.520000000000003</v>
      </c>
      <c r="P8" s="21">
        <f>P5</f>
        <v>57.2</v>
      </c>
    </row>
    <row r="9" spans="1:16">
      <c r="B9" s="19"/>
      <c r="C9" s="19"/>
      <c r="D9" s="258"/>
      <c r="E9" s="19"/>
      <c r="F9" s="19"/>
      <c r="G9" s="19"/>
      <c r="H9" s="19"/>
      <c r="I9" s="19"/>
      <c r="J9" s="19"/>
      <c r="K9" s="19"/>
      <c r="L9" s="19"/>
      <c r="M9" s="19"/>
      <c r="N9" s="19"/>
      <c r="O9" s="19"/>
      <c r="P9" s="19"/>
    </row>
    <row r="10" spans="1:16">
      <c r="A10" s="24" t="s">
        <v>214</v>
      </c>
      <c r="B10" s="25">
        <f ca="1">'EF ele_warmte'!B12</f>
        <v>0.21964856716414863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4281.9410118723163</v>
      </c>
      <c r="C12" s="23">
        <f ca="1">C10*C8</f>
        <v>0</v>
      </c>
      <c r="D12" s="23">
        <f>D8*D10</f>
        <v>12689.517476380055</v>
      </c>
      <c r="E12" s="23">
        <f>E10*E8</f>
        <v>104.24630330488546</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3462</v>
      </c>
      <c r="C18" s="166" t="s">
        <v>111</v>
      </c>
      <c r="D18" s="228"/>
      <c r="E18" s="15"/>
    </row>
    <row r="19" spans="1:7">
      <c r="A19" s="171" t="s">
        <v>72</v>
      </c>
      <c r="B19" s="37">
        <f>aantalw2001_ander</f>
        <v>6</v>
      </c>
      <c r="C19" s="166" t="s">
        <v>111</v>
      </c>
      <c r="D19" s="229"/>
      <c r="E19" s="15"/>
    </row>
    <row r="20" spans="1:7">
      <c r="A20" s="171" t="s">
        <v>73</v>
      </c>
      <c r="B20" s="37">
        <f>aantalw2001_propaan</f>
        <v>10</v>
      </c>
      <c r="C20" s="167">
        <f>IF(ISERROR(B20/SUM($B$20,$B$21,$B$22)*100),0,B20/SUM($B$20,$B$21,$B$22)*100)</f>
        <v>3.3783783783783785</v>
      </c>
      <c r="D20" s="229"/>
      <c r="E20" s="15"/>
    </row>
    <row r="21" spans="1:7">
      <c r="A21" s="171" t="s">
        <v>74</v>
      </c>
      <c r="B21" s="37">
        <f>aantalw2001_elektriciteit</f>
        <v>268</v>
      </c>
      <c r="C21" s="167">
        <f>IF(ISERROR(B21/SUM($B$20,$B$21,$B$22)*100),0,B21/SUM($B$20,$B$21,$B$22)*100)</f>
        <v>90.540540540540533</v>
      </c>
      <c r="D21" s="229"/>
      <c r="E21" s="15"/>
    </row>
    <row r="22" spans="1:7">
      <c r="A22" s="171" t="s">
        <v>75</v>
      </c>
      <c r="B22" s="37">
        <f>aantalw2001_hout</f>
        <v>18</v>
      </c>
      <c r="C22" s="167">
        <f>IF(ISERROR(B22/SUM($B$20,$B$21,$B$22)*100),0,B22/SUM($B$20,$B$21,$B$22)*100)</f>
        <v>6.0810810810810816</v>
      </c>
      <c r="D22" s="229"/>
      <c r="E22" s="15"/>
    </row>
    <row r="23" spans="1:7">
      <c r="A23" s="171" t="s">
        <v>76</v>
      </c>
      <c r="B23" s="37">
        <f>aantalw2001_niet_gespec</f>
        <v>86</v>
      </c>
      <c r="C23" s="166" t="s">
        <v>111</v>
      </c>
      <c r="D23" s="228"/>
      <c r="E23" s="15"/>
    </row>
    <row r="24" spans="1:7">
      <c r="A24" s="171" t="s">
        <v>77</v>
      </c>
      <c r="B24" s="37">
        <f>aantalw2001_steenkool</f>
        <v>66</v>
      </c>
      <c r="C24" s="166" t="s">
        <v>111</v>
      </c>
      <c r="D24" s="229"/>
      <c r="E24" s="15"/>
    </row>
    <row r="25" spans="1:7">
      <c r="A25" s="171" t="s">
        <v>78</v>
      </c>
      <c r="B25" s="37">
        <f>aantalw2001_stookolie</f>
        <v>830</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5435</v>
      </c>
      <c r="C28" s="36"/>
      <c r="D28" s="228"/>
    </row>
    <row r="29" spans="1:7" s="15" customFormat="1">
      <c r="A29" s="230" t="s">
        <v>699</v>
      </c>
      <c r="B29" s="37">
        <f>SUM(HH_hh_gas_aantal,HH_rest_gas_aantal)</f>
        <v>4831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4831</v>
      </c>
      <c r="C32" s="167">
        <f>IF(ISERROR(B32/SUM($B$32,$B$34,$B$35,$B$36,$B$38,$B$39)*100),0,B32/SUM($B$32,$B$34,$B$35,$B$36,$B$38,$B$39)*100)</f>
        <v>88.935935198821795</v>
      </c>
      <c r="D32" s="233"/>
      <c r="G32" s="15"/>
    </row>
    <row r="33" spans="1:7">
      <c r="A33" s="171" t="s">
        <v>72</v>
      </c>
      <c r="B33" s="34" t="s">
        <v>111</v>
      </c>
      <c r="C33" s="167"/>
      <c r="D33" s="233"/>
      <c r="G33" s="15"/>
    </row>
    <row r="34" spans="1:7">
      <c r="A34" s="171" t="s">
        <v>73</v>
      </c>
      <c r="B34" s="33">
        <f>IF((($B$28-$B$32-$B$39-$B$77-$B$38)*C20/100)&lt;0,0,($B$28-$B$32-$B$39-$B$77-$B$38)*C20/100)</f>
        <v>20.304054054054053</v>
      </c>
      <c r="C34" s="167">
        <f>IF(ISERROR(B34/SUM($B$32,$B$34,$B$35,$B$36,$B$38,$B$39)*100),0,B34/SUM($B$32,$B$34,$B$35,$B$36,$B$38,$B$39)*100)</f>
        <v>0.37378597301277711</v>
      </c>
      <c r="D34" s="233"/>
      <c r="G34" s="15"/>
    </row>
    <row r="35" spans="1:7">
      <c r="A35" s="171" t="s">
        <v>74</v>
      </c>
      <c r="B35" s="33">
        <f>IF((($B$28-$B$32-$B$39-$B$77-$B$38)*C21/100)&lt;0,0,($B$28-$B$32-$B$39-$B$77-$B$38)*C21/100)</f>
        <v>544.14864864864865</v>
      </c>
      <c r="C35" s="167">
        <f>IF(ISERROR(B35/SUM($B$32,$B$34,$B$35,$B$36,$B$38,$B$39)*100),0,B35/SUM($B$32,$B$34,$B$35,$B$36,$B$38,$B$39)*100)</f>
        <v>10.017464076742428</v>
      </c>
      <c r="D35" s="233"/>
      <c r="G35" s="15"/>
    </row>
    <row r="36" spans="1:7">
      <c r="A36" s="171" t="s">
        <v>75</v>
      </c>
      <c r="B36" s="33">
        <f>IF((($B$28-$B$32-$B$39-$B$77-$B$38)*C22/100)&lt;0,0,($B$28-$B$32-$B$39-$B$77-$B$38)*C22/100)</f>
        <v>36.547297297297298</v>
      </c>
      <c r="C36" s="167">
        <f>IF(ISERROR(B36/SUM($B$32,$B$34,$B$35,$B$36,$B$38,$B$39)*100),0,B36/SUM($B$32,$B$34,$B$35,$B$36,$B$38,$B$39)*100)</f>
        <v>0.67281475142299885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4831</v>
      </c>
      <c r="C44" s="34" t="s">
        <v>111</v>
      </c>
      <c r="D44" s="174"/>
    </row>
    <row r="45" spans="1:7">
      <c r="A45" s="171" t="s">
        <v>72</v>
      </c>
      <c r="B45" s="33" t="str">
        <f t="shared" si="0"/>
        <v>-</v>
      </c>
      <c r="C45" s="34" t="s">
        <v>111</v>
      </c>
      <c r="D45" s="174"/>
    </row>
    <row r="46" spans="1:7">
      <c r="A46" s="171" t="s">
        <v>73</v>
      </c>
      <c r="B46" s="33">
        <f t="shared" si="0"/>
        <v>20.304054054054053</v>
      </c>
      <c r="C46" s="34" t="s">
        <v>111</v>
      </c>
      <c r="D46" s="174"/>
    </row>
    <row r="47" spans="1:7">
      <c r="A47" s="171" t="s">
        <v>74</v>
      </c>
      <c r="B47" s="33">
        <f t="shared" si="0"/>
        <v>544.14864864864865</v>
      </c>
      <c r="C47" s="34" t="s">
        <v>111</v>
      </c>
      <c r="D47" s="174"/>
    </row>
    <row r="48" spans="1:7">
      <c r="A48" s="171" t="s">
        <v>75</v>
      </c>
      <c r="B48" s="33">
        <f t="shared" si="0"/>
        <v>36.547297297297298</v>
      </c>
      <c r="C48" s="33">
        <f>B48*10</f>
        <v>365.47297297297297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157901.09513004901</v>
      </c>
      <c r="C5" s="17">
        <f>IF(ISERROR('Eigen informatie GS &amp; warmtenet'!B58),0,'Eigen informatie GS &amp; warmtenet'!B58)</f>
        <v>0</v>
      </c>
      <c r="D5" s="30">
        <f>SUM(D6:D12)</f>
        <v>80207.491883581039</v>
      </c>
      <c r="E5" s="17">
        <f>SUM(E6:E12)</f>
        <v>2641.2113225512958</v>
      </c>
      <c r="F5" s="17">
        <f>SUM(F6:F12)</f>
        <v>41245.435843864419</v>
      </c>
      <c r="G5" s="18"/>
      <c r="H5" s="17"/>
      <c r="I5" s="17"/>
      <c r="J5" s="17">
        <f>SUM(J6:J12)</f>
        <v>0</v>
      </c>
      <c r="K5" s="17"/>
      <c r="L5" s="17"/>
      <c r="M5" s="17"/>
      <c r="N5" s="17">
        <f>SUM(N6:N12)</f>
        <v>2173.7649460895936</v>
      </c>
      <c r="O5" s="17">
        <f>B38*B39*B40</f>
        <v>1.5633333333333335</v>
      </c>
      <c r="P5" s="17">
        <f>B46*B47*B48/1000-B46*B47*B48/1000/B49</f>
        <v>324.13333333333333</v>
      </c>
      <c r="R5" s="32"/>
    </row>
    <row r="6" spans="1:18">
      <c r="A6" s="32" t="s">
        <v>54</v>
      </c>
      <c r="B6" s="37">
        <f>B26</f>
        <v>114509.59254000001</v>
      </c>
      <c r="C6" s="33"/>
      <c r="D6" s="37">
        <f>IF(ISERROR(TER_kantoor_gas_kWh/1000),0,TER_kantoor_gas_kWh/1000)*0.902</f>
        <v>47572.155101900004</v>
      </c>
      <c r="E6" s="33">
        <f>$C$26*'E Balans VL '!I12/100/3.6*1000000</f>
        <v>1499.0716217130143</v>
      </c>
      <c r="F6" s="33">
        <f>$C$26*('E Balans VL '!L12+'E Balans VL '!N12)/100/3.6*1000000</f>
        <v>29198.76279977267</v>
      </c>
      <c r="G6" s="34"/>
      <c r="H6" s="33"/>
      <c r="I6" s="33"/>
      <c r="J6" s="33">
        <f>$C$26*('E Balans VL '!D12+'E Balans VL '!E12)/100/3.6*1000000</f>
        <v>0</v>
      </c>
      <c r="K6" s="33"/>
      <c r="L6" s="33"/>
      <c r="M6" s="33"/>
      <c r="N6" s="33">
        <f>$C$26*'E Balans VL '!Y12/100/3.6*1000000</f>
        <v>114.89519745942299</v>
      </c>
      <c r="O6" s="33"/>
      <c r="P6" s="33"/>
      <c r="R6" s="32"/>
    </row>
    <row r="7" spans="1:18">
      <c r="A7" s="32" t="s">
        <v>53</v>
      </c>
      <c r="B7" s="37">
        <f t="shared" ref="B7:B12" si="0">B27</f>
        <v>11074.930930999999</v>
      </c>
      <c r="C7" s="33"/>
      <c r="D7" s="37">
        <f>IF(ISERROR(TER_horeca_gas_kWh/1000),0,TER_horeca_gas_kWh/1000)*0.902</f>
        <v>9625.9280422579996</v>
      </c>
      <c r="E7" s="33">
        <f>$C$27*'E Balans VL '!I9/100/3.6*1000000</f>
        <v>366.51284727112079</v>
      </c>
      <c r="F7" s="33">
        <f>$C$27*('E Balans VL '!L9+'E Balans VL '!N9)/100/3.6*1000000</f>
        <v>4762.1778560534713</v>
      </c>
      <c r="G7" s="34"/>
      <c r="H7" s="33"/>
      <c r="I7" s="33"/>
      <c r="J7" s="33">
        <f>$C$27*('E Balans VL '!D9+'E Balans VL '!E9)/100/3.6*1000000</f>
        <v>0</v>
      </c>
      <c r="K7" s="33"/>
      <c r="L7" s="33"/>
      <c r="M7" s="33"/>
      <c r="N7" s="33">
        <f>$C$27*'E Balans VL '!Y9/100/3.6*1000000</f>
        <v>2.6658967007379655</v>
      </c>
      <c r="O7" s="33"/>
      <c r="P7" s="33"/>
      <c r="R7" s="32"/>
    </row>
    <row r="8" spans="1:18">
      <c r="A8" s="6" t="s">
        <v>52</v>
      </c>
      <c r="B8" s="37">
        <f t="shared" si="0"/>
        <v>16184.502544999999</v>
      </c>
      <c r="C8" s="33"/>
      <c r="D8" s="37">
        <f>IF(ISERROR(TER_handel_gas_kWh/1000),0,TER_handel_gas_kWh/1000)*0.902</f>
        <v>3245.9941916973999</v>
      </c>
      <c r="E8" s="33">
        <f>$C$28*'E Balans VL '!I13/100/3.6*1000000</f>
        <v>510.80762950398548</v>
      </c>
      <c r="F8" s="33">
        <f>$C$28*('E Balans VL '!L13+'E Balans VL '!N13)/100/3.6*1000000</f>
        <v>3174.0659404704829</v>
      </c>
      <c r="G8" s="34"/>
      <c r="H8" s="33"/>
      <c r="I8" s="33"/>
      <c r="J8" s="33">
        <f>$C$28*('E Balans VL '!D13+'E Balans VL '!E13)/100/3.6*1000000</f>
        <v>0</v>
      </c>
      <c r="K8" s="33"/>
      <c r="L8" s="33"/>
      <c r="M8" s="33"/>
      <c r="N8" s="33">
        <f>$C$28*'E Balans VL '!Y13/100/3.6*1000000</f>
        <v>19.207862338320783</v>
      </c>
      <c r="O8" s="33"/>
      <c r="P8" s="33"/>
      <c r="R8" s="32"/>
    </row>
    <row r="9" spans="1:18">
      <c r="A9" s="32" t="s">
        <v>51</v>
      </c>
      <c r="B9" s="37">
        <f t="shared" si="0"/>
        <v>262.06147672999998</v>
      </c>
      <c r="C9" s="33"/>
      <c r="D9" s="37">
        <f>IF(ISERROR(TER_gezond_gas_kWh/1000),0,TER_gezond_gas_kWh/1000)*0.902</f>
        <v>144.32689030584001</v>
      </c>
      <c r="E9" s="33">
        <f>$C$29*'E Balans VL '!I10/100/3.6*1000000</f>
        <v>3.3551535459837835E-2</v>
      </c>
      <c r="F9" s="33">
        <f>$C$29*('E Balans VL '!L10+'E Balans VL '!N10)/100/3.6*1000000</f>
        <v>54.598389605959937</v>
      </c>
      <c r="G9" s="34"/>
      <c r="H9" s="33"/>
      <c r="I9" s="33"/>
      <c r="J9" s="33">
        <f>$C$29*('E Balans VL '!D10+'E Balans VL '!E10)/100/3.6*1000000</f>
        <v>0</v>
      </c>
      <c r="K9" s="33"/>
      <c r="L9" s="33"/>
      <c r="M9" s="33"/>
      <c r="N9" s="33">
        <f>$C$29*'E Balans VL '!Y10/100/3.6*1000000</f>
        <v>3.0780359107319684</v>
      </c>
      <c r="O9" s="33"/>
      <c r="P9" s="33"/>
      <c r="R9" s="32"/>
    </row>
    <row r="10" spans="1:18">
      <c r="A10" s="32" t="s">
        <v>50</v>
      </c>
      <c r="B10" s="37">
        <f t="shared" si="0"/>
        <v>905.61604770999998</v>
      </c>
      <c r="C10" s="33"/>
      <c r="D10" s="37">
        <f>IF(ISERROR(TER_ander_gas_kWh/1000),0,TER_ander_gas_kWh/1000)*0.902</f>
        <v>1228.7160970458001</v>
      </c>
      <c r="E10" s="33">
        <f>$C$30*'E Balans VL '!I14/100/3.6*1000000</f>
        <v>1.3618335660255498</v>
      </c>
      <c r="F10" s="33">
        <f>$C$30*('E Balans VL '!L14+'E Balans VL '!N14)/100/3.6*1000000</f>
        <v>199.93083116604464</v>
      </c>
      <c r="G10" s="34"/>
      <c r="H10" s="33"/>
      <c r="I10" s="33"/>
      <c r="J10" s="33">
        <f>$C$30*('E Balans VL '!D14+'E Balans VL '!E14)/100/3.6*1000000</f>
        <v>0</v>
      </c>
      <c r="K10" s="33"/>
      <c r="L10" s="33"/>
      <c r="M10" s="33"/>
      <c r="N10" s="33">
        <f>$C$30*'E Balans VL '!Y14/100/3.6*1000000</f>
        <v>713.68639125761069</v>
      </c>
      <c r="O10" s="33"/>
      <c r="P10" s="33"/>
      <c r="R10" s="32"/>
    </row>
    <row r="11" spans="1:18">
      <c r="A11" s="32" t="s">
        <v>55</v>
      </c>
      <c r="B11" s="37">
        <f t="shared" si="0"/>
        <v>2.9595456089999996</v>
      </c>
      <c r="C11" s="33"/>
      <c r="D11" s="37">
        <f>IF(ISERROR(TER_onderwijs_gas_kWh/1000),0,TER_onderwijs_gas_kWh/1000)*0.902</f>
        <v>0</v>
      </c>
      <c r="E11" s="33">
        <f>$C$31*'E Balans VL '!I11/100/3.6*1000000</f>
        <v>5.2120078265137553E-3</v>
      </c>
      <c r="F11" s="33">
        <f>$C$31*('E Balans VL '!L11+'E Balans VL '!N11)/100/3.6*1000000</f>
        <v>1.3664757605645219</v>
      </c>
      <c r="G11" s="34"/>
      <c r="H11" s="33"/>
      <c r="I11" s="33"/>
      <c r="J11" s="33">
        <f>$C$31*('E Balans VL '!D11+'E Balans VL '!E11)/100/3.6*1000000</f>
        <v>0</v>
      </c>
      <c r="K11" s="33"/>
      <c r="L11" s="33"/>
      <c r="M11" s="33"/>
      <c r="N11" s="33">
        <f>$C$31*'E Balans VL '!Y11/100/3.6*1000000</f>
        <v>5.513674396468311E-3</v>
      </c>
      <c r="O11" s="33"/>
      <c r="P11" s="33"/>
      <c r="R11" s="32"/>
    </row>
    <row r="12" spans="1:18">
      <c r="A12" s="32" t="s">
        <v>260</v>
      </c>
      <c r="B12" s="37">
        <f t="shared" si="0"/>
        <v>14961.432043999999</v>
      </c>
      <c r="C12" s="33"/>
      <c r="D12" s="37">
        <f>IF(ISERROR(TER_rest_gas_kWh/1000),0,TER_rest_gas_kWh/1000)*0.902</f>
        <v>18390.371560374002</v>
      </c>
      <c r="E12" s="33">
        <f>$C$32*'E Balans VL '!I8/100/3.6*1000000</f>
        <v>263.41862695386322</v>
      </c>
      <c r="F12" s="33">
        <f>$C$32*('E Balans VL '!L8+'E Balans VL '!N8)/100/3.6*1000000</f>
        <v>3854.5335510352229</v>
      </c>
      <c r="G12" s="34"/>
      <c r="H12" s="33"/>
      <c r="I12" s="33"/>
      <c r="J12" s="33">
        <f>$C$32*('E Balans VL '!D8+'E Balans VL '!E8)/100/3.6*1000000</f>
        <v>0</v>
      </c>
      <c r="K12" s="33"/>
      <c r="L12" s="33"/>
      <c r="M12" s="33"/>
      <c r="N12" s="33">
        <f>$C$32*'E Balans VL '!Y8/100/3.6*1000000</f>
        <v>1320.2260487483725</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157901.09513004901</v>
      </c>
      <c r="C16" s="21">
        <f t="shared" ca="1" si="1"/>
        <v>0</v>
      </c>
      <c r="D16" s="21">
        <f t="shared" ca="1" si="1"/>
        <v>80207.491883581039</v>
      </c>
      <c r="E16" s="21">
        <f t="shared" si="1"/>
        <v>2641.2113225512958</v>
      </c>
      <c r="F16" s="21">
        <f t="shared" ca="1" si="1"/>
        <v>41245.435843864419</v>
      </c>
      <c r="G16" s="21">
        <f t="shared" si="1"/>
        <v>0</v>
      </c>
      <c r="H16" s="21">
        <f t="shared" si="1"/>
        <v>0</v>
      </c>
      <c r="I16" s="21">
        <f t="shared" si="1"/>
        <v>0</v>
      </c>
      <c r="J16" s="21">
        <f t="shared" si="1"/>
        <v>0</v>
      </c>
      <c r="K16" s="21">
        <f t="shared" si="1"/>
        <v>0</v>
      </c>
      <c r="L16" s="21">
        <f t="shared" ca="1" si="1"/>
        <v>0</v>
      </c>
      <c r="M16" s="21">
        <f t="shared" si="1"/>
        <v>0</v>
      </c>
      <c r="N16" s="21">
        <f t="shared" ca="1" si="1"/>
        <v>2173.7649460895936</v>
      </c>
      <c r="O16" s="21">
        <f>O5</f>
        <v>1.5633333333333335</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0.21964856716414863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34682.749298965195</v>
      </c>
      <c r="C20" s="23">
        <f t="shared" ref="C20:P20" ca="1" si="2">C16*C18</f>
        <v>0</v>
      </c>
      <c r="D20" s="23">
        <f t="shared" ca="1" si="2"/>
        <v>16201.913360483371</v>
      </c>
      <c r="E20" s="23">
        <f t="shared" si="2"/>
        <v>599.55497021914414</v>
      </c>
      <c r="F20" s="23">
        <f t="shared" ca="1" si="2"/>
        <v>11012.531370311801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114509.59254000001</v>
      </c>
      <c r="C26" s="39">
        <f>IF(ISERROR(B26*3.6/1000000/'E Balans VL '!Z12*100),0,B26*3.6/1000000/'E Balans VL '!Z12*100)</f>
        <v>2.4528844312452214</v>
      </c>
      <c r="D26" s="237" t="s">
        <v>660</v>
      </c>
      <c r="F26" s="6"/>
    </row>
    <row r="27" spans="1:18">
      <c r="A27" s="231" t="s">
        <v>53</v>
      </c>
      <c r="B27" s="33">
        <f>IF(ISERROR(TER_horeca_ele_kWh/1000),0,TER_horeca_ele_kWh/1000)</f>
        <v>11074.930930999999</v>
      </c>
      <c r="C27" s="39">
        <f>IF(ISERROR(B27*3.6/1000000/'E Balans VL '!Z9*100),0,B27*3.6/1000000/'E Balans VL '!Z9*100)</f>
        <v>0.88872471114576945</v>
      </c>
      <c r="D27" s="237" t="s">
        <v>660</v>
      </c>
      <c r="F27" s="6"/>
    </row>
    <row r="28" spans="1:18">
      <c r="A28" s="171" t="s">
        <v>52</v>
      </c>
      <c r="B28" s="33">
        <f>IF(ISERROR(TER_handel_ele_kWh/1000),0,TER_handel_ele_kWh/1000)</f>
        <v>16184.502544999999</v>
      </c>
      <c r="C28" s="39">
        <f>IF(ISERROR(B28*3.6/1000000/'E Balans VL '!Z13*100),0,B28*3.6/1000000/'E Balans VL '!Z13*100)</f>
        <v>0.47734999447361387</v>
      </c>
      <c r="D28" s="237" t="s">
        <v>660</v>
      </c>
      <c r="F28" s="6"/>
    </row>
    <row r="29" spans="1:18">
      <c r="A29" s="231" t="s">
        <v>51</v>
      </c>
      <c r="B29" s="33">
        <f>IF(ISERROR(TER_gezond_ele_kWh/1000),0,TER_gezond_ele_kWh/1000)</f>
        <v>262.06147672999998</v>
      </c>
      <c r="C29" s="39">
        <f>IF(ISERROR(B29*3.6/1000000/'E Balans VL '!Z10*100),0,B29*3.6/1000000/'E Balans VL '!Z10*100)</f>
        <v>2.7981139583095095E-2</v>
      </c>
      <c r="D29" s="237" t="s">
        <v>660</v>
      </c>
      <c r="F29" s="6"/>
    </row>
    <row r="30" spans="1:18">
      <c r="A30" s="231" t="s">
        <v>50</v>
      </c>
      <c r="B30" s="33">
        <f>IF(ISERROR(TER_ander_ele_kWh/1000),0,TER_ander_ele_kWh/1000)</f>
        <v>905.61604770999998</v>
      </c>
      <c r="C30" s="39">
        <f>IF(ISERROR(B30*3.6/1000000/'E Balans VL '!Z14*100),0,B30*3.6/1000000/'E Balans VL '!Z14*100)</f>
        <v>6.8404736294309945E-2</v>
      </c>
      <c r="D30" s="237" t="s">
        <v>660</v>
      </c>
      <c r="F30" s="6"/>
    </row>
    <row r="31" spans="1:18">
      <c r="A31" s="231" t="s">
        <v>55</v>
      </c>
      <c r="B31" s="33">
        <f>IF(ISERROR(TER_onderwijs_ele_kWh/1000),0,TER_onderwijs_ele_kWh/1000)</f>
        <v>2.9595456089999996</v>
      </c>
      <c r="C31" s="39">
        <f>IF(ISERROR(B31*3.6/1000000/'E Balans VL '!Z11*100),0,B31*3.6/1000000/'E Balans VL '!Z11*100)</f>
        <v>5.9763105572203316E-4</v>
      </c>
      <c r="D31" s="237" t="s">
        <v>660</v>
      </c>
    </row>
    <row r="32" spans="1:18">
      <c r="A32" s="231" t="s">
        <v>260</v>
      </c>
      <c r="B32" s="33">
        <f>IF(ISERROR(TER_rest_ele_kWh/1000),0,TER_rest_ele_kWh/1000)</f>
        <v>14961.432043999999</v>
      </c>
      <c r="C32" s="39">
        <f>IF(ISERROR(B32*3.6/1000000/'E Balans VL '!Z8*100),0,B32*3.6/1000000/'E Balans VL '!Z8*100)</f>
        <v>0.12405110528858486</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17</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10974.370491799</v>
      </c>
      <c r="C5" s="17">
        <f>IF(ISERROR('Eigen informatie GS &amp; warmtenet'!B59),0,'Eigen informatie GS &amp; warmtenet'!B59)</f>
        <v>0</v>
      </c>
      <c r="D5" s="30">
        <f>SUM(D6:D15)</f>
        <v>6111.2817411184005</v>
      </c>
      <c r="E5" s="17">
        <f>SUM(E6:E15)</f>
        <v>595.47013961415496</v>
      </c>
      <c r="F5" s="17">
        <f>SUM(F6:F15)</f>
        <v>2272.9190789392214</v>
      </c>
      <c r="G5" s="18"/>
      <c r="H5" s="17"/>
      <c r="I5" s="17"/>
      <c r="J5" s="17">
        <f>SUM(J6:J15)</f>
        <v>56.626671057319356</v>
      </c>
      <c r="K5" s="17"/>
      <c r="L5" s="17"/>
      <c r="M5" s="17"/>
      <c r="N5" s="17">
        <f>SUM(N6:N15)</f>
        <v>1771.4936634874537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114.74737970999999</v>
      </c>
      <c r="C8" s="33"/>
      <c r="D8" s="37">
        <f>IF( ISERROR(IND_metaal_Gas_kWH/1000),0,IND_metaal_Gas_kWH/1000)*0.902</f>
        <v>0</v>
      </c>
      <c r="E8" s="33">
        <f>C30*'E Balans VL '!I18/100/3.6*1000000</f>
        <v>4.1289578563209677</v>
      </c>
      <c r="F8" s="33">
        <f>C30*'E Balans VL '!L18/100/3.6*1000000+C30*'E Balans VL '!N18/100/3.6*1000000</f>
        <v>50.106461009509893</v>
      </c>
      <c r="G8" s="34"/>
      <c r="H8" s="33"/>
      <c r="I8" s="33"/>
      <c r="J8" s="40">
        <f>C30*'E Balans VL '!D18/100/3.6*1000000+C30*'E Balans VL '!E18/100/3.6*1000000</f>
        <v>0</v>
      </c>
      <c r="K8" s="33"/>
      <c r="L8" s="33"/>
      <c r="M8" s="33"/>
      <c r="N8" s="33">
        <f>C30*'E Balans VL '!Y18/100/3.6*1000000</f>
        <v>5.7510606919580507</v>
      </c>
      <c r="O8" s="33"/>
      <c r="P8" s="33"/>
      <c r="R8" s="32"/>
    </row>
    <row r="9" spans="1:18">
      <c r="A9" s="6" t="s">
        <v>33</v>
      </c>
      <c r="B9" s="37">
        <f t="shared" si="0"/>
        <v>897.02924834999999</v>
      </c>
      <c r="C9" s="33"/>
      <c r="D9" s="37">
        <f>IF( ISERROR(IND_andere_gas_kWh/1000),0,IND_andere_gas_kWh/1000)*0.902</f>
        <v>3919.3143128282004</v>
      </c>
      <c r="E9" s="33">
        <f>C31*'E Balans VL '!I19/100/3.6*1000000</f>
        <v>228.90156832371031</v>
      </c>
      <c r="F9" s="33">
        <f>C31*'E Balans VL '!L19/100/3.6*1000000+C31*'E Balans VL '!N19/100/3.6*1000000</f>
        <v>772.27475948984966</v>
      </c>
      <c r="G9" s="34"/>
      <c r="H9" s="33"/>
      <c r="I9" s="33"/>
      <c r="J9" s="40">
        <f>C31*'E Balans VL '!D19/100/3.6*1000000+C31*'E Balans VL '!E19/100/3.6*1000000</f>
        <v>0</v>
      </c>
      <c r="K9" s="33"/>
      <c r="L9" s="33"/>
      <c r="M9" s="33"/>
      <c r="N9" s="33">
        <f>C31*'E Balans VL '!Y19/100/3.6*1000000</f>
        <v>280.53176600243717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55.771764238999999</v>
      </c>
      <c r="C13" s="33"/>
      <c r="D13" s="37">
        <f>IF( ISERROR(IND_papier_gas_kWh/1000),0,IND_papier_gas_kWh/1000)*0.902</f>
        <v>0</v>
      </c>
      <c r="E13" s="33">
        <f>C35*'E Balans VL '!I23/100/3.6*1000000</f>
        <v>0.23918887182303275</v>
      </c>
      <c r="F13" s="33">
        <f>C35*'E Balans VL '!L23/100/3.6*1000000+C35*'E Balans VL '!N23/100/3.6*1000000</f>
        <v>1.4017175398624255</v>
      </c>
      <c r="G13" s="34"/>
      <c r="H13" s="33"/>
      <c r="I13" s="33"/>
      <c r="J13" s="40">
        <f>C35*'E Balans VL '!D23/100/3.6*1000000+C35*'E Balans VL '!E23/100/3.6*1000000</f>
        <v>3.7336137202575053</v>
      </c>
      <c r="K13" s="33"/>
      <c r="L13" s="33"/>
      <c r="M13" s="33"/>
      <c r="N13" s="33">
        <f>C35*'E Balans VL '!Y23/100/3.6*1000000</f>
        <v>101.51787394653206</v>
      </c>
      <c r="O13" s="33"/>
      <c r="P13" s="33"/>
      <c r="R13" s="32"/>
    </row>
    <row r="14" spans="1:18">
      <c r="A14" s="6" t="s">
        <v>34</v>
      </c>
      <c r="B14" s="37">
        <f t="shared" si="0"/>
        <v>3382.5463563000003</v>
      </c>
      <c r="C14" s="33"/>
      <c r="D14" s="37">
        <f>IF( ISERROR(IND_chemie_gas_kWh/1000),0,IND_chemie_gas_kWh/1000)*0.902</f>
        <v>0</v>
      </c>
      <c r="E14" s="33">
        <f>C36*'E Balans VL '!I24/100/3.6*1000000</f>
        <v>8.1091250579203589</v>
      </c>
      <c r="F14" s="33">
        <f>C36*'E Balans VL '!L24/100/3.6*1000000+C36*'E Balans VL '!N24/100/3.6*1000000</f>
        <v>27.145699655598118</v>
      </c>
      <c r="G14" s="34"/>
      <c r="H14" s="33"/>
      <c r="I14" s="33"/>
      <c r="J14" s="40">
        <f>C36*'E Balans VL '!D24/100/3.6*1000000+C36*'E Balans VL '!E24/100/3.6*1000000</f>
        <v>0</v>
      </c>
      <c r="K14" s="33"/>
      <c r="L14" s="33"/>
      <c r="M14" s="33"/>
      <c r="N14" s="33">
        <f>C36*'E Balans VL '!Y24/100/3.6*1000000</f>
        <v>69.914610829202346</v>
      </c>
      <c r="O14" s="33"/>
      <c r="P14" s="33"/>
      <c r="R14" s="32"/>
    </row>
    <row r="15" spans="1:18">
      <c r="A15" s="6" t="s">
        <v>270</v>
      </c>
      <c r="B15" s="37">
        <f t="shared" si="0"/>
        <v>6524.2757432000008</v>
      </c>
      <c r="C15" s="33"/>
      <c r="D15" s="37">
        <f>IF( ISERROR(IND_rest_gas_kWh/1000),0,IND_rest_gas_kWh/1000)*0.902</f>
        <v>2191.9674282901997</v>
      </c>
      <c r="E15" s="33">
        <f>C37*'E Balans VL '!I15/100/3.6*1000000</f>
        <v>354.09129950438023</v>
      </c>
      <c r="F15" s="33">
        <f>C37*'E Balans VL '!L15/100/3.6*1000000+C37*'E Balans VL '!N15/100/3.6*1000000</f>
        <v>1421.9904412444014</v>
      </c>
      <c r="G15" s="34"/>
      <c r="H15" s="33"/>
      <c r="I15" s="33"/>
      <c r="J15" s="40">
        <f>C37*'E Balans VL '!D15/100/3.6*1000000+C37*'E Balans VL '!E15/100/3.6*1000000</f>
        <v>52.893057337061855</v>
      </c>
      <c r="K15" s="33"/>
      <c r="L15" s="33"/>
      <c r="M15" s="33"/>
      <c r="N15" s="33">
        <f>C37*'E Balans VL '!Y15/100/3.6*1000000</f>
        <v>1313.7783520173241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10974.370491799</v>
      </c>
      <c r="C18" s="21">
        <f>C5+C16</f>
        <v>0</v>
      </c>
      <c r="D18" s="21">
        <f>MAX((D5+D16),0)</f>
        <v>6111.2817411184005</v>
      </c>
      <c r="E18" s="21">
        <f>MAX((E5+E16),0)</f>
        <v>595.47013961415496</v>
      </c>
      <c r="F18" s="21">
        <f>MAX((F5+F16),0)</f>
        <v>2272.9190789392214</v>
      </c>
      <c r="G18" s="21"/>
      <c r="H18" s="21"/>
      <c r="I18" s="21"/>
      <c r="J18" s="21">
        <f>MAX((J5+J16),0)</f>
        <v>56.626671057319356</v>
      </c>
      <c r="K18" s="21"/>
      <c r="L18" s="21">
        <f>MAX((L5+L16),0)</f>
        <v>0</v>
      </c>
      <c r="M18" s="21"/>
      <c r="N18" s="21">
        <f>MAX((N5+N16),0)</f>
        <v>1771.4936634874537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0.21964856716414863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2410.5047540521632</v>
      </c>
      <c r="C22" s="23">
        <f ca="1">C18*C20</f>
        <v>0</v>
      </c>
      <c r="D22" s="23">
        <f>D18*D20</f>
        <v>1234.478911705917</v>
      </c>
      <c r="E22" s="23">
        <f>E18*E20</f>
        <v>135.17172169241317</v>
      </c>
      <c r="F22" s="23">
        <f>F18*F20</f>
        <v>606.86939407677221</v>
      </c>
      <c r="G22" s="23"/>
      <c r="H22" s="23"/>
      <c r="I22" s="23"/>
      <c r="J22" s="23">
        <f>J18*J20</f>
        <v>20.045841554291052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114.74737970999999</v>
      </c>
      <c r="C30" s="39">
        <f>IF(ISERROR(B30*3.6/1000000/'E Balans VL '!Z18*100),0,B30*3.6/1000000/'E Balans VL '!Z18*100)</f>
        <v>2.4312509641565783E-2</v>
      </c>
      <c r="D30" s="237" t="s">
        <v>660</v>
      </c>
    </row>
    <row r="31" spans="1:18">
      <c r="A31" s="6" t="s">
        <v>33</v>
      </c>
      <c r="B31" s="37">
        <f>IF( ISERROR(IND_ander_ele_kWh/1000),0,IND_ander_ele_kWh/1000)</f>
        <v>897.02924834999999</v>
      </c>
      <c r="C31" s="39">
        <f>IF(ISERROR(B31*3.6/1000000/'E Balans VL '!Z19*100),0,B31*3.6/1000000/'E Balans VL '!Z19*100)</f>
        <v>3.7757997916091877E-2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55.771764238999999</v>
      </c>
      <c r="C35" s="39">
        <f>IF(ISERROR(B35*3.6/1000000/'E Balans VL '!Z22*100),0,B35*3.6/1000000/'E Balans VL '!Z22*100)</f>
        <v>7.0693718935294593E-3</v>
      </c>
      <c r="D35" s="237" t="s">
        <v>660</v>
      </c>
    </row>
    <row r="36" spans="1:5">
      <c r="A36" s="171" t="s">
        <v>34</v>
      </c>
      <c r="B36" s="37">
        <f>IF( ISERROR(IND_chemie_ele_kWh/1000),0,IND_chemie_ele_kWh/1000)</f>
        <v>3382.5463563000003</v>
      </c>
      <c r="C36" s="39">
        <f>IF(ISERROR(B36*3.6/1000000/'E Balans VL '!Z24*100),0,B36*3.6/1000000/'E Balans VL '!Z24*100)</f>
        <v>0.10986521473202548</v>
      </c>
      <c r="D36" s="237" t="s">
        <v>660</v>
      </c>
    </row>
    <row r="37" spans="1:5">
      <c r="A37" s="171" t="s">
        <v>270</v>
      </c>
      <c r="B37" s="37">
        <f>IF( ISERROR(IND_rest_ele_kWh/1000),0,IND_rest_ele_kWh/1000)</f>
        <v>6524.2757432000008</v>
      </c>
      <c r="C37" s="39">
        <f>IF(ISERROR(B37*3.6/1000000/'E Balans VL '!Z15*100),0,B37*3.6/1000000/'E Balans VL '!Z15*100)</f>
        <v>5.2673004390211872E-2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13.229283389000001</v>
      </c>
      <c r="C5" s="17">
        <f>'Eigen informatie GS &amp; warmtenet'!B60</f>
        <v>0</v>
      </c>
      <c r="D5" s="30">
        <f>IF(ISERROR(SUM(LB_lb_gas_kWh,LB_rest_gas_kWh)/1000),0,SUM(LB_lb_gas_kWh,LB_rest_gas_kWh)/1000)*0.902</f>
        <v>0</v>
      </c>
      <c r="E5" s="17">
        <f>B17*'E Balans VL '!I25/3.6*1000000/100</f>
        <v>0.34113242402669874</v>
      </c>
      <c r="F5" s="17">
        <f>B17*('E Balans VL '!L25/3.6*1000000+'E Balans VL '!N25/3.6*1000000)/100</f>
        <v>48.355550181431447</v>
      </c>
      <c r="G5" s="18"/>
      <c r="H5" s="17"/>
      <c r="I5" s="17"/>
      <c r="J5" s="17">
        <f>('E Balans VL '!D25+'E Balans VL '!E25)/3.6*1000000*landbouw!B17/100</f>
        <v>1.9045301469046327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13.229283389000001</v>
      </c>
      <c r="C8" s="21">
        <f>C5+C6</f>
        <v>0</v>
      </c>
      <c r="D8" s="21">
        <f>MAX((D5+D6),0)</f>
        <v>0</v>
      </c>
      <c r="E8" s="21">
        <f>MAX((E5+E6),0)</f>
        <v>0.34113242402669874</v>
      </c>
      <c r="F8" s="21">
        <f>MAX((F5+F6),0)</f>
        <v>48.355550181431447</v>
      </c>
      <c r="G8" s="21"/>
      <c r="H8" s="21"/>
      <c r="I8" s="21"/>
      <c r="J8" s="21">
        <f>MAX((J5+J6),0)</f>
        <v>1.9045301469046327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0.21964856716414863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2.9057931410023223</v>
      </c>
      <c r="C12" s="23">
        <f ca="1">C8*C10</f>
        <v>0</v>
      </c>
      <c r="D12" s="23">
        <f>D8*D10</f>
        <v>0</v>
      </c>
      <c r="E12" s="23">
        <f>E8*E10</f>
        <v>7.7437060254060622E-2</v>
      </c>
      <c r="F12" s="23">
        <f>F8*F10</f>
        <v>12.910931898442197</v>
      </c>
      <c r="G12" s="23"/>
      <c r="H12" s="23"/>
      <c r="I12" s="23"/>
      <c r="J12" s="23">
        <f>J8*J10</f>
        <v>0.67420367200423992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1.8654165866572791E-3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0.59393516784666289</v>
      </c>
      <c r="C29" s="247">
        <f>B29*'GWP N2O_CH4'!B4</f>
        <v>184.11990203246549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1.3366768814139111E-4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4.1133591469787482E-4</v>
      </c>
      <c r="C5" s="463" t="s">
        <v>211</v>
      </c>
      <c r="D5" s="448">
        <f>SUM(D6:D11)</f>
        <v>8.9052964483864422E-4</v>
      </c>
      <c r="E5" s="448">
        <f>SUM(E6:E11)</f>
        <v>4.1341080732131266E-3</v>
      </c>
      <c r="F5" s="461" t="s">
        <v>211</v>
      </c>
      <c r="G5" s="448">
        <f>SUM(G6:G11)</f>
        <v>1.3477665051483172</v>
      </c>
      <c r="H5" s="448">
        <f>SUM(H6:H11)</f>
        <v>0.24815077116402093</v>
      </c>
      <c r="I5" s="463" t="s">
        <v>211</v>
      </c>
      <c r="J5" s="463" t="s">
        <v>211</v>
      </c>
      <c r="K5" s="463" t="s">
        <v>211</v>
      </c>
      <c r="L5" s="463" t="s">
        <v>211</v>
      </c>
      <c r="M5" s="448">
        <f>SUM(M6:M11)</f>
        <v>4.9895843850828625E-2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5.6435302192517609E-5</v>
      </c>
      <c r="C6" s="449"/>
      <c r="D6" s="892">
        <f>vkm_2011_GW_PW*SUMIFS(TableVerdeelsleutelVkm[CNG],TableVerdeelsleutelVkm[Voertuigtype],"Lichte voertuigen")*SUMIFS(TableECFTransport[EnergieConsumptieFactor (PJ per km)],TableECFTransport[Index],CONCATENATE($A6,"_CNG_CNG"))</f>
        <v>1.1213793400744819E-4</v>
      </c>
      <c r="E6" s="892">
        <f>vkm_2011_GW_PW*SUMIFS(TableVerdeelsleutelVkm[LPG],TableVerdeelsleutelVkm[Voertuigtype],"Lichte voertuigen")*SUMIFS(TableECFTransport[EnergieConsumptieFactor (PJ per km)],TableECFTransport[Index],CONCATENATE($A6,"_LPG_LPG"))</f>
        <v>4.4130296875519599E-4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0.10492670398217262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3.0359112330977753E-2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4.2156309610670885E-3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4.8951985049889173E-2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1.58135820821086E-5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1.542402148661307E-3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2.792740308970532E-5</v>
      </c>
      <c r="C8" s="449"/>
      <c r="D8" s="451">
        <f>vkm_2011_NGW_PW*SUMIFS(TableVerdeelsleutelVkm[CNG],TableVerdeelsleutelVkm[Voertuigtype],"Lichte voertuigen")*SUMIFS(TableECFTransport[EnergieConsumptieFactor (PJ per km)],TableECFTransport[Index],CONCATENATE($A8,"_CNG_CNG"))</f>
        <v>9.825651246937461E-5</v>
      </c>
      <c r="E8" s="451">
        <f>vkm_2011_NGW_PW*SUMIFS(TableVerdeelsleutelVkm[LPG],TableVerdeelsleutelVkm[Voertuigtype],"Lichte voertuigen")*SUMIFS(TableECFTransport[EnergieConsumptieFactor (PJ per km)],TableECFTransport[Index],CONCATENATE($A8,"_LPG_LPG"))</f>
        <v>3.5760569218771718E-4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7.9398516327675389E-2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2.5793773325854481E-2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3.2745949298255365E-3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2.2226202469217061E-2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6.7902933126581237E-6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7.0030194308134334E-4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3.2697320941565191E-4</v>
      </c>
      <c r="C10" s="449"/>
      <c r="D10" s="451">
        <f>vkm_2011_SW_PW*SUMIFS(TableVerdeelsleutelVkm[CNG],TableVerdeelsleutelVkm[Voertuigtype],"Lichte voertuigen")*SUMIFS(TableECFTransport[EnergieConsumptieFactor (PJ per km)],TableECFTransport[Index],CONCATENATE($A10,"_CNG_CNG"))</f>
        <v>6.8013519836182144E-4</v>
      </c>
      <c r="E10" s="451">
        <f>vkm_2011_SW_PW*SUMIFS(TableVerdeelsleutelVkm[LPG],TableVerdeelsleutelVkm[Voertuigtype],"Lichte voertuigen")*SUMIFS(TableECFTransport[EnergieConsumptieFactor (PJ per km)],TableECFTransport[Index],CONCATENATE($A10,"_LPG_LPG"))</f>
        <v>3.3351994122702137E-3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0.71035918130880327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0.19184235673147329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2.8129419272771006E-2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0.38190391601055967</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1.3292490032062516E-4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1.2033494595422346E-2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114.25997630496522</v>
      </c>
      <c r="C14" s="21"/>
      <c r="D14" s="21">
        <f t="shared" ref="D14:M14" si="0">((D5)*10^9/3600)+D12</f>
        <v>247.36934578851228</v>
      </c>
      <c r="E14" s="21">
        <f t="shared" si="0"/>
        <v>1148.363353670313</v>
      </c>
      <c r="F14" s="21"/>
      <c r="G14" s="21">
        <f t="shared" si="0"/>
        <v>374379.58476342144</v>
      </c>
      <c r="H14" s="21">
        <f t="shared" si="0"/>
        <v>68930.769767783597</v>
      </c>
      <c r="I14" s="21"/>
      <c r="J14" s="21"/>
      <c r="K14" s="21"/>
      <c r="L14" s="21"/>
      <c r="M14" s="21">
        <f t="shared" si="0"/>
        <v>13859.956625230174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0.21964856716414863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25.097040079595185</v>
      </c>
      <c r="C18" s="23"/>
      <c r="D18" s="23">
        <f t="shared" ref="D18:M18" si="1">D14*D16</f>
        <v>49.968607849279486</v>
      </c>
      <c r="E18" s="23">
        <f t="shared" si="1"/>
        <v>260.67848128316109</v>
      </c>
      <c r="F18" s="23"/>
      <c r="G18" s="23">
        <f t="shared" si="1"/>
        <v>99959.349131833529</v>
      </c>
      <c r="H18" s="23">
        <f t="shared" si="1"/>
        <v>17163.761672178116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1.4886333899932011E-2</v>
      </c>
      <c r="H50" s="321">
        <f t="shared" si="2"/>
        <v>0</v>
      </c>
      <c r="I50" s="321">
        <f t="shared" si="2"/>
        <v>0</v>
      </c>
      <c r="J50" s="321">
        <f t="shared" si="2"/>
        <v>0</v>
      </c>
      <c r="K50" s="321">
        <f t="shared" si="2"/>
        <v>0</v>
      </c>
      <c r="L50" s="321">
        <f t="shared" si="2"/>
        <v>0</v>
      </c>
      <c r="M50" s="321">
        <f t="shared" si="2"/>
        <v>4.6174077413633206E-4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1.4886333899932011E-2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4.6174077413633206E-4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4135.0927499811141</v>
      </c>
      <c r="H54" s="21">
        <f t="shared" si="3"/>
        <v>0</v>
      </c>
      <c r="I54" s="21">
        <f t="shared" si="3"/>
        <v>0</v>
      </c>
      <c r="J54" s="21">
        <f t="shared" si="3"/>
        <v>0</v>
      </c>
      <c r="K54" s="21">
        <f t="shared" si="3"/>
        <v>0</v>
      </c>
      <c r="L54" s="21">
        <f t="shared" si="3"/>
        <v>0</v>
      </c>
      <c r="M54" s="21">
        <f t="shared" si="3"/>
        <v>128.26132614898111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0.21964856716414863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1104.0697642449575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159350.89413004901</v>
      </c>
      <c r="D10" s="1012">
        <f ca="1">tertiair!C16</f>
        <v>0</v>
      </c>
      <c r="E10" s="1012">
        <f ca="1">tertiair!D16</f>
        <v>80207.491883581039</v>
      </c>
      <c r="F10" s="1012">
        <f>tertiair!E16</f>
        <v>2641.2113225512958</v>
      </c>
      <c r="G10" s="1012">
        <f ca="1">tertiair!F16</f>
        <v>41245.435843864419</v>
      </c>
      <c r="H10" s="1012">
        <f>tertiair!G16</f>
        <v>0</v>
      </c>
      <c r="I10" s="1012">
        <f>tertiair!H16</f>
        <v>0</v>
      </c>
      <c r="J10" s="1012">
        <f>tertiair!I16</f>
        <v>0</v>
      </c>
      <c r="K10" s="1012">
        <f>tertiair!J16</f>
        <v>0</v>
      </c>
      <c r="L10" s="1012">
        <f>tertiair!K16</f>
        <v>0</v>
      </c>
      <c r="M10" s="1012">
        <f ca="1">tertiair!L16</f>
        <v>0</v>
      </c>
      <c r="N10" s="1012">
        <f>tertiair!M16</f>
        <v>0</v>
      </c>
      <c r="O10" s="1012">
        <f ca="1">tertiair!N16</f>
        <v>2173.7649460895936</v>
      </c>
      <c r="P10" s="1012">
        <f>tertiair!O16</f>
        <v>1.5633333333333335</v>
      </c>
      <c r="Q10" s="1013">
        <f>tertiair!P16</f>
        <v>324.13333333333333</v>
      </c>
      <c r="R10" s="700">
        <f ca="1">SUM(C10:Q10)</f>
        <v>285944.49479280208</v>
      </c>
      <c r="S10" s="67"/>
    </row>
    <row r="11" spans="1:19" s="473" customFormat="1">
      <c r="A11" s="809" t="s">
        <v>225</v>
      </c>
      <c r="B11" s="814"/>
      <c r="C11" s="1012">
        <f>huishoudens!B8</f>
        <v>19494.509193280188</v>
      </c>
      <c r="D11" s="1012">
        <f>huishoudens!C8</f>
        <v>0</v>
      </c>
      <c r="E11" s="1012">
        <f>huishoudens!D8</f>
        <v>62819.39344742601</v>
      </c>
      <c r="F11" s="1012">
        <f>huishoudens!E8</f>
        <v>459.23481632108127</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2347.6629053578545</v>
      </c>
      <c r="P11" s="1012">
        <f>huishoudens!O8</f>
        <v>37.520000000000003</v>
      </c>
      <c r="Q11" s="1013">
        <f>huishoudens!P8</f>
        <v>57.2</v>
      </c>
      <c r="R11" s="700">
        <f>SUM(C11:Q11)</f>
        <v>85215.520362385127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10974.370491799</v>
      </c>
      <c r="D13" s="1012">
        <f>industrie!C18</f>
        <v>0</v>
      </c>
      <c r="E13" s="1012">
        <f>industrie!D18</f>
        <v>6111.2817411184005</v>
      </c>
      <c r="F13" s="1012">
        <f>industrie!E18</f>
        <v>595.47013961415496</v>
      </c>
      <c r="G13" s="1012">
        <f>industrie!F18</f>
        <v>2272.9190789392214</v>
      </c>
      <c r="H13" s="1012">
        <f>industrie!G18</f>
        <v>0</v>
      </c>
      <c r="I13" s="1012">
        <f>industrie!H18</f>
        <v>0</v>
      </c>
      <c r="J13" s="1012">
        <f>industrie!I18</f>
        <v>0</v>
      </c>
      <c r="K13" s="1012">
        <f>industrie!J18</f>
        <v>56.626671057319356</v>
      </c>
      <c r="L13" s="1012">
        <f>industrie!K18</f>
        <v>0</v>
      </c>
      <c r="M13" s="1012">
        <f>industrie!L18</f>
        <v>0</v>
      </c>
      <c r="N13" s="1012">
        <f>industrie!M18</f>
        <v>0</v>
      </c>
      <c r="O13" s="1012">
        <f>industrie!N18</f>
        <v>1771.4936634874537</v>
      </c>
      <c r="P13" s="1012">
        <f>industrie!O18</f>
        <v>0</v>
      </c>
      <c r="Q13" s="1013">
        <f>industrie!P18</f>
        <v>0</v>
      </c>
      <c r="R13" s="700">
        <f>SUM(C13:Q13)</f>
        <v>21782.161786015546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189819.7738151282</v>
      </c>
      <c r="D16" s="732">
        <f t="shared" ref="D16:R16" ca="1" si="0">SUM(D9:D15)</f>
        <v>0</v>
      </c>
      <c r="E16" s="732">
        <f t="shared" ca="1" si="0"/>
        <v>149138.16707212545</v>
      </c>
      <c r="F16" s="732">
        <f t="shared" si="0"/>
        <v>3695.9162784865321</v>
      </c>
      <c r="G16" s="732">
        <f t="shared" ca="1" si="0"/>
        <v>43518.354922803643</v>
      </c>
      <c r="H16" s="732">
        <f t="shared" si="0"/>
        <v>0</v>
      </c>
      <c r="I16" s="732">
        <f t="shared" si="0"/>
        <v>0</v>
      </c>
      <c r="J16" s="732">
        <f t="shared" si="0"/>
        <v>0</v>
      </c>
      <c r="K16" s="732">
        <f t="shared" si="0"/>
        <v>56.626671057319356</v>
      </c>
      <c r="L16" s="732">
        <f t="shared" si="0"/>
        <v>0</v>
      </c>
      <c r="M16" s="732">
        <f t="shared" ca="1" si="0"/>
        <v>0</v>
      </c>
      <c r="N16" s="732">
        <f t="shared" si="0"/>
        <v>0</v>
      </c>
      <c r="O16" s="732">
        <f t="shared" ca="1" si="0"/>
        <v>6292.921514934902</v>
      </c>
      <c r="P16" s="732">
        <f t="shared" si="0"/>
        <v>39.083333333333336</v>
      </c>
      <c r="Q16" s="732">
        <f t="shared" si="0"/>
        <v>381.33333333333331</v>
      </c>
      <c r="R16" s="732">
        <f t="shared" ca="1" si="0"/>
        <v>392942.17694120278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4135.0927499811141</v>
      </c>
      <c r="I19" s="1012">
        <f>transport!H54</f>
        <v>0</v>
      </c>
      <c r="J19" s="1012">
        <f>transport!I54</f>
        <v>0</v>
      </c>
      <c r="K19" s="1012">
        <f>transport!J54</f>
        <v>0</v>
      </c>
      <c r="L19" s="1012">
        <f>transport!K54</f>
        <v>0</v>
      </c>
      <c r="M19" s="1012">
        <f>transport!L54</f>
        <v>0</v>
      </c>
      <c r="N19" s="1012">
        <f>transport!M54</f>
        <v>128.26132614898111</v>
      </c>
      <c r="O19" s="1012">
        <f>transport!N54</f>
        <v>0</v>
      </c>
      <c r="P19" s="1012">
        <f>transport!O54</f>
        <v>0</v>
      </c>
      <c r="Q19" s="1013">
        <f>transport!P54</f>
        <v>0</v>
      </c>
      <c r="R19" s="700">
        <f>SUM(C19:Q19)</f>
        <v>4263.3540761300956</v>
      </c>
      <c r="S19" s="67"/>
    </row>
    <row r="20" spans="1:19" s="473" customFormat="1">
      <c r="A20" s="809" t="s">
        <v>307</v>
      </c>
      <c r="B20" s="814"/>
      <c r="C20" s="1012">
        <f>transport!B14</f>
        <v>114.25997630496522</v>
      </c>
      <c r="D20" s="1012">
        <f>transport!C14</f>
        <v>0</v>
      </c>
      <c r="E20" s="1012">
        <f>transport!D14</f>
        <v>247.36934578851228</v>
      </c>
      <c r="F20" s="1012">
        <f>transport!E14</f>
        <v>1148.363353670313</v>
      </c>
      <c r="G20" s="1012">
        <f>transport!F14</f>
        <v>0</v>
      </c>
      <c r="H20" s="1012">
        <f>transport!G14</f>
        <v>374379.58476342144</v>
      </c>
      <c r="I20" s="1012">
        <f>transport!H14</f>
        <v>68930.769767783597</v>
      </c>
      <c r="J20" s="1012">
        <f>transport!I14</f>
        <v>0</v>
      </c>
      <c r="K20" s="1012">
        <f>transport!J14</f>
        <v>0</v>
      </c>
      <c r="L20" s="1012">
        <f>transport!K14</f>
        <v>0</v>
      </c>
      <c r="M20" s="1012">
        <f>transport!L14</f>
        <v>0</v>
      </c>
      <c r="N20" s="1012">
        <f>transport!M14</f>
        <v>13859.956625230174</v>
      </c>
      <c r="O20" s="1012">
        <f>transport!N14</f>
        <v>0</v>
      </c>
      <c r="P20" s="1012">
        <f>transport!O14</f>
        <v>0</v>
      </c>
      <c r="Q20" s="1013">
        <f>transport!P14</f>
        <v>0</v>
      </c>
      <c r="R20" s="700">
        <f>SUM(C20:Q20)</f>
        <v>458680.30383219896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114.25997630496522</v>
      </c>
      <c r="D22" s="812">
        <f t="shared" ref="D22:R22" si="1">SUM(D18:D21)</f>
        <v>0</v>
      </c>
      <c r="E22" s="812">
        <f t="shared" si="1"/>
        <v>247.36934578851228</v>
      </c>
      <c r="F22" s="812">
        <f t="shared" si="1"/>
        <v>1148.363353670313</v>
      </c>
      <c r="G22" s="812">
        <f t="shared" si="1"/>
        <v>0</v>
      </c>
      <c r="H22" s="812">
        <f t="shared" si="1"/>
        <v>378514.67751340254</v>
      </c>
      <c r="I22" s="812">
        <f t="shared" si="1"/>
        <v>68930.769767783597</v>
      </c>
      <c r="J22" s="812">
        <f t="shared" si="1"/>
        <v>0</v>
      </c>
      <c r="K22" s="812">
        <f t="shared" si="1"/>
        <v>0</v>
      </c>
      <c r="L22" s="812">
        <f t="shared" si="1"/>
        <v>0</v>
      </c>
      <c r="M22" s="812">
        <f t="shared" si="1"/>
        <v>0</v>
      </c>
      <c r="N22" s="812">
        <f t="shared" si="1"/>
        <v>13988.217951379154</v>
      </c>
      <c r="O22" s="812">
        <f t="shared" si="1"/>
        <v>0</v>
      </c>
      <c r="P22" s="812">
        <f t="shared" si="1"/>
        <v>0</v>
      </c>
      <c r="Q22" s="812">
        <f t="shared" si="1"/>
        <v>0</v>
      </c>
      <c r="R22" s="812">
        <f t="shared" si="1"/>
        <v>462943.65790832904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13.229283389000001</v>
      </c>
      <c r="D24" s="1012">
        <f>+landbouw!C8</f>
        <v>0</v>
      </c>
      <c r="E24" s="1012">
        <f>+landbouw!D8</f>
        <v>0</v>
      </c>
      <c r="F24" s="1012">
        <f>+landbouw!E8</f>
        <v>0.34113242402669874</v>
      </c>
      <c r="G24" s="1012">
        <f>+landbouw!F8</f>
        <v>48.355550181431447</v>
      </c>
      <c r="H24" s="1012">
        <f>+landbouw!G8</f>
        <v>0</v>
      </c>
      <c r="I24" s="1012">
        <f>+landbouw!H8</f>
        <v>0</v>
      </c>
      <c r="J24" s="1012">
        <f>+landbouw!I8</f>
        <v>0</v>
      </c>
      <c r="K24" s="1012">
        <f>+landbouw!J8</f>
        <v>1.9045301469046327</v>
      </c>
      <c r="L24" s="1012">
        <f>+landbouw!K8</f>
        <v>0</v>
      </c>
      <c r="M24" s="1012">
        <f>+landbouw!L8</f>
        <v>0</v>
      </c>
      <c r="N24" s="1012">
        <f>+landbouw!M8</f>
        <v>0</v>
      </c>
      <c r="O24" s="1012">
        <f>+landbouw!N8</f>
        <v>0</v>
      </c>
      <c r="P24" s="1012">
        <f>+landbouw!O8</f>
        <v>0</v>
      </c>
      <c r="Q24" s="1013">
        <f>+landbouw!P8</f>
        <v>0</v>
      </c>
      <c r="R24" s="700">
        <f>SUM(C24:Q24)</f>
        <v>63.830496141362779</v>
      </c>
      <c r="S24" s="67"/>
    </row>
    <row r="25" spans="1:19" s="473" customFormat="1" ht="15" thickBot="1">
      <c r="A25" s="831" t="s">
        <v>848</v>
      </c>
      <c r="B25" s="1015"/>
      <c r="C25" s="1016">
        <f>IF(Onbekend_ele_kWh="---",0,Onbekend_ele_kWh)/1000+IF(REST_rest_ele_kWh="---",0,REST_rest_ele_kWh)/1000</f>
        <v>1817.0144694999999</v>
      </c>
      <c r="D25" s="1016"/>
      <c r="E25" s="1016">
        <f>IF(onbekend_gas_kWh="---",0,onbekend_gas_kWh)/1000+IF(REST_rest_gas_kWh="---",0,REST_rest_gas_kWh)/1000</f>
        <v>4158.8561800999996</v>
      </c>
      <c r="F25" s="1016"/>
      <c r="G25" s="1016"/>
      <c r="H25" s="1016"/>
      <c r="I25" s="1016"/>
      <c r="J25" s="1016"/>
      <c r="K25" s="1016"/>
      <c r="L25" s="1016"/>
      <c r="M25" s="1016"/>
      <c r="N25" s="1016"/>
      <c r="O25" s="1016"/>
      <c r="P25" s="1016"/>
      <c r="Q25" s="1017"/>
      <c r="R25" s="700">
        <f>SUM(C25:Q25)</f>
        <v>5975.8706495999995</v>
      </c>
      <c r="S25" s="67"/>
    </row>
    <row r="26" spans="1:19" s="473" customFormat="1" ht="15.75" thickBot="1">
      <c r="A26" s="705" t="s">
        <v>849</v>
      </c>
      <c r="B26" s="817"/>
      <c r="C26" s="812">
        <f>SUM(C24:C25)</f>
        <v>1830.243752889</v>
      </c>
      <c r="D26" s="812">
        <f t="shared" ref="D26:R26" si="2">SUM(D24:D25)</f>
        <v>0</v>
      </c>
      <c r="E26" s="812">
        <f t="shared" si="2"/>
        <v>4158.8561800999996</v>
      </c>
      <c r="F26" s="812">
        <f t="shared" si="2"/>
        <v>0.34113242402669874</v>
      </c>
      <c r="G26" s="812">
        <f t="shared" si="2"/>
        <v>48.355550181431447</v>
      </c>
      <c r="H26" s="812">
        <f t="shared" si="2"/>
        <v>0</v>
      </c>
      <c r="I26" s="812">
        <f t="shared" si="2"/>
        <v>0</v>
      </c>
      <c r="J26" s="812">
        <f t="shared" si="2"/>
        <v>0</v>
      </c>
      <c r="K26" s="812">
        <f t="shared" si="2"/>
        <v>1.9045301469046327</v>
      </c>
      <c r="L26" s="812">
        <f t="shared" si="2"/>
        <v>0</v>
      </c>
      <c r="M26" s="812">
        <f t="shared" si="2"/>
        <v>0</v>
      </c>
      <c r="N26" s="812">
        <f t="shared" si="2"/>
        <v>0</v>
      </c>
      <c r="O26" s="812">
        <f t="shared" si="2"/>
        <v>0</v>
      </c>
      <c r="P26" s="812">
        <f t="shared" si="2"/>
        <v>0</v>
      </c>
      <c r="Q26" s="812">
        <f t="shared" si="2"/>
        <v>0</v>
      </c>
      <c r="R26" s="812">
        <f t="shared" si="2"/>
        <v>6039.7011457413619</v>
      </c>
      <c r="S26" s="67"/>
    </row>
    <row r="27" spans="1:19" s="473" customFormat="1" ht="17.25" thickTop="1" thickBot="1">
      <c r="A27" s="706" t="s">
        <v>116</v>
      </c>
      <c r="B27" s="805"/>
      <c r="C27" s="707">
        <f ca="1">C22+C16+C26</f>
        <v>191764.27754432213</v>
      </c>
      <c r="D27" s="707">
        <f t="shared" ref="D27:R27" ca="1" si="3">D22+D16+D26</f>
        <v>0</v>
      </c>
      <c r="E27" s="707">
        <f t="shared" ca="1" si="3"/>
        <v>153544.39259801398</v>
      </c>
      <c r="F27" s="707">
        <f t="shared" si="3"/>
        <v>4844.6207645808718</v>
      </c>
      <c r="G27" s="707">
        <f t="shared" ca="1" si="3"/>
        <v>43566.710472985076</v>
      </c>
      <c r="H27" s="707">
        <f t="shared" si="3"/>
        <v>378514.67751340254</v>
      </c>
      <c r="I27" s="707">
        <f t="shared" si="3"/>
        <v>68930.769767783597</v>
      </c>
      <c r="J27" s="707">
        <f t="shared" si="3"/>
        <v>0</v>
      </c>
      <c r="K27" s="707">
        <f t="shared" si="3"/>
        <v>58.53120120422399</v>
      </c>
      <c r="L27" s="707">
        <f t="shared" si="3"/>
        <v>0</v>
      </c>
      <c r="M27" s="707">
        <f t="shared" ca="1" si="3"/>
        <v>0</v>
      </c>
      <c r="N27" s="707">
        <f t="shared" si="3"/>
        <v>13988.217951379154</v>
      </c>
      <c r="O27" s="707">
        <f t="shared" ca="1" si="3"/>
        <v>6292.921514934902</v>
      </c>
      <c r="P27" s="707">
        <f t="shared" si="3"/>
        <v>39.083333333333336</v>
      </c>
      <c r="Q27" s="707">
        <f t="shared" si="3"/>
        <v>381.33333333333331</v>
      </c>
      <c r="R27" s="707">
        <f t="shared" ca="1" si="3"/>
        <v>861925.53599527315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35001.195571991208</v>
      </c>
      <c r="D40" s="1012">
        <f ca="1">tertiair!C20</f>
        <v>0</v>
      </c>
      <c r="E40" s="1012">
        <f ca="1">tertiair!D20</f>
        <v>16201.913360483371</v>
      </c>
      <c r="F40" s="1012">
        <f>tertiair!E20</f>
        <v>599.55497021914414</v>
      </c>
      <c r="G40" s="1012">
        <f ca="1">tertiair!F20</f>
        <v>11012.531370311801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62815.19527300552</v>
      </c>
    </row>
    <row r="41" spans="1:18">
      <c r="A41" s="822" t="s">
        <v>225</v>
      </c>
      <c r="B41" s="829"/>
      <c r="C41" s="1012">
        <f ca="1">huishoudens!B12</f>
        <v>4281.9410118723163</v>
      </c>
      <c r="D41" s="1012">
        <f ca="1">huishoudens!C12</f>
        <v>0</v>
      </c>
      <c r="E41" s="1012">
        <f>huishoudens!D12</f>
        <v>12689.517476380055</v>
      </c>
      <c r="F41" s="1012">
        <f>huishoudens!E12</f>
        <v>104.24630330488546</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17075.704791557255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2410.5047540521632</v>
      </c>
      <c r="D43" s="1012">
        <f ca="1">industrie!C22</f>
        <v>0</v>
      </c>
      <c r="E43" s="1012">
        <f>industrie!D22</f>
        <v>1234.478911705917</v>
      </c>
      <c r="F43" s="1012">
        <f>industrie!E22</f>
        <v>135.17172169241317</v>
      </c>
      <c r="G43" s="1012">
        <f>industrie!F22</f>
        <v>606.86939407677221</v>
      </c>
      <c r="H43" s="1012">
        <f>industrie!G22</f>
        <v>0</v>
      </c>
      <c r="I43" s="1012">
        <f>industrie!H22</f>
        <v>0</v>
      </c>
      <c r="J43" s="1012">
        <f>industrie!I22</f>
        <v>0</v>
      </c>
      <c r="K43" s="1012">
        <f>industrie!J22</f>
        <v>20.045841554291052</v>
      </c>
      <c r="L43" s="1012">
        <f>industrie!K22</f>
        <v>0</v>
      </c>
      <c r="M43" s="1012">
        <f>industrie!L22</f>
        <v>0</v>
      </c>
      <c r="N43" s="1012">
        <f>industrie!M22</f>
        <v>0</v>
      </c>
      <c r="O43" s="1012">
        <f>industrie!N22</f>
        <v>0</v>
      </c>
      <c r="P43" s="1012">
        <f>industrie!O22</f>
        <v>0</v>
      </c>
      <c r="Q43" s="774">
        <f>industrie!P22</f>
        <v>0</v>
      </c>
      <c r="R43" s="849">
        <f t="shared" ca="1" si="4"/>
        <v>4407.0706230815558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41693.641337915687</v>
      </c>
      <c r="D46" s="732">
        <f t="shared" ref="D46:Q46" ca="1" si="5">SUM(D39:D45)</f>
        <v>0</v>
      </c>
      <c r="E46" s="732">
        <f t="shared" ca="1" si="5"/>
        <v>30125.909748569342</v>
      </c>
      <c r="F46" s="732">
        <f t="shared" si="5"/>
        <v>838.97299521644277</v>
      </c>
      <c r="G46" s="732">
        <f t="shared" ca="1" si="5"/>
        <v>11619.400764388572</v>
      </c>
      <c r="H46" s="732">
        <f t="shared" si="5"/>
        <v>0</v>
      </c>
      <c r="I46" s="732">
        <f t="shared" si="5"/>
        <v>0</v>
      </c>
      <c r="J46" s="732">
        <f t="shared" si="5"/>
        <v>0</v>
      </c>
      <c r="K46" s="732">
        <f t="shared" si="5"/>
        <v>20.045841554291052</v>
      </c>
      <c r="L46" s="732">
        <f t="shared" si="5"/>
        <v>0</v>
      </c>
      <c r="M46" s="732">
        <f t="shared" ca="1" si="5"/>
        <v>0</v>
      </c>
      <c r="N46" s="732">
        <f t="shared" si="5"/>
        <v>0</v>
      </c>
      <c r="O46" s="732">
        <f t="shared" ca="1" si="5"/>
        <v>0</v>
      </c>
      <c r="P46" s="732">
        <f t="shared" si="5"/>
        <v>0</v>
      </c>
      <c r="Q46" s="732">
        <f t="shared" si="5"/>
        <v>0</v>
      </c>
      <c r="R46" s="732">
        <f ca="1">SUM(R39:R45)</f>
        <v>84297.970687644323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1104.0697642449575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1104.0697642449575</v>
      </c>
    </row>
    <row r="50" spans="1:18">
      <c r="A50" s="825" t="s">
        <v>307</v>
      </c>
      <c r="B50" s="835"/>
      <c r="C50" s="703">
        <f ca="1">transport!B18</f>
        <v>25.097040079595185</v>
      </c>
      <c r="D50" s="703">
        <f>transport!C18</f>
        <v>0</v>
      </c>
      <c r="E50" s="703">
        <f>transport!D18</f>
        <v>49.968607849279486</v>
      </c>
      <c r="F50" s="703">
        <f>transport!E18</f>
        <v>260.67848128316109</v>
      </c>
      <c r="G50" s="703">
        <f>transport!F18</f>
        <v>0</v>
      </c>
      <c r="H50" s="703">
        <f>transport!G18</f>
        <v>99959.349131833529</v>
      </c>
      <c r="I50" s="703">
        <f>transport!H18</f>
        <v>17163.761672178116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117458.85493322369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25.097040079595185</v>
      </c>
      <c r="D52" s="732">
        <f t="shared" ref="D52:Q52" ca="1" si="6">SUM(D48:D51)</f>
        <v>0</v>
      </c>
      <c r="E52" s="732">
        <f t="shared" si="6"/>
        <v>49.968607849279486</v>
      </c>
      <c r="F52" s="732">
        <f t="shared" si="6"/>
        <v>260.67848128316109</v>
      </c>
      <c r="G52" s="732">
        <f t="shared" si="6"/>
        <v>0</v>
      </c>
      <c r="H52" s="732">
        <f t="shared" si="6"/>
        <v>101063.41889607848</v>
      </c>
      <c r="I52" s="732">
        <f t="shared" si="6"/>
        <v>17163.761672178116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118562.92469746864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2.9057931410023223</v>
      </c>
      <c r="D54" s="703">
        <f ca="1">+landbouw!C12</f>
        <v>0</v>
      </c>
      <c r="E54" s="703">
        <f>+landbouw!D12</f>
        <v>0</v>
      </c>
      <c r="F54" s="703">
        <f>+landbouw!E12</f>
        <v>7.7437060254060622E-2</v>
      </c>
      <c r="G54" s="703">
        <f>+landbouw!F12</f>
        <v>12.910931898442197</v>
      </c>
      <c r="H54" s="703">
        <f>+landbouw!G12</f>
        <v>0</v>
      </c>
      <c r="I54" s="703">
        <f>+landbouw!H12</f>
        <v>0</v>
      </c>
      <c r="J54" s="703">
        <f>+landbouw!I12</f>
        <v>0</v>
      </c>
      <c r="K54" s="703">
        <f>+landbouw!J12</f>
        <v>0.67420367200423992</v>
      </c>
      <c r="L54" s="703">
        <f>+landbouw!K12</f>
        <v>0</v>
      </c>
      <c r="M54" s="703">
        <f>+landbouw!L12</f>
        <v>0</v>
      </c>
      <c r="N54" s="703">
        <f>+landbouw!M12</f>
        <v>0</v>
      </c>
      <c r="O54" s="703">
        <f>+landbouw!N12</f>
        <v>0</v>
      </c>
      <c r="P54" s="703">
        <f>+landbouw!O12</f>
        <v>0</v>
      </c>
      <c r="Q54" s="704">
        <f>+landbouw!P12</f>
        <v>0</v>
      </c>
      <c r="R54" s="731">
        <f ca="1">SUM(C54:Q54)</f>
        <v>16.568365771702819</v>
      </c>
    </row>
    <row r="55" spans="1:18" ht="15" thickBot="1">
      <c r="A55" s="825" t="s">
        <v>848</v>
      </c>
      <c r="B55" s="835"/>
      <c r="C55" s="703">
        <f ca="1">C25*'EF ele_warmte'!B12</f>
        <v>399.1046247422006</v>
      </c>
      <c r="D55" s="703"/>
      <c r="E55" s="703">
        <f>E25*EF_CO2_aardgas</f>
        <v>840.08894838020001</v>
      </c>
      <c r="F55" s="703"/>
      <c r="G55" s="703"/>
      <c r="H55" s="703"/>
      <c r="I55" s="703"/>
      <c r="J55" s="703"/>
      <c r="K55" s="703"/>
      <c r="L55" s="703"/>
      <c r="M55" s="703"/>
      <c r="N55" s="703"/>
      <c r="O55" s="703"/>
      <c r="P55" s="703"/>
      <c r="Q55" s="704"/>
      <c r="R55" s="731">
        <f ca="1">SUM(C55:Q55)</f>
        <v>1239.1935731224007</v>
      </c>
    </row>
    <row r="56" spans="1:18" ht="15.75" thickBot="1">
      <c r="A56" s="823" t="s">
        <v>849</v>
      </c>
      <c r="B56" s="836"/>
      <c r="C56" s="732">
        <f ca="1">SUM(C54:C55)</f>
        <v>402.01041788320293</v>
      </c>
      <c r="D56" s="732">
        <f t="shared" ref="D56:Q56" ca="1" si="7">SUM(D54:D55)</f>
        <v>0</v>
      </c>
      <c r="E56" s="732">
        <f t="shared" si="7"/>
        <v>840.08894838020001</v>
      </c>
      <c r="F56" s="732">
        <f t="shared" si="7"/>
        <v>7.7437060254060622E-2</v>
      </c>
      <c r="G56" s="732">
        <f t="shared" si="7"/>
        <v>12.910931898442197</v>
      </c>
      <c r="H56" s="732">
        <f t="shared" si="7"/>
        <v>0</v>
      </c>
      <c r="I56" s="732">
        <f t="shared" si="7"/>
        <v>0</v>
      </c>
      <c r="J56" s="732">
        <f t="shared" si="7"/>
        <v>0</v>
      </c>
      <c r="K56" s="732">
        <f t="shared" si="7"/>
        <v>0.67420367200423992</v>
      </c>
      <c r="L56" s="732">
        <f t="shared" si="7"/>
        <v>0</v>
      </c>
      <c r="M56" s="732">
        <f t="shared" si="7"/>
        <v>0</v>
      </c>
      <c r="N56" s="732">
        <f t="shared" si="7"/>
        <v>0</v>
      </c>
      <c r="O56" s="732">
        <f t="shared" si="7"/>
        <v>0</v>
      </c>
      <c r="P56" s="732">
        <f t="shared" si="7"/>
        <v>0</v>
      </c>
      <c r="Q56" s="733">
        <f t="shared" si="7"/>
        <v>0</v>
      </c>
      <c r="R56" s="734">
        <f ca="1">SUM(R54:R55)</f>
        <v>1255.7619388941037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42120.748795878484</v>
      </c>
      <c r="D61" s="740">
        <f t="shared" ref="D61:Q61" ca="1" si="8">D46+D52+D56</f>
        <v>0</v>
      </c>
      <c r="E61" s="740">
        <f t="shared" ca="1" si="8"/>
        <v>31015.967304798818</v>
      </c>
      <c r="F61" s="740">
        <f t="shared" si="8"/>
        <v>1099.728913559858</v>
      </c>
      <c r="G61" s="740">
        <f t="shared" ca="1" si="8"/>
        <v>11632.311696287015</v>
      </c>
      <c r="H61" s="740">
        <f t="shared" si="8"/>
        <v>101063.41889607848</v>
      </c>
      <c r="I61" s="740">
        <f t="shared" si="8"/>
        <v>17163.761672178116</v>
      </c>
      <c r="J61" s="740">
        <f t="shared" si="8"/>
        <v>0</v>
      </c>
      <c r="K61" s="740">
        <f t="shared" si="8"/>
        <v>20.720045226295291</v>
      </c>
      <c r="L61" s="740">
        <f t="shared" si="8"/>
        <v>0</v>
      </c>
      <c r="M61" s="740">
        <f t="shared" ca="1" si="8"/>
        <v>0</v>
      </c>
      <c r="N61" s="740">
        <f t="shared" si="8"/>
        <v>0</v>
      </c>
      <c r="O61" s="740">
        <f t="shared" ca="1" si="8"/>
        <v>0</v>
      </c>
      <c r="P61" s="740">
        <f t="shared" si="8"/>
        <v>0</v>
      </c>
      <c r="Q61" s="740">
        <f t="shared" si="8"/>
        <v>0</v>
      </c>
      <c r="R61" s="740">
        <f ca="1">R46+R52+R56</f>
        <v>204116.65732400707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0.21964856716414866</v>
      </c>
      <c r="D63" s="781">
        <f t="shared" ca="1" si="9"/>
        <v>0</v>
      </c>
      <c r="E63" s="1023">
        <f t="shared" ca="1" si="9"/>
        <v>0.20199999999999996</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1172.6540335598215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1172.6540335598215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1172.6540335598215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1172.6540335598215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19494.509193280188</v>
      </c>
      <c r="C4" s="477">
        <f>huishoudens!C8</f>
        <v>0</v>
      </c>
      <c r="D4" s="477">
        <f>huishoudens!D8</f>
        <v>62819.39344742601</v>
      </c>
      <c r="E4" s="477">
        <f>huishoudens!E8</f>
        <v>459.23481632108127</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2347.6629053578545</v>
      </c>
      <c r="O4" s="477">
        <f>huishoudens!O8</f>
        <v>37.520000000000003</v>
      </c>
      <c r="P4" s="478">
        <f>huishoudens!P8</f>
        <v>57.2</v>
      </c>
      <c r="Q4" s="479">
        <f>SUM(B4:P4)</f>
        <v>85215.520362385127</v>
      </c>
    </row>
    <row r="5" spans="1:17">
      <c r="A5" s="476" t="s">
        <v>156</v>
      </c>
      <c r="B5" s="477">
        <f ca="1">tertiair!B16</f>
        <v>157901.09513004901</v>
      </c>
      <c r="C5" s="477">
        <f ca="1">tertiair!C16</f>
        <v>0</v>
      </c>
      <c r="D5" s="477">
        <f ca="1">tertiair!D16</f>
        <v>80207.491883581039</v>
      </c>
      <c r="E5" s="477">
        <f>tertiair!E16</f>
        <v>2641.2113225512958</v>
      </c>
      <c r="F5" s="477">
        <f ca="1">tertiair!F16</f>
        <v>41245.435843864419</v>
      </c>
      <c r="G5" s="477">
        <f>tertiair!G16</f>
        <v>0</v>
      </c>
      <c r="H5" s="477">
        <f>tertiair!H16</f>
        <v>0</v>
      </c>
      <c r="I5" s="477">
        <f>tertiair!I16</f>
        <v>0</v>
      </c>
      <c r="J5" s="477">
        <f>tertiair!J16</f>
        <v>0</v>
      </c>
      <c r="K5" s="477">
        <f>tertiair!K16</f>
        <v>0</v>
      </c>
      <c r="L5" s="477">
        <f ca="1">tertiair!L16</f>
        <v>0</v>
      </c>
      <c r="M5" s="477">
        <f>tertiair!M16</f>
        <v>0</v>
      </c>
      <c r="N5" s="477">
        <f ca="1">tertiair!N16</f>
        <v>2173.7649460895936</v>
      </c>
      <c r="O5" s="477">
        <f>tertiair!O16</f>
        <v>1.5633333333333335</v>
      </c>
      <c r="P5" s="478">
        <f>tertiair!P16</f>
        <v>324.13333333333333</v>
      </c>
      <c r="Q5" s="476">
        <f t="shared" ref="Q5:Q14" ca="1" si="0">SUM(B5:P5)</f>
        <v>284494.69579280209</v>
      </c>
    </row>
    <row r="6" spans="1:17">
      <c r="A6" s="476" t="s">
        <v>194</v>
      </c>
      <c r="B6" s="477">
        <f>'openbare verlichting'!B8</f>
        <v>1449.799</v>
      </c>
      <c r="C6" s="477"/>
      <c r="D6" s="477"/>
      <c r="E6" s="477"/>
      <c r="F6" s="477"/>
      <c r="G6" s="477"/>
      <c r="H6" s="477"/>
      <c r="I6" s="477"/>
      <c r="J6" s="477"/>
      <c r="K6" s="477"/>
      <c r="L6" s="477"/>
      <c r="M6" s="477"/>
      <c r="N6" s="477"/>
      <c r="O6" s="477"/>
      <c r="P6" s="478"/>
      <c r="Q6" s="476">
        <f t="shared" si="0"/>
        <v>1449.799</v>
      </c>
    </row>
    <row r="7" spans="1:17">
      <c r="A7" s="476" t="s">
        <v>112</v>
      </c>
      <c r="B7" s="477">
        <f>landbouw!B8</f>
        <v>13.229283389000001</v>
      </c>
      <c r="C7" s="477">
        <f>landbouw!C8</f>
        <v>0</v>
      </c>
      <c r="D7" s="477">
        <f>landbouw!D8</f>
        <v>0</v>
      </c>
      <c r="E7" s="477">
        <f>landbouw!E8</f>
        <v>0.34113242402669874</v>
      </c>
      <c r="F7" s="477">
        <f>landbouw!F8</f>
        <v>48.355550181431447</v>
      </c>
      <c r="G7" s="477">
        <f>landbouw!G8</f>
        <v>0</v>
      </c>
      <c r="H7" s="477">
        <f>landbouw!H8</f>
        <v>0</v>
      </c>
      <c r="I7" s="477">
        <f>landbouw!I8</f>
        <v>0</v>
      </c>
      <c r="J7" s="477">
        <f>landbouw!J8</f>
        <v>1.9045301469046327</v>
      </c>
      <c r="K7" s="477">
        <f>landbouw!K8</f>
        <v>0</v>
      </c>
      <c r="L7" s="477">
        <f>landbouw!L8</f>
        <v>0</v>
      </c>
      <c r="M7" s="477">
        <f>landbouw!M8</f>
        <v>0</v>
      </c>
      <c r="N7" s="477">
        <f>landbouw!N8</f>
        <v>0</v>
      </c>
      <c r="O7" s="477">
        <f>landbouw!O8</f>
        <v>0</v>
      </c>
      <c r="P7" s="478">
        <f>landbouw!P8</f>
        <v>0</v>
      </c>
      <c r="Q7" s="476">
        <f t="shared" si="0"/>
        <v>63.830496141362779</v>
      </c>
    </row>
    <row r="8" spans="1:17">
      <c r="A8" s="476" t="s">
        <v>638</v>
      </c>
      <c r="B8" s="477">
        <f>industrie!B18</f>
        <v>10974.370491799</v>
      </c>
      <c r="C8" s="477">
        <f>industrie!C18</f>
        <v>0</v>
      </c>
      <c r="D8" s="477">
        <f>industrie!D18</f>
        <v>6111.2817411184005</v>
      </c>
      <c r="E8" s="477">
        <f>industrie!E18</f>
        <v>595.47013961415496</v>
      </c>
      <c r="F8" s="477">
        <f>industrie!F18</f>
        <v>2272.9190789392214</v>
      </c>
      <c r="G8" s="477">
        <f>industrie!G18</f>
        <v>0</v>
      </c>
      <c r="H8" s="477">
        <f>industrie!H18</f>
        <v>0</v>
      </c>
      <c r="I8" s="477">
        <f>industrie!I18</f>
        <v>0</v>
      </c>
      <c r="J8" s="477">
        <f>industrie!J18</f>
        <v>56.626671057319356</v>
      </c>
      <c r="K8" s="477">
        <f>industrie!K18</f>
        <v>0</v>
      </c>
      <c r="L8" s="477">
        <f>industrie!L18</f>
        <v>0</v>
      </c>
      <c r="M8" s="477">
        <f>industrie!M18</f>
        <v>0</v>
      </c>
      <c r="N8" s="477">
        <f>industrie!N18</f>
        <v>1771.4936634874537</v>
      </c>
      <c r="O8" s="477">
        <f>industrie!O18</f>
        <v>0</v>
      </c>
      <c r="P8" s="478">
        <f>industrie!P18</f>
        <v>0</v>
      </c>
      <c r="Q8" s="476">
        <f t="shared" si="0"/>
        <v>21782.161786015546</v>
      </c>
    </row>
    <row r="9" spans="1:17" s="482" customFormat="1">
      <c r="A9" s="480" t="s">
        <v>564</v>
      </c>
      <c r="B9" s="481">
        <f>transport!B14</f>
        <v>114.25997630496522</v>
      </c>
      <c r="C9" s="481">
        <f>transport!C14</f>
        <v>0</v>
      </c>
      <c r="D9" s="481">
        <f>transport!D14</f>
        <v>247.36934578851228</v>
      </c>
      <c r="E9" s="481">
        <f>transport!E14</f>
        <v>1148.363353670313</v>
      </c>
      <c r="F9" s="481">
        <f>transport!F14</f>
        <v>0</v>
      </c>
      <c r="G9" s="481">
        <f>transport!G14</f>
        <v>374379.58476342144</v>
      </c>
      <c r="H9" s="481">
        <f>transport!H14</f>
        <v>68930.769767783597</v>
      </c>
      <c r="I9" s="481">
        <f>transport!I14</f>
        <v>0</v>
      </c>
      <c r="J9" s="481">
        <f>transport!J14</f>
        <v>0</v>
      </c>
      <c r="K9" s="481">
        <f>transport!K14</f>
        <v>0</v>
      </c>
      <c r="L9" s="481">
        <f>transport!L14</f>
        <v>0</v>
      </c>
      <c r="M9" s="481">
        <f>transport!M14</f>
        <v>13859.956625230174</v>
      </c>
      <c r="N9" s="481">
        <f>transport!N14</f>
        <v>0</v>
      </c>
      <c r="O9" s="481">
        <f>transport!O14</f>
        <v>0</v>
      </c>
      <c r="P9" s="481">
        <f>transport!P14</f>
        <v>0</v>
      </c>
      <c r="Q9" s="480">
        <f>SUM(B9:P9)</f>
        <v>458680.30383219896</v>
      </c>
    </row>
    <row r="10" spans="1:17">
      <c r="A10" s="476" t="s">
        <v>554</v>
      </c>
      <c r="B10" s="477">
        <f>transport!B54</f>
        <v>0</v>
      </c>
      <c r="C10" s="477">
        <f>transport!C54</f>
        <v>0</v>
      </c>
      <c r="D10" s="477">
        <f>transport!D54</f>
        <v>0</v>
      </c>
      <c r="E10" s="477">
        <f>transport!E54</f>
        <v>0</v>
      </c>
      <c r="F10" s="477">
        <f>transport!F54</f>
        <v>0</v>
      </c>
      <c r="G10" s="477">
        <f>transport!G54</f>
        <v>4135.0927499811141</v>
      </c>
      <c r="H10" s="477">
        <f>transport!H54</f>
        <v>0</v>
      </c>
      <c r="I10" s="477">
        <f>transport!I54</f>
        <v>0</v>
      </c>
      <c r="J10" s="477">
        <f>transport!J54</f>
        <v>0</v>
      </c>
      <c r="K10" s="477">
        <f>transport!K54</f>
        <v>0</v>
      </c>
      <c r="L10" s="477">
        <f>transport!L54</f>
        <v>0</v>
      </c>
      <c r="M10" s="477">
        <f>transport!M54</f>
        <v>128.26132614898111</v>
      </c>
      <c r="N10" s="477">
        <f>transport!N54</f>
        <v>0</v>
      </c>
      <c r="O10" s="477">
        <f>transport!O54</f>
        <v>0</v>
      </c>
      <c r="P10" s="478">
        <f>transport!P54</f>
        <v>0</v>
      </c>
      <c r="Q10" s="476">
        <f t="shared" si="0"/>
        <v>4263.3540761300956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1817.0144694999999</v>
      </c>
      <c r="C14" s="484"/>
      <c r="D14" s="484">
        <f>'SEAP template'!E25</f>
        <v>4158.8561800999996</v>
      </c>
      <c r="E14" s="484"/>
      <c r="F14" s="484"/>
      <c r="G14" s="484"/>
      <c r="H14" s="484"/>
      <c r="I14" s="484"/>
      <c r="J14" s="484"/>
      <c r="K14" s="484"/>
      <c r="L14" s="484"/>
      <c r="M14" s="484"/>
      <c r="N14" s="484"/>
      <c r="O14" s="484"/>
      <c r="P14" s="485"/>
      <c r="Q14" s="476">
        <f t="shared" si="0"/>
        <v>5975.8706495999995</v>
      </c>
    </row>
    <row r="15" spans="1:17" s="486" customFormat="1">
      <c r="A15" s="1038" t="s">
        <v>558</v>
      </c>
      <c r="B15" s="978">
        <f ca="1">SUM(B4:B14)</f>
        <v>191764.27754432213</v>
      </c>
      <c r="C15" s="978">
        <f t="shared" ref="C15:Q15" ca="1" si="1">SUM(C4:C14)</f>
        <v>0</v>
      </c>
      <c r="D15" s="978">
        <f t="shared" ca="1" si="1"/>
        <v>153544.39259801398</v>
      </c>
      <c r="E15" s="978">
        <f t="shared" si="1"/>
        <v>4844.6207645808718</v>
      </c>
      <c r="F15" s="978">
        <f t="shared" ca="1" si="1"/>
        <v>43566.710472985076</v>
      </c>
      <c r="G15" s="978">
        <f t="shared" si="1"/>
        <v>378514.67751340254</v>
      </c>
      <c r="H15" s="978">
        <f t="shared" si="1"/>
        <v>68930.769767783597</v>
      </c>
      <c r="I15" s="978">
        <f t="shared" si="1"/>
        <v>0</v>
      </c>
      <c r="J15" s="978">
        <f t="shared" si="1"/>
        <v>58.53120120422399</v>
      </c>
      <c r="K15" s="978">
        <f t="shared" si="1"/>
        <v>0</v>
      </c>
      <c r="L15" s="978">
        <f t="shared" ca="1" si="1"/>
        <v>0</v>
      </c>
      <c r="M15" s="978">
        <f t="shared" si="1"/>
        <v>13988.217951379154</v>
      </c>
      <c r="N15" s="978">
        <f t="shared" ca="1" si="1"/>
        <v>6292.921514934902</v>
      </c>
      <c r="O15" s="978">
        <f t="shared" si="1"/>
        <v>39.083333333333336</v>
      </c>
      <c r="P15" s="978">
        <f t="shared" si="1"/>
        <v>381.33333333333331</v>
      </c>
      <c r="Q15" s="978">
        <f t="shared" ca="1" si="1"/>
        <v>861925.53599527327</v>
      </c>
    </row>
    <row r="17" spans="1:17">
      <c r="A17" s="487" t="s">
        <v>559</v>
      </c>
      <c r="B17" s="786">
        <f ca="1">huishoudens!B10</f>
        <v>0.21964856716414863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4281.9410118723163</v>
      </c>
      <c r="C22" s="477">
        <f t="shared" ref="C22:C32" ca="1" si="3">C4*$C$17</f>
        <v>0</v>
      </c>
      <c r="D22" s="477">
        <f t="shared" ref="D22:D32" si="4">D4*$D$17</f>
        <v>12689.517476380055</v>
      </c>
      <c r="E22" s="477">
        <f t="shared" ref="E22:E32" si="5">E4*$E$17</f>
        <v>104.24630330488546</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17075.704791557255</v>
      </c>
    </row>
    <row r="23" spans="1:17">
      <c r="A23" s="476" t="s">
        <v>156</v>
      </c>
      <c r="B23" s="477">
        <f t="shared" ca="1" si="2"/>
        <v>34682.749298965195</v>
      </c>
      <c r="C23" s="477">
        <f t="shared" ca="1" si="3"/>
        <v>0</v>
      </c>
      <c r="D23" s="477">
        <f t="shared" ca="1" si="4"/>
        <v>16201.913360483371</v>
      </c>
      <c r="E23" s="477">
        <f t="shared" si="5"/>
        <v>599.55497021914414</v>
      </c>
      <c r="F23" s="477">
        <f t="shared" ca="1" si="6"/>
        <v>11012.531370311801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62496.748999979507</v>
      </c>
    </row>
    <row r="24" spans="1:17">
      <c r="A24" s="476" t="s">
        <v>194</v>
      </c>
      <c r="B24" s="477">
        <f t="shared" ca="1" si="2"/>
        <v>318.44627302601549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318.44627302601549</v>
      </c>
    </row>
    <row r="25" spans="1:17">
      <c r="A25" s="476" t="s">
        <v>112</v>
      </c>
      <c r="B25" s="477">
        <f t="shared" ca="1" si="2"/>
        <v>2.9057931410023223</v>
      </c>
      <c r="C25" s="477">
        <f t="shared" ca="1" si="3"/>
        <v>0</v>
      </c>
      <c r="D25" s="477">
        <f t="shared" si="4"/>
        <v>0</v>
      </c>
      <c r="E25" s="477">
        <f t="shared" si="5"/>
        <v>7.7437060254060622E-2</v>
      </c>
      <c r="F25" s="477">
        <f t="shared" si="6"/>
        <v>12.910931898442197</v>
      </c>
      <c r="G25" s="477">
        <f t="shared" si="7"/>
        <v>0</v>
      </c>
      <c r="H25" s="477">
        <f t="shared" si="8"/>
        <v>0</v>
      </c>
      <c r="I25" s="477">
        <f t="shared" si="9"/>
        <v>0</v>
      </c>
      <c r="J25" s="477">
        <f t="shared" si="10"/>
        <v>0.67420367200423992</v>
      </c>
      <c r="K25" s="477">
        <f t="shared" si="11"/>
        <v>0</v>
      </c>
      <c r="L25" s="477">
        <f t="shared" si="12"/>
        <v>0</v>
      </c>
      <c r="M25" s="477">
        <f t="shared" si="13"/>
        <v>0</v>
      </c>
      <c r="N25" s="477">
        <f t="shared" si="14"/>
        <v>0</v>
      </c>
      <c r="O25" s="477">
        <f t="shared" si="15"/>
        <v>0</v>
      </c>
      <c r="P25" s="478">
        <f t="shared" si="16"/>
        <v>0</v>
      </c>
      <c r="Q25" s="476">
        <f t="shared" ca="1" si="17"/>
        <v>16.568365771702819</v>
      </c>
    </row>
    <row r="26" spans="1:17">
      <c r="A26" s="476" t="s">
        <v>638</v>
      </c>
      <c r="B26" s="477">
        <f t="shared" ca="1" si="2"/>
        <v>2410.5047540521632</v>
      </c>
      <c r="C26" s="477">
        <f t="shared" ca="1" si="3"/>
        <v>0</v>
      </c>
      <c r="D26" s="477">
        <f t="shared" si="4"/>
        <v>1234.478911705917</v>
      </c>
      <c r="E26" s="477">
        <f t="shared" si="5"/>
        <v>135.17172169241317</v>
      </c>
      <c r="F26" s="477">
        <f t="shared" si="6"/>
        <v>606.86939407677221</v>
      </c>
      <c r="G26" s="477">
        <f t="shared" si="7"/>
        <v>0</v>
      </c>
      <c r="H26" s="477">
        <f t="shared" si="8"/>
        <v>0</v>
      </c>
      <c r="I26" s="477">
        <f t="shared" si="9"/>
        <v>0</v>
      </c>
      <c r="J26" s="477">
        <f t="shared" si="10"/>
        <v>20.045841554291052</v>
      </c>
      <c r="K26" s="477">
        <f t="shared" si="11"/>
        <v>0</v>
      </c>
      <c r="L26" s="477">
        <f t="shared" si="12"/>
        <v>0</v>
      </c>
      <c r="M26" s="477">
        <f t="shared" si="13"/>
        <v>0</v>
      </c>
      <c r="N26" s="477">
        <f t="shared" si="14"/>
        <v>0</v>
      </c>
      <c r="O26" s="477">
        <f t="shared" si="15"/>
        <v>0</v>
      </c>
      <c r="P26" s="478">
        <f t="shared" si="16"/>
        <v>0</v>
      </c>
      <c r="Q26" s="476">
        <f t="shared" ca="1" si="17"/>
        <v>4407.0706230815558</v>
      </c>
    </row>
    <row r="27" spans="1:17" s="482" customFormat="1">
      <c r="A27" s="480" t="s">
        <v>564</v>
      </c>
      <c r="B27" s="780">
        <f t="shared" ca="1" si="2"/>
        <v>25.097040079595185</v>
      </c>
      <c r="C27" s="481">
        <f t="shared" ca="1" si="3"/>
        <v>0</v>
      </c>
      <c r="D27" s="481">
        <f t="shared" si="4"/>
        <v>49.968607849279486</v>
      </c>
      <c r="E27" s="481">
        <f t="shared" si="5"/>
        <v>260.67848128316109</v>
      </c>
      <c r="F27" s="481">
        <f t="shared" si="6"/>
        <v>0</v>
      </c>
      <c r="G27" s="481">
        <f t="shared" si="7"/>
        <v>99959.349131833529</v>
      </c>
      <c r="H27" s="481">
        <f t="shared" si="8"/>
        <v>17163.761672178116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117458.85493322369</v>
      </c>
    </row>
    <row r="28" spans="1:17">
      <c r="A28" s="476" t="s">
        <v>554</v>
      </c>
      <c r="B28" s="477">
        <f t="shared" ca="1" si="2"/>
        <v>0</v>
      </c>
      <c r="C28" s="477">
        <f t="shared" ca="1" si="3"/>
        <v>0</v>
      </c>
      <c r="D28" s="477">
        <f t="shared" si="4"/>
        <v>0</v>
      </c>
      <c r="E28" s="477">
        <f t="shared" si="5"/>
        <v>0</v>
      </c>
      <c r="F28" s="477">
        <f t="shared" si="6"/>
        <v>0</v>
      </c>
      <c r="G28" s="477">
        <f t="shared" si="7"/>
        <v>1104.0697642449575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1104.0697642449575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399.1046247422006</v>
      </c>
      <c r="C32" s="477">
        <f t="shared" ca="1" si="3"/>
        <v>0</v>
      </c>
      <c r="D32" s="477">
        <f t="shared" si="4"/>
        <v>840.08894838020001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1239.1935731224007</v>
      </c>
    </row>
    <row r="33" spans="1:17" s="486" customFormat="1">
      <c r="A33" s="1038" t="s">
        <v>558</v>
      </c>
      <c r="B33" s="978">
        <f ca="1">SUM(B22:B32)</f>
        <v>42120.748795878477</v>
      </c>
      <c r="C33" s="978">
        <f t="shared" ref="C33:Q33" ca="1" si="18">SUM(C22:C32)</f>
        <v>0</v>
      </c>
      <c r="D33" s="978">
        <f t="shared" ca="1" si="18"/>
        <v>31015.967304798818</v>
      </c>
      <c r="E33" s="978">
        <f t="shared" si="18"/>
        <v>1099.728913559858</v>
      </c>
      <c r="F33" s="978">
        <f t="shared" ca="1" si="18"/>
        <v>11632.311696287015</v>
      </c>
      <c r="G33" s="978">
        <f t="shared" si="18"/>
        <v>101063.41889607848</v>
      </c>
      <c r="H33" s="978">
        <f t="shared" si="18"/>
        <v>17163.761672178116</v>
      </c>
      <c r="I33" s="978">
        <f t="shared" si="18"/>
        <v>0</v>
      </c>
      <c r="J33" s="978">
        <f t="shared" si="18"/>
        <v>20.720045226295291</v>
      </c>
      <c r="K33" s="978">
        <f t="shared" si="18"/>
        <v>0</v>
      </c>
      <c r="L33" s="978">
        <f t="shared" ca="1" si="18"/>
        <v>0</v>
      </c>
      <c r="M33" s="978">
        <f t="shared" si="18"/>
        <v>0</v>
      </c>
      <c r="N33" s="978">
        <f t="shared" ca="1" si="18"/>
        <v>0</v>
      </c>
      <c r="O33" s="978">
        <f t="shared" si="18"/>
        <v>0</v>
      </c>
      <c r="P33" s="978">
        <f t="shared" si="18"/>
        <v>0</v>
      </c>
      <c r="Q33" s="978">
        <f t="shared" ca="1" si="18"/>
        <v>204116.6573240071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1172.6540335598215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1172.6540335598215</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0.21964856716414863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0.21964856716414863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2019-08-12T08:23:19Z</dcterms:modified>
</cp:coreProperties>
</file>