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<sst xmlns="http://schemas.openxmlformats.org/spreadsheetml/2006/main" count="2392" uniqueCount="890">
  <si>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</si>
  <si>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</si>
  <si>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</si>
  <si>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</si>
  <si>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</si>
  <si>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</si>
  <si>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</si>
  <si>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</si>
  <si>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</si>
  <si>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</si>
  <si>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</si>
  <si>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</si>
  <si>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</si>
  <si>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</si>
  <si>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</si>
  <si>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</si>
  <si>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</si>
  <si>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</si>
  <si>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</si>
  <si>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</si>
  <si>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</si>
  <si>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</si>
  <si>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</si>
  <si>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</si>
  <si>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</si>
  <si>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</si>
  <si>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</si>
  <si>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</si>
  <si>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</si>
  <si>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</si>
  <si>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</si>
  <si>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</si>
  <si>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</si>
  <si>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</si>
  <si>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</si>
  <si>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</si>
  <si>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</si>
  <si>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</si>
  <si>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</si>
  <si>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</si>
  <si>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</si>
  <si>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</si>
  <si>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</si>
  <si>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</si>
  <si>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</si>
  <si>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</si>
  <si>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</si>
  <si>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</si>
  <si>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</si>
  <si>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</si>
  <si>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</si>
  <si>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</si>
  <si>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</si>
  <si>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</si>
  <si>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</si>
  <si>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</si>
  <si>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</si>
  <si>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</si>
  <si>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</si>
  <si>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</si>
  <si>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</si>
  <si>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</si>
  <si>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</si>
  <si>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</si>
  <si>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</si>
  <si>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</si>
  <si>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</si>
  <si>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</si>
  <si>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</si>
  <si>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</si>
  <si>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</si>
  <si>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</si>
  <si>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</si>
  <si>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</si>
  <si>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</si>
  <si>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</si>
  <si>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</si>
  <si>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</si>
  <si>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</si>
  <si>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</si>
  <si>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</si>
  <si>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</si>
  <si>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</si>
  <si>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</si>
  <si>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</si>
  <si>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</si>
  <si>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</si>
  <si>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</si>
  <si>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</si>
  <si>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</si>
  <si>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</si>
  <si>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</si>
  <si>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</si>
  <si>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</si>
  <si>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</si>
  <si>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</si>
  <si>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</si>
  <si>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</si>
  <si>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</si>
  <si>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</si>
  <si>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</si>
  <si>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</si>
  <si>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</si>
  <si>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</si>
  <si>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</si>
  <si>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</si>
  <si>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</si>
  <si>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</si>
  <si>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</si>
  <si>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</si>
  <si>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</si>
  <si>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</si>
  <si>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</si>
  <si>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</si>
  <si>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</si>
  <si>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</si>
  <si>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</si>
  <si>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</si>
  <si>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</si>
  <si>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</si>
  <si>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</si>
  <si>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</si>
  <si>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</si>
  <si>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</si>
  <si>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</si>
  <si>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</si>
  <si>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</si>
  <si>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</si>
  <si>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</si>
  <si>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</si>
  <si>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</si>
  <si>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</si>
  <si>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</si>
  <si>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</si>
  <si>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</si>
  <si>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</si>
  <si>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</si>
  <si>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</si>
  <si>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</si>
  <si>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</si>
  <si>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</si>
  <si>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</si>
  <si>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</si>
  <si>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</si>
  <si>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</si>
  <si>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</si>
  <si>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</si>
  <si>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</si>
  <si>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</si>
  <si>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</si>
  <si>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</si>
  <si>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</si>
  <si>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</si>
  <si>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</si>
  <si>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</si>
  <si>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</si>
  <si>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</si>
  <si>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</si>
  <si>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</si>
  <si>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</si>
  <si>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</si>
  <si>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</si>
  <si>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</si>
  <si>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</si>
  <si>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</si>
  <si>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</si>
  <si>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</si>
  <si>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</si>
  <si>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</si>
  <si>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</si>
  <si>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</si>
  <si>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</si>
  <si>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</si>
  <si>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</si>
  <si>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</si>
  <si>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</si>
  <si>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</si>
  <si>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</si>
  <si>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</si>
  <si>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</si>
  <si>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</si>
  <si>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</si>
  <si>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</si>
  <si>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</si>
  <si>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</si>
  <si>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</si>
  <si>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</si>
  <si>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</si>
  <si>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</si>
  <si>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</si>
  <si>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</si>
  <si>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</si>
  <si>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</si>
  <si>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</si>
  <si>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</si>
  <si>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</si>
  <si>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</si>
  <si>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</si>
  <si>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</si>
  <si>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</si>
  <si>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</si>
  <si>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</si>
  <si>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</si>
  <si>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</si>
  <si>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</si>
  <si>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</si>
  <si>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</si>
  <si>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</si>
  <si>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</si>
  <si>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</si>
  <si>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</si>
  <si>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</si>
  <si>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</si>
  <si>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</si>
  <si>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</si>
  <si>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</si>
  <si>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</si>
  <si>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</si>
  <si>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</si>
  <si>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</si>
  <si>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</si>
  <si>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</si>
  <si>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</si>
  <si>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</si>
  <si>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</si>
  <si>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</si>
  <si>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</si>
  <si>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</si>
  <si>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</si>
  <si>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</si>
  <si>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</si>
  <si>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</si>
  <si>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</si>
  <si>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</si>
  <si>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</si>
  <si>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</si>
  <si>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</si>
  <si>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</si>
  <si>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</si>
  <si>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</si>
  <si>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</si>
  <si>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</si>
  <si>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</si>
  <si>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</si>
  <si>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</si>
  <si>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</si>
  <si>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</si>
  <si>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</si>
  <si>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</si>
  <si>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</si>
  <si>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</si>
  <si>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</si>
  <si>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</si>
  <si>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</si>
  <si>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</si>
  <si>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</si>
  <si>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</si>
  <si>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</si>
  <si>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</si>
  <si>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</si>
  <si>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</si>
  <si>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</si>
  <si>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</si>
  <si>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</si>
  <si>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</si>
  <si>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</si>
  <si>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</si>
  <si>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</si>
  <si>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</si>
  <si>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</si>
  <si>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</si>
  <si>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</si>
  <si>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</si>
  <si>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</si>
  <si>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</si>
  <si>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</si>
  <si>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</si>
  <si>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</si>
  <si>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</si>
  <si>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</si>
  <si>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</si>
  <si>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</si>
  <si>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</si>
  <si>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</si>
  <si>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</si>
  <si>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</si>
  <si>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</si>
  <si>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</si>
  <si>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</si>
  <si>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</si>
  <si>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</si>
  <si>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</si>
  <si>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</si>
  <si>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</si>
  <si>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</si>
  <si>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</si>
  <si>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</si>
  <si>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</si>
  <si>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</si>
  <si>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</si>
  <si>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</si>
  <si>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</si>
  <si>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</si>
  <si>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</si>
  <si>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</si>
  <si>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</si>
  <si>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</si>
  <si>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</si>
  <si>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</si>
  <si>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</si>
  <si>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</si>
  <si>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</si>
  <si>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</si>
  <si>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</si>
  <si>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</si>
  <si>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</si>
  <si>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</si>
  <si>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</si>
  <si>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</si>
  <si>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</si>
  <si>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</si>
  <si>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</si>
  <si>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</si>
  <si>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</si>
  <si>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</si>
  <si>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</si>
  <si>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</si>
  <si>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</si>
  <si>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</si>
  <si>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</si>
  <si>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</si>
  <si>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</si>
  <si>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</si>
  <si>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</si>
  <si>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</si>
  <si>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</si>
  <si>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</si>
  <si>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</si>
  <si>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</si>
  <si>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</si>
  <si>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</si>
  <si>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</si>
  <si>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</si>
  <si>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</si>
  <si>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</si>
  <si>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</si>
  <si>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</si>
  <si>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</si>
  <si>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</si>
  <si>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</si>
  <si>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</si>
  <si>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</si>
  <si>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</si>
  <si>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</si>
  <si>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</si>
  <si>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</si>
  <si>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</si>
  <si>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</si>
  <si>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</si>
  <si>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</si>
  <si>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</si>
  <si>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</si>
  <si>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</si>
  <si>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</si>
  <si>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</si>
  <si>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</si>
  <si>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</si>
  <si>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</si>
  <si>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</si>
  <si>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</si>
  <si>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</si>
  <si>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</si>
  <si>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</si>
  <si>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</si>
  <si>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</si>
  <si>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</si>
  <si>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</si>
  <si>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</si>
  <si>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</si>
  <si>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</si>
  <si>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</si>
  <si>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</si>
  <si>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</si>
  <si>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</si>
  <si>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</si>
  <si>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</si>
  <si>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</si>
  <si>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</si>
  <si>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</si>
  <si>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</si>
  <si>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</si>
  <si>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</si>
  <si>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</si>
  <si>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</si>
  <si>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</si>
  <si>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</si>
  <si>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</si>
  <si>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</si>
  <si>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</si>
  <si>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</si>
  <si>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</si>
  <si>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</si>
  <si>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</si>
  <si>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</si>
  <si>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</si>
  <si>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</si>
  <si>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</si>
  <si>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</si>
  <si>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</si>
  <si>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</si>
  <si>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</si>
  <si>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</si>
  <si>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</si>
  <si>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</si>
  <si>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</si>
  <si>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</si>
  <si>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</si>
  <si>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</si>
  <si>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</si>
  <si>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</si>
  <si>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</si>
  <si>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</si>
  <si>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</si>
  <si>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</si>
  <si>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</si>
  <si>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</si>
  <si>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</si>
  <si>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</si>
  <si>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</si>
  <si>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</si>
  <si>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</si>
  <si>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</si>
  <si>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</si>
  <si>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</si>
  <si>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</si>
  <si>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</si>
  <si>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</si>
  <si>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</si>
  <si>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</si>
  <si>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</si>
  <si>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</si>
  <si>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</si>
  <si>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</si>
  <si>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</si>
  <si>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</si>
  <si>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</si>
  <si>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</si>
  <si>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</si>
  <si>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</si>
  <si>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</si>
  <si>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</si>
  <si>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</si>
  <si>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</si>
  <si>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</si>
  <si>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</si>
  <si>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</si>
  <si>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</si>
  <si>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</si>
  <si>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</si>
  <si>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</si>
  <si>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</si>
  <si>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</si>
  <si>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</si>
  <si>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</si>
  <si>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</si>
  <si>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</si>
  <si>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</si>
  <si>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</si>
  <si>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</si>
  <si>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</si>
  <si>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</si>
  <si>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</si>
  <si>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</si>
  <si>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</si>
  <si>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</si>
  <si>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</si>
  <si>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</si>
  <si>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</si>
  <si>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</si>
  <si>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</si>
  <si>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</si>
  <si>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</si>
  <si>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</si>
  <si>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</si>
  <si>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</si>
  <si>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</si>
  <si>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</si>
  <si>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</si>
  <si>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</si>
  <si>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</si>
  <si>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</si>
  <si>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</si>
  <si>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</si>
  <si>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</si>
  <si>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</si>
  <si>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</si>
  <si>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</si>
  <si>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</si>
  <si>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</si>
  <si>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</si>
  <si>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</si>
  <si>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</si>
  <si>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</si>
  <si>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</si>
  <si>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</si>
  <si>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</si>
  <si>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</si>
  <si>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</si>
  <si>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</si>
  <si>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</si>
  <si>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</si>
  <si>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</si>
  <si>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</si>
  <si>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</si>
  <si>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</si>
  <si>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</si>
  <si>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</si>
  <si>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</si>
  <si>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</si>
  <si>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</si>
  <si>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</si>
  <si>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</si>
  <si>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</si>
  <si>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</si>
  <si>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</si>
  <si>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</si>
  <si>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</si>
  <si>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</si>
  <si>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</si>
  <si>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</si>
  <si>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</si>
  <si>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</si>
  <si>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</si>
  <si>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</si>
  <si>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</si>
  <si>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</si>
  <si>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</si>
  <si>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</si>
  <si>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</si>
  <si>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</si>
  <si>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</si>
  <si>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</si>
  <si>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</si>
  <si>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</si>
  <si>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</si>
  <si>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</si>
  <si>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</si>
  <si>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</si>
  <si>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</si>
  <si>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</si>
  <si>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</si>
  <si>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</si>
  <si>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</si>
  <si>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</si>
  <si>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</si>
  <si>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</si>
  <si>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</si>
  <si>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</si>
  <si>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</si>
  <si>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</si>
  <si>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</si>
  <si>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</si>
  <si>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</si>
  <si>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</si>
  <si>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</si>
  <si>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</si>
  <si>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</si>
  <si>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</si>
  <si>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</si>
  <si>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</si>
  <si>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</si>
  <si>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</si>
  <si>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</si>
  <si>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</si>
  <si>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</si>
  <si>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</si>
  <si>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</si>
  <si>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</si>
  <si>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</si>
  <si>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</si>
  <si>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</si>
  <si>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</si>
  <si>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</si>
  <si>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</si>
  <si>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</si>
  <si>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</si>
  <si>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</si>
  <si>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</si>
  <si>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</si>
  <si>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</si>
  <si>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</si>
  <si>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</si>
  <si>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</si>
  <si>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</si>
  <si>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</si>
  <si>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</si>
  <si>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</si>
  <si>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</si>
  <si>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</si>
  <si>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</si>
  <si>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</si>
  <si>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</si>
  <si>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</si>
  <si>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</si>
  <si>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</si>
  <si>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</si>
  <si>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</si>
  <si>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</si>
  <si>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</si>
  <si>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</si>
  <si>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</si>
  <si>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</si>
  <si>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</si>
  <si>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</si>
  <si>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</si>
  <si>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</si>
  <si>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</si>
  <si>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</si>
  <si>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</si>
  <si>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</si>
  <si>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</si>
  <si>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</si>
  <si>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</si>
  <si>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</si>
  <si>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</si>
  <si>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</si>
  <si>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</si>
  <si>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</si>
  <si>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</si>
  <si>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</si>
  <si>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</si>
  <si>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</si>
  <si>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</si>
  <si>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</si>
  <si>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</si>
  <si>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</si>
  <si>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</si>
  <si>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</si>
  <si>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</si>
  <si>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</si>
  <si>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</si>
  <si>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</si>
  <si>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</si>
  <si>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</si>
  <si>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</si>
  <si>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</si>
  <si>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</si>
  <si>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</si>
  <si>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</si>
  <si>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</si>
  <si>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</si>
  <si>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</si>
  <si>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</si>
  <si>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</si>
  <si>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</si>
  <si>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</si>
  <si>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</si>
  <si>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</si>
  <si>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</si>
  <si>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</si>
  <si>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</si>
  <si>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</si>
  <si>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</si>
  <si>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</si>
  <si>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</si>
  <si>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</si>
  <si>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</si>
  <si>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</si>
  <si>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</si>
  <si>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</si>
  <si>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</si>
  <si>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</si>
  <si>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</si>
  <si>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</si>
  <si>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</si>
  <si>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</si>
  <si>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</si>
  <si>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</si>
  <si>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</si>
  <si>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</si>
  <si>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</si>
  <si>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</si>
  <si>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</si>
  <si>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</si>
  <si>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</si>
  <si>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</si>
  <si>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</si>
  <si>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</si>
  <si>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</si>
  <si>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</si>
  <si>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</si>
  <si>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</si>
  <si>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</si>
  <si>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</si>
  <si>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</si>
  <si>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</si>
  <si>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</si>
  <si>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</si>
  <si>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</si>
  <si>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</si>
  <si>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</si>
  <si>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</si>
  <si>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</si>
  <si>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</si>
  <si>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</si>
  <si>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</si>
  <si>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</si>
  <si>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</si>
  <si>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</si>
  <si>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</si>
  <si>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</si>
  <si>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</si>
  <si>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</si>
  <si>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</si>
  <si>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</si>
  <si>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</si>
  <si>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</si>
  <si>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</si>
  <si>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</si>
  <si>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</si>
  <si>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</si>
  <si>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</si>
  <si>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</si>
  <si>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</si>
  <si>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</si>
  <si>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</si>
  <si>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</si>
  <si>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</si>
  <si>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</si>
  <si>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</si>
  <si>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</si>
  <si>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</si>
  <si>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</si>
  <si>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</si>
  <si>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</si>
  <si>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</si>
  <si>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</si>
  <si>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</si>
  <si>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</si>
  <si>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</si>
  <si>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</si>
  <si>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</si>
  <si>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</si>
  <si>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</si>
  <si>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</si>
  <si>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</si>
  <si>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</si>
  <si>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</si>
  <si>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</si>
  <si>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</si>
  <si>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</si>
  <si>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</si>
  <si>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</si>
  <si>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</si>
  <si>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</si>
  <si>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</si>
  <si>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</si>
  <si>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</si>
  <si>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</si>
  <si>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</si>
  <si>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</si>
  <si>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</si>
  <si>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</si>
  <si>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</si>
  <si>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</si>
  <si>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</si>
  <si>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</si>
  <si>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</si>
  <si>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</si>
  <si>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</si>
  <si>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</si>
  <si>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</si>
  <si>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</si>
  <si>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</si>
  <si>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</si>
  <si>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</si>
  <si>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</si>
  <si>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</si>
  <si>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</si>
  <si>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</si>
  <si>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</si>
  <si>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</si>
  <si>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</si>
  <si>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</si>
  <si>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</si>
  <si>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</si>
  <si>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</si>
  <si>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</si>
  <si>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</si>
  <si>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</si>
  <si>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</si>
  <si>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</si>
  <si>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</si>
  <si>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</si>
  <si>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</si>
  <si>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</si>
  <si>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</si>
  <si>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</si>
  <si>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</si>
  <si>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</si>
  <si>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</si>
  <si>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</si>
  <si>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</si>
  <si>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</si>
  <si>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</si>
  <si>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</si>
  <si>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</si>
  <si>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</si>
  <si>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</si>
  <si>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</si>
  <si>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</si>
  <si>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</si>
  <si>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</si>
  <si>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</si>
  <si>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</si>
  <si>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</si>
  <si>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</si>
  <si>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</si>
  <si>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</si>
  <si>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</si>
  <si>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</si>
  <si>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</si>
  <si>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</si>
  <si>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</si>
  <si>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</si>
  <si>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</si>
  <si>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</si>
  <si>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</si>
  <si>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</si>
  <si>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</si>
  <si>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</si>
  <si>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</si>
  <si>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</si>
  <si>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</si>
  <si>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</si>
  <si>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</si>
  <si>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</si>
  <si>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</si>
  <si>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</si>
  <si>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</si>
  <si>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</si>
  <si>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</si>
  <si>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</si>
  <si>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</si>
  <si>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</si>
  <si>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</si>
  <si>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</si>
  <si>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</si>
  <si>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</si>
  <si>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</si>
  <si>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</si>
  <si>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</si>
  <si>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</si>
  <si>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</si>
  <si>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</si>
  <si>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</si>
  <si>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</si>
  <si>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</si>
  <si>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</si>
  <si>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</si>
  <si>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</si>
  <si>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</si>
  <si>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</si>
  <si>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</si>
  <si>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</si>
  <si>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</si>
  <si>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</si>
  <si>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</si>
  <si>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</si>
  <si>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</si>
  <si>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</si>
  <si>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</si>
  <si>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</si>
  <si>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</si>
  <si>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</si>
  <si>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</si>
  <si>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</si>
  <si>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</si>
  <si>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</si>
  <si>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</si>
  <si>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</si>
  <si>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</si>
  <si>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23039</t>
  </si>
  <si>
    <t>KAPELLE-OP-DEN-BOS</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</si>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</sst>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70890.956000716586</c:v>
                </c:pt>
                <c:pt idx="1">
                  <c:v>15433.154867376441</c:v>
                </c:pt>
                <c:pt idx="2">
                  <c:v>760.89599999999996</c:v>
                </c:pt>
                <c:pt idx="3">
                  <c:v>2589.414344580252</c:v>
                </c:pt>
                <c:pt idx="4">
                  <c:v>8400.3915201737873</c:v>
                </c:pt>
                <c:pt idx="5">
                  <c:v>43588.02644277308</c:v>
                </c:pt>
                <c:pt idx="6">
                  <c:v>1117.7241118413863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46240"/>
        <c:axId val="183547776"/>
      </c:barChart>
      <c:catAx>
        <c:axId val="183546240"/>
        <c:scaling>
          <c:orientation val="minMax"/>
        </c:scaling>
        <c:axPos val="b"/>
        <c:numFmt formatCode="General" sourceLinked="0"/>
        <c:tickLblPos val="nextTo"/>
        <c:crossAx val="183547776"/>
        <c:crosses val="autoZero"/>
        <c:auto val="1"/>
        <c:lblAlgn val="ctr"/>
        <c:lblOffset val="100"/>
      </c:catAx>
      <c:valAx>
        <c:axId val="183547776"/>
        <c:scaling>
          <c:orientation val="minMax"/>
        </c:scaling>
        <c:axPos val="l"/>
        <c:majorGridlines/>
        <c:numFmt formatCode="#,##0" sourceLinked="1"/>
        <c:tickLblPos val="nextTo"/>
        <c:crossAx val="1835462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70890.956000716586</c:v>
                </c:pt>
                <c:pt idx="1">
                  <c:v>15433.154867376441</c:v>
                </c:pt>
                <c:pt idx="2">
                  <c:v>760.89599999999996</c:v>
                </c:pt>
                <c:pt idx="3">
                  <c:v>2589.414344580252</c:v>
                </c:pt>
                <c:pt idx="4">
                  <c:v>8400.3915201737873</c:v>
                </c:pt>
                <c:pt idx="5">
                  <c:v>43588.02644277308</c:v>
                </c:pt>
                <c:pt idx="6">
                  <c:v>1117.7241118413863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14217.243227115359</c:v>
                </c:pt>
                <c:pt idx="2">
                  <c:v>3032.452856078608</c:v>
                </c:pt>
                <c:pt idx="3">
                  <c:v>143.07754748149023</c:v>
                </c:pt>
                <c:pt idx="4">
                  <c:v>641.31899727976042</c:v>
                </c:pt>
                <c:pt idx="5">
                  <c:v>1561.6587860995562</c:v>
                </c:pt>
                <c:pt idx="6">
                  <c:v>11143.047013758305</c:v>
                </c:pt>
                <c:pt idx="7">
                  <c:v>289.45411866231478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087296"/>
      </c:barChart>
      <c:catAx>
        <c:axId val="18403635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14217.243227115359</c:v>
                </c:pt>
                <c:pt idx="2">
                  <c:v>3032.452856078608</c:v>
                </c:pt>
                <c:pt idx="3">
                  <c:v>143.07754748149023</c:v>
                </c:pt>
                <c:pt idx="4">
                  <c:v>641.31899727976042</c:v>
                </c:pt>
                <c:pt idx="5">
                  <c:v>1561.6587860995562</c:v>
                </c:pt>
                <c:pt idx="6">
                  <c:v>11143.047013758305</c:v>
                </c:pt>
                <c:pt idx="7">
                  <c:v>289.45411866231478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23039</v>
      </c>
      <c r="B6" s="415"/>
      <c r="C6" s="416"/>
    </row>
    <row r="7" spans="1:7" s="413" customFormat="1" ht="15.75" customHeight="1">
      <c r="A7" s="417" t="str">
        <f>txtMunicipality</f>
        <v>KAPELLE-OP-DEN-BOS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5998.2777948800003</v>
      </c>
      <c r="D10" s="1012">
        <f ca="1">tertiair!C16</f>
        <v>0</v>
      </c>
      <c r="E10" s="1012">
        <f ca="1">tertiair!D16</f>
        <v>8248.8006947253598</v>
      </c>
      <c r="F10" s="1012">
        <f>tertiair!E16</f>
        <v>106.42119290257028</v>
      </c>
      <c r="G10" s="1012">
        <f ca="1">tertiair!F16</f>
        <v>1337.8630360975039</v>
      </c>
      <c r="H10" s="1012">
        <f>tertiair!G16</f>
        <v>0</v>
      </c>
      <c r="I10" s="1012">
        <f>tertiair!H16</f>
        <v>0</v>
      </c>
      <c r="J10" s="1012">
        <f>tertiair!I16</f>
        <v>0</v>
      </c>
      <c r="K10" s="1012">
        <f>tertiair!J16</f>
        <v>0</v>
      </c>
      <c r="L10" s="1012">
        <f>tertiair!K16</f>
        <v>0</v>
      </c>
      <c r="M10" s="1012">
        <f ca="1">tertiair!L16</f>
        <v>0</v>
      </c>
      <c r="N10" s="1012">
        <f>tertiair!M16</f>
        <v>0</v>
      </c>
      <c r="O10" s="1012">
        <f ca="1">tertiair!N16</f>
        <v>502.68814877100681</v>
      </c>
      <c r="P10" s="1012">
        <f>tertiair!O16</f>
        <v>0</v>
      </c>
      <c r="Q10" s="1013">
        <f>tertiair!P16</f>
        <v>0</v>
      </c>
      <c r="R10" s="700">
        <f ca="1">SUM(C10:Q10)</f>
        <v>16194.05086737644</v>
      </c>
      <c r="S10" s="67"/>
    </row>
    <row r="11" spans="1:19" s="473" customFormat="1">
      <c r="A11" s="809" t="s">
        <v>225</v>
      </c>
      <c r="B11" s="814"/>
      <c r="C11" s="1012">
        <f>huishoudens!B8</f>
        <v>16280.164825275537</v>
      </c>
      <c r="D11" s="1012">
        <f>huishoudens!C8</f>
        <v>0</v>
      </c>
      <c r="E11" s="1012">
        <f>huishoudens!D8</f>
        <v>36536.489572902006</v>
      </c>
      <c r="F11" s="1012">
        <f>huishoudens!E8</f>
        <v>853.6744782364209</v>
      </c>
      <c r="G11" s="1012">
        <f>huishoudens!F8</f>
        <v>13414.961145584566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3170.4893120513934</v>
      </c>
      <c r="P11" s="1012">
        <f>huishoudens!O8</f>
        <v>120.37666666666668</v>
      </c>
      <c r="Q11" s="1013">
        <f>huishoudens!P8</f>
        <v>514.79999999999995</v>
      </c>
      <c r="R11" s="700">
        <f>SUM(C11:Q11)</f>
        <v>70890.956000716586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4738.985104421</v>
      </c>
      <c r="D13" s="1012">
        <f>industrie!C18</f>
        <v>0</v>
      </c>
      <c r="E13" s="1012">
        <f>industrie!D18</f>
        <v>1365.34180882176</v>
      </c>
      <c r="F13" s="1012">
        <f>industrie!E18</f>
        <v>288.40594803293163</v>
      </c>
      <c r="G13" s="1012">
        <f>industrie!F18</f>
        <v>1195.396655336197</v>
      </c>
      <c r="H13" s="1012">
        <f>industrie!G18</f>
        <v>0</v>
      </c>
      <c r="I13" s="1012">
        <f>industrie!H18</f>
        <v>0</v>
      </c>
      <c r="J13" s="1012">
        <f>industrie!I18</f>
        <v>0</v>
      </c>
      <c r="K13" s="1012">
        <f>industrie!J18</f>
        <v>28.560021367257143</v>
      </c>
      <c r="L13" s="1012">
        <f>industrie!K18</f>
        <v>0</v>
      </c>
      <c r="M13" s="1012">
        <f>industrie!L18</f>
        <v>0</v>
      </c>
      <c r="N13" s="1012">
        <f>industrie!M18</f>
        <v>0</v>
      </c>
      <c r="O13" s="1012">
        <f>industrie!N18</f>
        <v>783.70198219464328</v>
      </c>
      <c r="P13" s="1012">
        <f>industrie!O18</f>
        <v>0</v>
      </c>
      <c r="Q13" s="1013">
        <f>industrie!P18</f>
        <v>0</v>
      </c>
      <c r="R13" s="700">
        <f>SUM(C13:Q13)</f>
        <v>8400.3915201737873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27017.427724576537</v>
      </c>
      <c r="D16" s="732">
        <f t="shared" ref="D16:R16" ca="1" si="0">SUM(D9:D15)</f>
        <v>0</v>
      </c>
      <c r="E16" s="732">
        <f t="shared" ca="1" si="0"/>
        <v>46150.632076449125</v>
      </c>
      <c r="F16" s="732">
        <f t="shared" si="0"/>
        <v>1248.5016191719228</v>
      </c>
      <c r="G16" s="732">
        <f t="shared" ca="1" si="0"/>
        <v>15948.220837018267</v>
      </c>
      <c r="H16" s="732">
        <f t="shared" si="0"/>
        <v>0</v>
      </c>
      <c r="I16" s="732">
        <f t="shared" si="0"/>
        <v>0</v>
      </c>
      <c r="J16" s="732">
        <f t="shared" si="0"/>
        <v>0</v>
      </c>
      <c r="K16" s="732">
        <f t="shared" si="0"/>
        <v>28.560021367257143</v>
      </c>
      <c r="L16" s="732">
        <f t="shared" si="0"/>
        <v>0</v>
      </c>
      <c r="M16" s="732">
        <f t="shared" ca="1" si="0"/>
        <v>0</v>
      </c>
      <c r="N16" s="732">
        <f t="shared" si="0"/>
        <v>0</v>
      </c>
      <c r="O16" s="732">
        <f t="shared" ca="1" si="0"/>
        <v>4456.8794430170437</v>
      </c>
      <c r="P16" s="732">
        <f t="shared" si="0"/>
        <v>120.37666666666668</v>
      </c>
      <c r="Q16" s="732">
        <f t="shared" si="0"/>
        <v>514.79999999999995</v>
      </c>
      <c r="R16" s="732">
        <f t="shared" ca="1" si="0"/>
        <v>95485.398388266811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1084.0978227052988</v>
      </c>
      <c r="I19" s="1012">
        <f>transport!H54</f>
        <v>0</v>
      </c>
      <c r="J19" s="1012">
        <f>transport!I54</f>
        <v>0</v>
      </c>
      <c r="K19" s="1012">
        <f>transport!J54</f>
        <v>0</v>
      </c>
      <c r="L19" s="1012">
        <f>transport!K54</f>
        <v>0</v>
      </c>
      <c r="M19" s="1012">
        <f>transport!L54</f>
        <v>0</v>
      </c>
      <c r="N19" s="1012">
        <f>transport!M54</f>
        <v>33.626289136087621</v>
      </c>
      <c r="O19" s="1012">
        <f>transport!N54</f>
        <v>0</v>
      </c>
      <c r="P19" s="1012">
        <f>transport!O54</f>
        <v>0</v>
      </c>
      <c r="Q19" s="1013">
        <f>transport!P54</f>
        <v>0</v>
      </c>
      <c r="R19" s="700">
        <f>SUM(C19:Q19)</f>
        <v>1117.7241118413863</v>
      </c>
      <c r="S19" s="67"/>
    </row>
    <row r="20" spans="1:19" s="473" customFormat="1">
      <c r="A20" s="809" t="s">
        <v>307</v>
      </c>
      <c r="B20" s="814"/>
      <c r="C20" s="1012">
        <f>transport!B14</f>
        <v>8.8897544214422783</v>
      </c>
      <c r="D20" s="1012">
        <f>transport!C14</f>
        <v>0</v>
      </c>
      <c r="E20" s="1012">
        <f>transport!D14</f>
        <v>28.683115452857098</v>
      </c>
      <c r="F20" s="1012">
        <f>transport!E14</f>
        <v>108.65278976136325</v>
      </c>
      <c r="G20" s="1012">
        <f>transport!F14</f>
        <v>0</v>
      </c>
      <c r="H20" s="1012">
        <f>transport!G14</f>
        <v>34525.805607636154</v>
      </c>
      <c r="I20" s="1012">
        <f>transport!H14</f>
        <v>7600.510562705932</v>
      </c>
      <c r="J20" s="1012">
        <f>transport!I14</f>
        <v>0</v>
      </c>
      <c r="K20" s="1012">
        <f>transport!J14</f>
        <v>0</v>
      </c>
      <c r="L20" s="1012">
        <f>transport!K14</f>
        <v>0</v>
      </c>
      <c r="M20" s="1012">
        <f>transport!L14</f>
        <v>0</v>
      </c>
      <c r="N20" s="1012">
        <f>transport!M14</f>
        <v>1315.4846127953349</v>
      </c>
      <c r="O20" s="1012">
        <f>transport!N14</f>
        <v>0</v>
      </c>
      <c r="P20" s="1012">
        <f>transport!O14</f>
        <v>0</v>
      </c>
      <c r="Q20" s="1013">
        <f>transport!P14</f>
        <v>0</v>
      </c>
      <c r="R20" s="700">
        <f>SUM(C20:Q20)</f>
        <v>43588.02644277308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8.8897544214422783</v>
      </c>
      <c r="D22" s="812">
        <f t="shared" ref="D22:R22" si="1">SUM(D18:D21)</f>
        <v>0</v>
      </c>
      <c r="E22" s="812">
        <f t="shared" si="1"/>
        <v>28.683115452857098</v>
      </c>
      <c r="F22" s="812">
        <f t="shared" si="1"/>
        <v>108.65278976136325</v>
      </c>
      <c r="G22" s="812">
        <f t="shared" si="1"/>
        <v>0</v>
      </c>
      <c r="H22" s="812">
        <f t="shared" si="1"/>
        <v>35609.903430341452</v>
      </c>
      <c r="I22" s="812">
        <f t="shared" si="1"/>
        <v>7600.510562705932</v>
      </c>
      <c r="J22" s="812">
        <f t="shared" si="1"/>
        <v>0</v>
      </c>
      <c r="K22" s="812">
        <f t="shared" si="1"/>
        <v>0</v>
      </c>
      <c r="L22" s="812">
        <f t="shared" si="1"/>
        <v>0</v>
      </c>
      <c r="M22" s="812">
        <f t="shared" si="1"/>
        <v>0</v>
      </c>
      <c r="N22" s="812">
        <f t="shared" si="1"/>
        <v>1349.1109019314226</v>
      </c>
      <c r="O22" s="812">
        <f t="shared" si="1"/>
        <v>0</v>
      </c>
      <c r="P22" s="812">
        <f t="shared" si="1"/>
        <v>0</v>
      </c>
      <c r="Q22" s="812">
        <f t="shared" si="1"/>
        <v>0</v>
      </c>
      <c r="R22" s="812">
        <f t="shared" si="1"/>
        <v>44705.750554614468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480.42254657699999</v>
      </c>
      <c r="D24" s="1012">
        <f>+landbouw!C8</f>
        <v>0</v>
      </c>
      <c r="E24" s="1012">
        <f>+landbouw!D8</f>
        <v>271.40447180021999</v>
      </c>
      <c r="F24" s="1012">
        <f>+landbouw!E8</f>
        <v>12.388252866906033</v>
      </c>
      <c r="G24" s="1012">
        <f>+landbouw!F8</f>
        <v>1756.0358997685096</v>
      </c>
      <c r="H24" s="1012">
        <f>+landbouw!G8</f>
        <v>0</v>
      </c>
      <c r="I24" s="1012">
        <f>+landbouw!H8</f>
        <v>0</v>
      </c>
      <c r="J24" s="1012">
        <f>+landbouw!I8</f>
        <v>0</v>
      </c>
      <c r="K24" s="1012">
        <f>+landbouw!J8</f>
        <v>69.163173567616411</v>
      </c>
      <c r="L24" s="1012">
        <f>+landbouw!K8</f>
        <v>0</v>
      </c>
      <c r="M24" s="1012">
        <f>+landbouw!L8</f>
        <v>0</v>
      </c>
      <c r="N24" s="1012">
        <f>+landbouw!M8</f>
        <v>0</v>
      </c>
      <c r="O24" s="1012">
        <f>+landbouw!N8</f>
        <v>0</v>
      </c>
      <c r="P24" s="1012">
        <f>+landbouw!O8</f>
        <v>0</v>
      </c>
      <c r="Q24" s="1013">
        <f>+landbouw!P8</f>
        <v>0</v>
      </c>
      <c r="R24" s="700">
        <f>SUM(C24:Q24)</f>
        <v>2589.414344580252</v>
      </c>
      <c r="S24" s="67"/>
    </row>
    <row r="25" spans="1:19" s="473" customFormat="1" ht="15" thickBot="1">
      <c r="A25" s="831" t="s">
        <v>848</v>
      </c>
      <c r="B25" s="1015"/>
      <c r="C25" s="1016">
        <f>IF(Onbekend_ele_kWh="---",0,Onbekend_ele_kWh)/1000+IF(REST_rest_ele_kWh="---",0,REST_rest_ele_kWh)/1000</f>
        <v>658.22875155000008</v>
      </c>
      <c r="D25" s="1016"/>
      <c r="E25" s="1016">
        <f>IF(onbekend_gas_kWh="---",0,onbekend_gas_kWh)/1000+IF(REST_rest_gas_kWh="---",0,REST_rest_gas_kWh)/1000</f>
        <v>882.88518770999997</v>
      </c>
      <c r="F25" s="1016"/>
      <c r="G25" s="1016"/>
      <c r="H25" s="1016"/>
      <c r="I25" s="1016"/>
      <c r="J25" s="1016"/>
      <c r="K25" s="1016"/>
      <c r="L25" s="1016"/>
      <c r="M25" s="1016"/>
      <c r="N25" s="1016"/>
      <c r="O25" s="1016"/>
      <c r="P25" s="1016"/>
      <c r="Q25" s="1017"/>
      <c r="R25" s="700">
        <f>SUM(C25:Q25)</f>
        <v>1541.1139392600001</v>
      </c>
      <c r="S25" s="67"/>
    </row>
    <row r="26" spans="1:19" s="473" customFormat="1" ht="15.75" thickBot="1">
      <c r="A26" s="705" t="s">
        <v>849</v>
      </c>
      <c r="B26" s="817"/>
      <c r="C26" s="812">
        <f>SUM(C24:C25)</f>
        <v>1138.651298127</v>
      </c>
      <c r="D26" s="812">
        <f t="shared" ref="D26:R26" si="2">SUM(D24:D25)</f>
        <v>0</v>
      </c>
      <c r="E26" s="812">
        <f t="shared" si="2"/>
        <v>1154.28965951022</v>
      </c>
      <c r="F26" s="812">
        <f t="shared" si="2"/>
        <v>12.388252866906033</v>
      </c>
      <c r="G26" s="812">
        <f t="shared" si="2"/>
        <v>1756.0358997685096</v>
      </c>
      <c r="H26" s="812">
        <f t="shared" si="2"/>
        <v>0</v>
      </c>
      <c r="I26" s="812">
        <f t="shared" si="2"/>
        <v>0</v>
      </c>
      <c r="J26" s="812">
        <f t="shared" si="2"/>
        <v>0</v>
      </c>
      <c r="K26" s="812">
        <f t="shared" si="2"/>
        <v>69.163173567616411</v>
      </c>
      <c r="L26" s="812">
        <f t="shared" si="2"/>
        <v>0</v>
      </c>
      <c r="M26" s="812">
        <f t="shared" si="2"/>
        <v>0</v>
      </c>
      <c r="N26" s="812">
        <f t="shared" si="2"/>
        <v>0</v>
      </c>
      <c r="O26" s="812">
        <f t="shared" si="2"/>
        <v>0</v>
      </c>
      <c r="P26" s="812">
        <f t="shared" si="2"/>
        <v>0</v>
      </c>
      <c r="Q26" s="812">
        <f t="shared" si="2"/>
        <v>0</v>
      </c>
      <c r="R26" s="812">
        <f t="shared" si="2"/>
        <v>4130.5282838402518</v>
      </c>
      <c r="S26" s="67"/>
    </row>
    <row r="27" spans="1:19" s="473" customFormat="1" ht="17.25" thickTop="1" thickBot="1">
      <c r="A27" s="706" t="s">
        <v>116</v>
      </c>
      <c r="B27" s="805"/>
      <c r="C27" s="707">
        <f ca="1">C22+C16+C26</f>
        <v>28164.968777124977</v>
      </c>
      <c r="D27" s="707">
        <f t="shared" ref="D27:R27" ca="1" si="3">D22+D16+D26</f>
        <v>0</v>
      </c>
      <c r="E27" s="707">
        <f t="shared" ca="1" si="3"/>
        <v>47333.604851412201</v>
      </c>
      <c r="F27" s="707">
        <f t="shared" si="3"/>
        <v>1369.542661800192</v>
      </c>
      <c r="G27" s="707">
        <f t="shared" ca="1" si="3"/>
        <v>17704.256736786778</v>
      </c>
      <c r="H27" s="707">
        <f t="shared" si="3"/>
        <v>35609.903430341452</v>
      </c>
      <c r="I27" s="707">
        <f t="shared" si="3"/>
        <v>7600.510562705932</v>
      </c>
      <c r="J27" s="707">
        <f t="shared" si="3"/>
        <v>0</v>
      </c>
      <c r="K27" s="707">
        <f t="shared" si="3"/>
        <v>97.723194934873561</v>
      </c>
      <c r="L27" s="707">
        <f t="shared" si="3"/>
        <v>0</v>
      </c>
      <c r="M27" s="707">
        <f t="shared" ca="1" si="3"/>
        <v>0</v>
      </c>
      <c r="N27" s="707">
        <f t="shared" si="3"/>
        <v>1349.1109019314226</v>
      </c>
      <c r="O27" s="707">
        <f t="shared" ca="1" si="3"/>
        <v>4456.8794430170437</v>
      </c>
      <c r="P27" s="707">
        <f t="shared" si="3"/>
        <v>120.37666666666668</v>
      </c>
      <c r="Q27" s="707">
        <f t="shared" si="3"/>
        <v>514.79999999999995</v>
      </c>
      <c r="R27" s="707">
        <f t="shared" ca="1" si="3"/>
        <v>144321.67722672151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1127.9056217986581</v>
      </c>
      <c r="D40" s="1012">
        <f ca="1">tertiair!C20</f>
        <v>0</v>
      </c>
      <c r="E40" s="1012">
        <f ca="1">tertiair!D20</f>
        <v>1666.2577403345229</v>
      </c>
      <c r="F40" s="1012">
        <f>tertiair!E20</f>
        <v>24.157610788883456</v>
      </c>
      <c r="G40" s="1012">
        <f ca="1">tertiair!F20</f>
        <v>357.20943063803355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3175.5304035600984</v>
      </c>
    </row>
    <row r="41" spans="1:18">
      <c r="A41" s="822" t="s">
        <v>225</v>
      </c>
      <c r="B41" s="829"/>
      <c r="C41" s="1012">
        <f ca="1">huishoudens!B12</f>
        <v>3061.2936009584068</v>
      </c>
      <c r="D41" s="1012">
        <f ca="1">huishoudens!C12</f>
        <v>0</v>
      </c>
      <c r="E41" s="1012">
        <f>huishoudens!D12</f>
        <v>7380.3708937262054</v>
      </c>
      <c r="F41" s="1012">
        <f>huishoudens!E12</f>
        <v>193.78410655966755</v>
      </c>
      <c r="G41" s="1012">
        <f>huishoudens!F12</f>
        <v>3581.7946258710795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14217.243227115359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891.11043597531147</v>
      </c>
      <c r="D43" s="1012">
        <f ca="1">industrie!C22</f>
        <v>0</v>
      </c>
      <c r="E43" s="1012">
        <f>industrie!D22</f>
        <v>275.79904538199554</v>
      </c>
      <c r="F43" s="1012">
        <f>industrie!E22</f>
        <v>65.468150203475489</v>
      </c>
      <c r="G43" s="1012">
        <f>industrie!F22</f>
        <v>319.17090697476459</v>
      </c>
      <c r="H43" s="1012">
        <f>industrie!G22</f>
        <v>0</v>
      </c>
      <c r="I43" s="1012">
        <f>industrie!H22</f>
        <v>0</v>
      </c>
      <c r="J43" s="1012">
        <f>industrie!I22</f>
        <v>0</v>
      </c>
      <c r="K43" s="1012">
        <f>industrie!J22</f>
        <v>10.110247564009027</v>
      </c>
      <c r="L43" s="1012">
        <f>industrie!K22</f>
        <v>0</v>
      </c>
      <c r="M43" s="1012">
        <f>industrie!L22</f>
        <v>0</v>
      </c>
      <c r="N43" s="1012">
        <f>industrie!M22</f>
        <v>0</v>
      </c>
      <c r="O43" s="1012">
        <f>industrie!N22</f>
        <v>0</v>
      </c>
      <c r="P43" s="1012">
        <f>industrie!O22</f>
        <v>0</v>
      </c>
      <c r="Q43" s="774">
        <f>industrie!P22</f>
        <v>0</v>
      </c>
      <c r="R43" s="849">
        <f t="shared" ca="1" si="4"/>
        <v>1561.6587860995562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5080.3096587323762</v>
      </c>
      <c r="D46" s="732">
        <f t="shared" ref="D46:Q46" ca="1" si="5">SUM(D39:D45)</f>
        <v>0</v>
      </c>
      <c r="E46" s="732">
        <f t="shared" ca="1" si="5"/>
        <v>9322.4276794427224</v>
      </c>
      <c r="F46" s="732">
        <f t="shared" si="5"/>
        <v>283.40986755202653</v>
      </c>
      <c r="G46" s="732">
        <f t="shared" ca="1" si="5"/>
        <v>4258.1749634838779</v>
      </c>
      <c r="H46" s="732">
        <f t="shared" si="5"/>
        <v>0</v>
      </c>
      <c r="I46" s="732">
        <f t="shared" si="5"/>
        <v>0</v>
      </c>
      <c r="J46" s="732">
        <f t="shared" si="5"/>
        <v>0</v>
      </c>
      <c r="K46" s="732">
        <f t="shared" si="5"/>
        <v>10.110247564009027</v>
      </c>
      <c r="L46" s="732">
        <f t="shared" si="5"/>
        <v>0</v>
      </c>
      <c r="M46" s="732">
        <f t="shared" ca="1" si="5"/>
        <v>0</v>
      </c>
      <c r="N46" s="732">
        <f t="shared" si="5"/>
        <v>0</v>
      </c>
      <c r="O46" s="732">
        <f t="shared" ca="1" si="5"/>
        <v>0</v>
      </c>
      <c r="P46" s="732">
        <f t="shared" si="5"/>
        <v>0</v>
      </c>
      <c r="Q46" s="732">
        <f t="shared" si="5"/>
        <v>0</v>
      </c>
      <c r="R46" s="732">
        <f ca="1">SUM(R39:R45)</f>
        <v>18954.432416775016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289.45411866231478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289.45411866231478</v>
      </c>
    </row>
    <row r="50" spans="1:18">
      <c r="A50" s="825" t="s">
        <v>307</v>
      </c>
      <c r="B50" s="835"/>
      <c r="C50" s="703">
        <f ca="1">transport!B18</f>
        <v>1.6716138083689431</v>
      </c>
      <c r="D50" s="703">
        <f>transport!C18</f>
        <v>0</v>
      </c>
      <c r="E50" s="703">
        <f>transport!D18</f>
        <v>5.7939893214771345</v>
      </c>
      <c r="F50" s="703">
        <f>transport!E18</f>
        <v>24.664183275829458</v>
      </c>
      <c r="G50" s="703">
        <f>transport!F18</f>
        <v>0</v>
      </c>
      <c r="H50" s="703">
        <f>transport!G18</f>
        <v>9218.3900972388528</v>
      </c>
      <c r="I50" s="703">
        <f>transport!H18</f>
        <v>1892.527130113777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11143.047013758305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1.6716138083689431</v>
      </c>
      <c r="D52" s="732">
        <f t="shared" ref="D52:Q52" ca="1" si="6">SUM(D48:D51)</f>
        <v>0</v>
      </c>
      <c r="E52" s="732">
        <f t="shared" si="6"/>
        <v>5.7939893214771345</v>
      </c>
      <c r="F52" s="732">
        <f t="shared" si="6"/>
        <v>24.664183275829458</v>
      </c>
      <c r="G52" s="732">
        <f t="shared" si="6"/>
        <v>0</v>
      </c>
      <c r="H52" s="732">
        <f t="shared" si="6"/>
        <v>9507.8442159011684</v>
      </c>
      <c r="I52" s="732">
        <f t="shared" si="6"/>
        <v>1892.527130113777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11432.501132420621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90.337811894199959</v>
      </c>
      <c r="D54" s="703">
        <f ca="1">+landbouw!C12</f>
        <v>0</v>
      </c>
      <c r="E54" s="703">
        <f>+landbouw!D12</f>
        <v>54.823703303644443</v>
      </c>
      <c r="F54" s="703">
        <f>+landbouw!E12</f>
        <v>2.8121334007876695</v>
      </c>
      <c r="G54" s="703">
        <f>+landbouw!F12</f>
        <v>468.86158523819211</v>
      </c>
      <c r="H54" s="703">
        <f>+landbouw!G12</f>
        <v>0</v>
      </c>
      <c r="I54" s="703">
        <f>+landbouw!H12</f>
        <v>0</v>
      </c>
      <c r="J54" s="703">
        <f>+landbouw!I12</f>
        <v>0</v>
      </c>
      <c r="K54" s="703">
        <f>+landbouw!J12</f>
        <v>24.483763442936208</v>
      </c>
      <c r="L54" s="703">
        <f>+landbouw!K12</f>
        <v>0</v>
      </c>
      <c r="M54" s="703">
        <f>+landbouw!L12</f>
        <v>0</v>
      </c>
      <c r="N54" s="703">
        <f>+landbouw!M12</f>
        <v>0</v>
      </c>
      <c r="O54" s="703">
        <f>+landbouw!N12</f>
        <v>0</v>
      </c>
      <c r="P54" s="703">
        <f>+landbouw!O12</f>
        <v>0</v>
      </c>
      <c r="Q54" s="704">
        <f>+landbouw!P12</f>
        <v>0</v>
      </c>
      <c r="R54" s="731">
        <f ca="1">SUM(C54:Q54)</f>
        <v>641.31899727976042</v>
      </c>
    </row>
    <row r="55" spans="1:18" ht="15" thickBot="1">
      <c r="A55" s="825" t="s">
        <v>848</v>
      </c>
      <c r="B55" s="835"/>
      <c r="C55" s="703">
        <f ca="1">C25*'EF ele_warmte'!B12</f>
        <v>123.7721783970177</v>
      </c>
      <c r="D55" s="703"/>
      <c r="E55" s="703">
        <f>E25*EF_CO2_aardgas</f>
        <v>178.34280791742</v>
      </c>
      <c r="F55" s="703"/>
      <c r="G55" s="703"/>
      <c r="H55" s="703"/>
      <c r="I55" s="703"/>
      <c r="J55" s="703"/>
      <c r="K55" s="703"/>
      <c r="L55" s="703"/>
      <c r="M55" s="703"/>
      <c r="N55" s="703"/>
      <c r="O55" s="703"/>
      <c r="P55" s="703"/>
      <c r="Q55" s="704"/>
      <c r="R55" s="731">
        <f ca="1">SUM(C55:Q55)</f>
        <v>302.11498631443772</v>
      </c>
    </row>
    <row r="56" spans="1:18" ht="15.75" thickBot="1">
      <c r="A56" s="823" t="s">
        <v>849</v>
      </c>
      <c r="B56" s="836"/>
      <c r="C56" s="732">
        <f ca="1">SUM(C54:C55)</f>
        <v>214.10999029121766</v>
      </c>
      <c r="D56" s="732">
        <f t="shared" ref="D56:Q56" ca="1" si="7">SUM(D54:D55)</f>
        <v>0</v>
      </c>
      <c r="E56" s="732">
        <f t="shared" si="7"/>
        <v>233.16651122106444</v>
      </c>
      <c r="F56" s="732">
        <f t="shared" si="7"/>
        <v>2.8121334007876695</v>
      </c>
      <c r="G56" s="732">
        <f t="shared" si="7"/>
        <v>468.86158523819211</v>
      </c>
      <c r="H56" s="732">
        <f t="shared" si="7"/>
        <v>0</v>
      </c>
      <c r="I56" s="732">
        <f t="shared" si="7"/>
        <v>0</v>
      </c>
      <c r="J56" s="732">
        <f t="shared" si="7"/>
        <v>0</v>
      </c>
      <c r="K56" s="732">
        <f t="shared" si="7"/>
        <v>24.483763442936208</v>
      </c>
      <c r="L56" s="732">
        <f t="shared" si="7"/>
        <v>0</v>
      </c>
      <c r="M56" s="732">
        <f t="shared" si="7"/>
        <v>0</v>
      </c>
      <c r="N56" s="732">
        <f t="shared" si="7"/>
        <v>0</v>
      </c>
      <c r="O56" s="732">
        <f t="shared" si="7"/>
        <v>0</v>
      </c>
      <c r="P56" s="732">
        <f t="shared" si="7"/>
        <v>0</v>
      </c>
      <c r="Q56" s="733">
        <f t="shared" si="7"/>
        <v>0</v>
      </c>
      <c r="R56" s="734">
        <f ca="1">SUM(R54:R55)</f>
        <v>943.43398359419814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5296.0912628319629</v>
      </c>
      <c r="D61" s="740">
        <f t="shared" ref="D61:Q61" ca="1" si="8">D46+D52+D56</f>
        <v>0</v>
      </c>
      <c r="E61" s="740">
        <f t="shared" ca="1" si="8"/>
        <v>9561.3881799852643</v>
      </c>
      <c r="F61" s="740">
        <f t="shared" si="8"/>
        <v>310.88618422864369</v>
      </c>
      <c r="G61" s="740">
        <f t="shared" ca="1" si="8"/>
        <v>4727.0365487220697</v>
      </c>
      <c r="H61" s="740">
        <f t="shared" si="8"/>
        <v>9507.8442159011684</v>
      </c>
      <c r="I61" s="740">
        <f t="shared" si="8"/>
        <v>1892.527130113777</v>
      </c>
      <c r="J61" s="740">
        <f t="shared" si="8"/>
        <v>0</v>
      </c>
      <c r="K61" s="740">
        <f t="shared" si="8"/>
        <v>34.594011006945237</v>
      </c>
      <c r="L61" s="740">
        <f t="shared" si="8"/>
        <v>0</v>
      </c>
      <c r="M61" s="740">
        <f t="shared" ca="1" si="8"/>
        <v>0</v>
      </c>
      <c r="N61" s="740">
        <f t="shared" si="8"/>
        <v>0</v>
      </c>
      <c r="O61" s="740">
        <f t="shared" ca="1" si="8"/>
        <v>0</v>
      </c>
      <c r="P61" s="740">
        <f t="shared" si="8"/>
        <v>0</v>
      </c>
      <c r="Q61" s="740">
        <f t="shared" si="8"/>
        <v>0</v>
      </c>
      <c r="R61" s="740">
        <f ca="1">R46+R52+R56</f>
        <v>31330.367532789835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0.1880382437041202</v>
      </c>
      <c r="D63" s="781">
        <f t="shared" ca="1" si="9"/>
        <v>0</v>
      </c>
      <c r="E63" s="1023">
        <f t="shared" ca="1" si="9"/>
        <v>0.20199999999999999</v>
      </c>
      <c r="F63" s="781">
        <f t="shared" si="9"/>
        <v>0.22700000000000006</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2116.6215540267867</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2084.1333641300362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4200.7549181568229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16280.164825275537</v>
      </c>
      <c r="C4" s="477">
        <f>huishoudens!C8</f>
        <v>0</v>
      </c>
      <c r="D4" s="477">
        <f>huishoudens!D8</f>
        <v>36536.489572902006</v>
      </c>
      <c r="E4" s="477">
        <f>huishoudens!E8</f>
        <v>853.6744782364209</v>
      </c>
      <c r="F4" s="477">
        <f>huishoudens!F8</f>
        <v>13414.961145584566</v>
      </c>
      <c r="G4" s="477">
        <f>huishoudens!G8</f>
        <v>0</v>
      </c>
      <c r="H4" s="477">
        <f>huishoudens!H8</f>
        <v>0</v>
      </c>
      <c r="I4" s="477">
        <f>huishoudens!I8</f>
        <v>0</v>
      </c>
      <c r="J4" s="477">
        <f>huishoudens!J8</f>
        <v>0</v>
      </c>
      <c r="K4" s="477">
        <f>huishoudens!K8</f>
        <v>0</v>
      </c>
      <c r="L4" s="477">
        <f>huishoudens!L8</f>
        <v>0</v>
      </c>
      <c r="M4" s="477">
        <f>huishoudens!M8</f>
        <v>0</v>
      </c>
      <c r="N4" s="477">
        <f>huishoudens!N8</f>
        <v>3170.4893120513934</v>
      </c>
      <c r="O4" s="477">
        <f>huishoudens!O8</f>
        <v>120.37666666666668</v>
      </c>
      <c r="P4" s="478">
        <f>huishoudens!P8</f>
        <v>514.79999999999995</v>
      </c>
      <c r="Q4" s="479">
        <f>SUM(B4:P4)</f>
        <v>70890.956000716586</v>
      </c>
    </row>
    <row r="5" spans="1:17">
      <c r="A5" s="476" t="s">
        <v>156</v>
      </c>
      <c r="B5" s="477">
        <f ca="1">tertiair!B16</f>
        <v>5237.3817948800006</v>
      </c>
      <c r="C5" s="477">
        <f ca="1">tertiair!C16</f>
        <v>0</v>
      </c>
      <c r="D5" s="477">
        <f ca="1">tertiair!D16</f>
        <v>8248.8006947253598</v>
      </c>
      <c r="E5" s="477">
        <f>tertiair!E16</f>
        <v>106.42119290257028</v>
      </c>
      <c r="F5" s="477">
        <f ca="1">tertiair!F16</f>
        <v>1337.8630360975039</v>
      </c>
      <c r="G5" s="477">
        <f>tertiair!G16</f>
        <v>0</v>
      </c>
      <c r="H5" s="477">
        <f>tertiair!H16</f>
        <v>0</v>
      </c>
      <c r="I5" s="477">
        <f>tertiair!I16</f>
        <v>0</v>
      </c>
      <c r="J5" s="477">
        <f>tertiair!J16</f>
        <v>0</v>
      </c>
      <c r="K5" s="477">
        <f>tertiair!K16</f>
        <v>0</v>
      </c>
      <c r="L5" s="477">
        <f ca="1">tertiair!L16</f>
        <v>0</v>
      </c>
      <c r="M5" s="477">
        <f>tertiair!M16</f>
        <v>0</v>
      </c>
      <c r="N5" s="477">
        <f ca="1">tertiair!N16</f>
        <v>502.68814877100681</v>
      </c>
      <c r="O5" s="477">
        <f>tertiair!O16</f>
        <v>0</v>
      </c>
      <c r="P5" s="478">
        <f>tertiair!P16</f>
        <v>0</v>
      </c>
      <c r="Q5" s="476">
        <f t="shared" ref="Q5:Q14" ca="1" si="0">SUM(B5:P5)</f>
        <v>15433.154867376441</v>
      </c>
    </row>
    <row r="6" spans="1:17">
      <c r="A6" s="476" t="s">
        <v>194</v>
      </c>
      <c r="B6" s="477">
        <f>'openbare verlichting'!B8</f>
        <v>760.89599999999996</v>
      </c>
      <c r="C6" s="477"/>
      <c r="D6" s="477"/>
      <c r="E6" s="477"/>
      <c r="F6" s="477"/>
      <c r="G6" s="477"/>
      <c r="H6" s="477"/>
      <c r="I6" s="477"/>
      <c r="J6" s="477"/>
      <c r="K6" s="477"/>
      <c r="L6" s="477"/>
      <c r="M6" s="477"/>
      <c r="N6" s="477"/>
      <c r="O6" s="477"/>
      <c r="P6" s="478"/>
      <c r="Q6" s="476">
        <f t="shared" si="0"/>
        <v>760.89599999999996</v>
      </c>
    </row>
    <row r="7" spans="1:17">
      <c r="A7" s="476" t="s">
        <v>112</v>
      </c>
      <c r="B7" s="477">
        <f>landbouw!B8</f>
        <v>480.42254657699999</v>
      </c>
      <c r="C7" s="477">
        <f>landbouw!C8</f>
        <v>0</v>
      </c>
      <c r="D7" s="477">
        <f>landbouw!D8</f>
        <v>271.40447180021999</v>
      </c>
      <c r="E7" s="477">
        <f>landbouw!E8</f>
        <v>12.388252866906033</v>
      </c>
      <c r="F7" s="477">
        <f>landbouw!F8</f>
        <v>1756.0358997685096</v>
      </c>
      <c r="G7" s="477">
        <f>landbouw!G8</f>
        <v>0</v>
      </c>
      <c r="H7" s="477">
        <f>landbouw!H8</f>
        <v>0</v>
      </c>
      <c r="I7" s="477">
        <f>landbouw!I8</f>
        <v>0</v>
      </c>
      <c r="J7" s="477">
        <f>landbouw!J8</f>
        <v>69.163173567616411</v>
      </c>
      <c r="K7" s="477">
        <f>landbouw!K8</f>
        <v>0</v>
      </c>
      <c r="L7" s="477">
        <f>landbouw!L8</f>
        <v>0</v>
      </c>
      <c r="M7" s="477">
        <f>landbouw!M8</f>
        <v>0</v>
      </c>
      <c r="N7" s="477">
        <f>landbouw!N8</f>
        <v>0</v>
      </c>
      <c r="O7" s="477">
        <f>landbouw!O8</f>
        <v>0</v>
      </c>
      <c r="P7" s="478">
        <f>landbouw!P8</f>
        <v>0</v>
      </c>
      <c r="Q7" s="476">
        <f t="shared" si="0"/>
        <v>2589.414344580252</v>
      </c>
    </row>
    <row r="8" spans="1:17">
      <c r="A8" s="476" t="s">
        <v>638</v>
      </c>
      <c r="B8" s="477">
        <f>industrie!B18</f>
        <v>4738.985104421</v>
      </c>
      <c r="C8" s="477">
        <f>industrie!C18</f>
        <v>0</v>
      </c>
      <c r="D8" s="477">
        <f>industrie!D18</f>
        <v>1365.34180882176</v>
      </c>
      <c r="E8" s="477">
        <f>industrie!E18</f>
        <v>288.40594803293163</v>
      </c>
      <c r="F8" s="477">
        <f>industrie!F18</f>
        <v>1195.396655336197</v>
      </c>
      <c r="G8" s="477">
        <f>industrie!G18</f>
        <v>0</v>
      </c>
      <c r="H8" s="477">
        <f>industrie!H18</f>
        <v>0</v>
      </c>
      <c r="I8" s="477">
        <f>industrie!I18</f>
        <v>0</v>
      </c>
      <c r="J8" s="477">
        <f>industrie!J18</f>
        <v>28.560021367257143</v>
      </c>
      <c r="K8" s="477">
        <f>industrie!K18</f>
        <v>0</v>
      </c>
      <c r="L8" s="477">
        <f>industrie!L18</f>
        <v>0</v>
      </c>
      <c r="M8" s="477">
        <f>industrie!M18</f>
        <v>0</v>
      </c>
      <c r="N8" s="477">
        <f>industrie!N18</f>
        <v>783.70198219464328</v>
      </c>
      <c r="O8" s="477">
        <f>industrie!O18</f>
        <v>0</v>
      </c>
      <c r="P8" s="478">
        <f>industrie!P18</f>
        <v>0</v>
      </c>
      <c r="Q8" s="476">
        <f t="shared" si="0"/>
        <v>8400.3915201737873</v>
      </c>
    </row>
    <row r="9" spans="1:17" s="482" customFormat="1">
      <c r="A9" s="480" t="s">
        <v>564</v>
      </c>
      <c r="B9" s="481">
        <f>transport!B14</f>
        <v>8.8897544214422783</v>
      </c>
      <c r="C9" s="481">
        <f>transport!C14</f>
        <v>0</v>
      </c>
      <c r="D9" s="481">
        <f>transport!D14</f>
        <v>28.683115452857098</v>
      </c>
      <c r="E9" s="481">
        <f>transport!E14</f>
        <v>108.65278976136325</v>
      </c>
      <c r="F9" s="481">
        <f>transport!F14</f>
        <v>0</v>
      </c>
      <c r="G9" s="481">
        <f>transport!G14</f>
        <v>34525.805607636154</v>
      </c>
      <c r="H9" s="481">
        <f>transport!H14</f>
        <v>7600.510562705932</v>
      </c>
      <c r="I9" s="481">
        <f>transport!I14</f>
        <v>0</v>
      </c>
      <c r="J9" s="481">
        <f>transport!J14</f>
        <v>0</v>
      </c>
      <c r="K9" s="481">
        <f>transport!K14</f>
        <v>0</v>
      </c>
      <c r="L9" s="481">
        <f>transport!L14</f>
        <v>0</v>
      </c>
      <c r="M9" s="481">
        <f>transport!M14</f>
        <v>1315.4846127953349</v>
      </c>
      <c r="N9" s="481">
        <f>transport!N14</f>
        <v>0</v>
      </c>
      <c r="O9" s="481">
        <f>transport!O14</f>
        <v>0</v>
      </c>
      <c r="P9" s="481">
        <f>transport!P14</f>
        <v>0</v>
      </c>
      <c r="Q9" s="480">
        <f>SUM(B9:P9)</f>
        <v>43588.02644277308</v>
      </c>
    </row>
    <row r="10" spans="1:17">
      <c r="A10" s="476" t="s">
        <v>554</v>
      </c>
      <c r="B10" s="477">
        <f>transport!B54</f>
        <v>0</v>
      </c>
      <c r="C10" s="477">
        <f>transport!C54</f>
        <v>0</v>
      </c>
      <c r="D10" s="477">
        <f>transport!D54</f>
        <v>0</v>
      </c>
      <c r="E10" s="477">
        <f>transport!E54</f>
        <v>0</v>
      </c>
      <c r="F10" s="477">
        <f>transport!F54</f>
        <v>0</v>
      </c>
      <c r="G10" s="477">
        <f>transport!G54</f>
        <v>1084.0978227052988</v>
      </c>
      <c r="H10" s="477">
        <f>transport!H54</f>
        <v>0</v>
      </c>
      <c r="I10" s="477">
        <f>transport!I54</f>
        <v>0</v>
      </c>
      <c r="J10" s="477">
        <f>transport!J54</f>
        <v>0</v>
      </c>
      <c r="K10" s="477">
        <f>transport!K54</f>
        <v>0</v>
      </c>
      <c r="L10" s="477">
        <f>transport!L54</f>
        <v>0</v>
      </c>
      <c r="M10" s="477">
        <f>transport!M54</f>
        <v>33.626289136087621</v>
      </c>
      <c r="N10" s="477">
        <f>transport!N54</f>
        <v>0</v>
      </c>
      <c r="O10" s="477">
        <f>transport!O54</f>
        <v>0</v>
      </c>
      <c r="P10" s="478">
        <f>transport!P54</f>
        <v>0</v>
      </c>
      <c r="Q10" s="476">
        <f t="shared" si="0"/>
        <v>1117.7241118413863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658.22875155000008</v>
      </c>
      <c r="C14" s="484"/>
      <c r="D14" s="484">
        <f>'SEAP template'!E25</f>
        <v>882.88518770999997</v>
      </c>
      <c r="E14" s="484"/>
      <c r="F14" s="484"/>
      <c r="G14" s="484"/>
      <c r="H14" s="484"/>
      <c r="I14" s="484"/>
      <c r="J14" s="484"/>
      <c r="K14" s="484"/>
      <c r="L14" s="484"/>
      <c r="M14" s="484"/>
      <c r="N14" s="484"/>
      <c r="O14" s="484"/>
      <c r="P14" s="485"/>
      <c r="Q14" s="476">
        <f t="shared" si="0"/>
        <v>1541.1139392600001</v>
      </c>
    </row>
    <row r="15" spans="1:17" s="486" customFormat="1">
      <c r="A15" s="1038" t="s">
        <v>558</v>
      </c>
      <c r="B15" s="978">
        <f ca="1">SUM(B4:B14)</f>
        <v>28164.968777124981</v>
      </c>
      <c r="C15" s="978">
        <f t="shared" ref="C15:Q15" ca="1" si="1">SUM(C4:C14)</f>
        <v>0</v>
      </c>
      <c r="D15" s="978">
        <f t="shared" ca="1" si="1"/>
        <v>47333.604851412201</v>
      </c>
      <c r="E15" s="978">
        <f t="shared" si="1"/>
        <v>1369.542661800192</v>
      </c>
      <c r="F15" s="978">
        <f t="shared" ca="1" si="1"/>
        <v>17704.256736786778</v>
      </c>
      <c r="G15" s="978">
        <f t="shared" si="1"/>
        <v>35609.903430341452</v>
      </c>
      <c r="H15" s="978">
        <f t="shared" si="1"/>
        <v>7600.510562705932</v>
      </c>
      <c r="I15" s="978">
        <f t="shared" si="1"/>
        <v>0</v>
      </c>
      <c r="J15" s="978">
        <f t="shared" si="1"/>
        <v>97.723194934873561</v>
      </c>
      <c r="K15" s="978">
        <f t="shared" si="1"/>
        <v>0</v>
      </c>
      <c r="L15" s="978">
        <f t="shared" ca="1" si="1"/>
        <v>0</v>
      </c>
      <c r="M15" s="978">
        <f t="shared" si="1"/>
        <v>1349.1109019314226</v>
      </c>
      <c r="N15" s="978">
        <f t="shared" ca="1" si="1"/>
        <v>4456.8794430170437</v>
      </c>
      <c r="O15" s="978">
        <f t="shared" si="1"/>
        <v>120.37666666666668</v>
      </c>
      <c r="P15" s="978">
        <f t="shared" si="1"/>
        <v>514.79999999999995</v>
      </c>
      <c r="Q15" s="978">
        <f t="shared" ca="1" si="1"/>
        <v>144321.67722672151</v>
      </c>
    </row>
    <row r="17" spans="1:17">
      <c r="A17" s="487" t="s">
        <v>559</v>
      </c>
      <c r="B17" s="786">
        <f ca="1">huishoudens!B10</f>
        <v>0.1880382437041202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3061.2936009584068</v>
      </c>
      <c r="C22" s="477">
        <f t="shared" ref="C22:C32" ca="1" si="3">C4*$C$17</f>
        <v>0</v>
      </c>
      <c r="D22" s="477">
        <f t="shared" ref="D22:D32" si="4">D4*$D$17</f>
        <v>7380.3708937262054</v>
      </c>
      <c r="E22" s="477">
        <f t="shared" ref="E22:E32" si="5">E4*$E$17</f>
        <v>193.78410655966755</v>
      </c>
      <c r="F22" s="477">
        <f t="shared" ref="F22:F32" si="6">F4*$F$17</f>
        <v>3581.7946258710795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14217.243227115359</v>
      </c>
    </row>
    <row r="23" spans="1:17">
      <c r="A23" s="476" t="s">
        <v>156</v>
      </c>
      <c r="B23" s="477">
        <f t="shared" ca="1" si="2"/>
        <v>984.82807431716799</v>
      </c>
      <c r="C23" s="477">
        <f t="shared" ca="1" si="3"/>
        <v>0</v>
      </c>
      <c r="D23" s="477">
        <f t="shared" ca="1" si="4"/>
        <v>1666.2577403345229</v>
      </c>
      <c r="E23" s="477">
        <f t="shared" si="5"/>
        <v>24.157610788883456</v>
      </c>
      <c r="F23" s="477">
        <f t="shared" ca="1" si="6"/>
        <v>357.20943063803355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3032.452856078608</v>
      </c>
    </row>
    <row r="24" spans="1:17">
      <c r="A24" s="476" t="s">
        <v>194</v>
      </c>
      <c r="B24" s="477">
        <f t="shared" ca="1" si="2"/>
        <v>143.07754748149023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143.07754748149023</v>
      </c>
    </row>
    <row r="25" spans="1:17">
      <c r="A25" s="476" t="s">
        <v>112</v>
      </c>
      <c r="B25" s="477">
        <f t="shared" ca="1" si="2"/>
        <v>90.337811894199959</v>
      </c>
      <c r="C25" s="477">
        <f t="shared" ca="1" si="3"/>
        <v>0</v>
      </c>
      <c r="D25" s="477">
        <f t="shared" si="4"/>
        <v>54.823703303644443</v>
      </c>
      <c r="E25" s="477">
        <f t="shared" si="5"/>
        <v>2.8121334007876695</v>
      </c>
      <c r="F25" s="477">
        <f t="shared" si="6"/>
        <v>468.86158523819211</v>
      </c>
      <c r="G25" s="477">
        <f t="shared" si="7"/>
        <v>0</v>
      </c>
      <c r="H25" s="477">
        <f t="shared" si="8"/>
        <v>0</v>
      </c>
      <c r="I25" s="477">
        <f t="shared" si="9"/>
        <v>0</v>
      </c>
      <c r="J25" s="477">
        <f t="shared" si="10"/>
        <v>24.483763442936208</v>
      </c>
      <c r="K25" s="477">
        <f t="shared" si="11"/>
        <v>0</v>
      </c>
      <c r="L25" s="477">
        <f t="shared" si="12"/>
        <v>0</v>
      </c>
      <c r="M25" s="477">
        <f t="shared" si="13"/>
        <v>0</v>
      </c>
      <c r="N25" s="477">
        <f t="shared" si="14"/>
        <v>0</v>
      </c>
      <c r="O25" s="477">
        <f t="shared" si="15"/>
        <v>0</v>
      </c>
      <c r="P25" s="478">
        <f t="shared" si="16"/>
        <v>0</v>
      </c>
      <c r="Q25" s="476">
        <f t="shared" ca="1" si="17"/>
        <v>641.31899727976042</v>
      </c>
    </row>
    <row r="26" spans="1:17">
      <c r="A26" s="476" t="s">
        <v>638</v>
      </c>
      <c r="B26" s="477">
        <f t="shared" ca="1" si="2"/>
        <v>891.11043597531147</v>
      </c>
      <c r="C26" s="477">
        <f t="shared" ca="1" si="3"/>
        <v>0</v>
      </c>
      <c r="D26" s="477">
        <f t="shared" si="4"/>
        <v>275.79904538199554</v>
      </c>
      <c r="E26" s="477">
        <f t="shared" si="5"/>
        <v>65.468150203475489</v>
      </c>
      <c r="F26" s="477">
        <f t="shared" si="6"/>
        <v>319.17090697476459</v>
      </c>
      <c r="G26" s="477">
        <f t="shared" si="7"/>
        <v>0</v>
      </c>
      <c r="H26" s="477">
        <f t="shared" si="8"/>
        <v>0</v>
      </c>
      <c r="I26" s="477">
        <f t="shared" si="9"/>
        <v>0</v>
      </c>
      <c r="J26" s="477">
        <f t="shared" si="10"/>
        <v>10.110247564009027</v>
      </c>
      <c r="K26" s="477">
        <f t="shared" si="11"/>
        <v>0</v>
      </c>
      <c r="L26" s="477">
        <f t="shared" si="12"/>
        <v>0</v>
      </c>
      <c r="M26" s="477">
        <f t="shared" si="13"/>
        <v>0</v>
      </c>
      <c r="N26" s="477">
        <f t="shared" si="14"/>
        <v>0</v>
      </c>
      <c r="O26" s="477">
        <f t="shared" si="15"/>
        <v>0</v>
      </c>
      <c r="P26" s="478">
        <f t="shared" si="16"/>
        <v>0</v>
      </c>
      <c r="Q26" s="476">
        <f t="shared" ca="1" si="17"/>
        <v>1561.6587860995562</v>
      </c>
    </row>
    <row r="27" spans="1:17" s="482" customFormat="1">
      <c r="A27" s="480" t="s">
        <v>564</v>
      </c>
      <c r="B27" s="780">
        <f t="shared" ca="1" si="2"/>
        <v>1.6716138083689431</v>
      </c>
      <c r="C27" s="481">
        <f t="shared" ca="1" si="3"/>
        <v>0</v>
      </c>
      <c r="D27" s="481">
        <f t="shared" si="4"/>
        <v>5.7939893214771345</v>
      </c>
      <c r="E27" s="481">
        <f t="shared" si="5"/>
        <v>24.664183275829458</v>
      </c>
      <c r="F27" s="481">
        <f t="shared" si="6"/>
        <v>0</v>
      </c>
      <c r="G27" s="481">
        <f t="shared" si="7"/>
        <v>9218.3900972388528</v>
      </c>
      <c r="H27" s="481">
        <f t="shared" si="8"/>
        <v>1892.527130113777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11143.047013758305</v>
      </c>
    </row>
    <row r="28" spans="1:17">
      <c r="A28" s="476" t="s">
        <v>554</v>
      </c>
      <c r="B28" s="477">
        <f t="shared" ca="1" si="2"/>
        <v>0</v>
      </c>
      <c r="C28" s="477">
        <f t="shared" ca="1" si="3"/>
        <v>0</v>
      </c>
      <c r="D28" s="477">
        <f t="shared" si="4"/>
        <v>0</v>
      </c>
      <c r="E28" s="477">
        <f t="shared" si="5"/>
        <v>0</v>
      </c>
      <c r="F28" s="477">
        <f t="shared" si="6"/>
        <v>0</v>
      </c>
      <c r="G28" s="477">
        <f t="shared" si="7"/>
        <v>289.45411866231478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289.45411866231478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123.7721783970177</v>
      </c>
      <c r="C32" s="477">
        <f t="shared" ca="1" si="3"/>
        <v>0</v>
      </c>
      <c r="D32" s="477">
        <f t="shared" si="4"/>
        <v>178.34280791742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302.11498631443772</v>
      </c>
    </row>
    <row r="33" spans="1:17" s="486" customFormat="1">
      <c r="A33" s="1038" t="s">
        <v>558</v>
      </c>
      <c r="B33" s="978">
        <f ca="1">SUM(B22:B32)</f>
        <v>5296.0912628319638</v>
      </c>
      <c r="C33" s="978">
        <f t="shared" ref="C33:Q33" ca="1" si="18">SUM(C22:C32)</f>
        <v>0</v>
      </c>
      <c r="D33" s="978">
        <f t="shared" ca="1" si="18"/>
        <v>9561.3881799852625</v>
      </c>
      <c r="E33" s="978">
        <f t="shared" si="18"/>
        <v>310.88618422864363</v>
      </c>
      <c r="F33" s="978">
        <f t="shared" ca="1" si="18"/>
        <v>4727.0365487220697</v>
      </c>
      <c r="G33" s="978">
        <f t="shared" si="18"/>
        <v>9507.8442159011684</v>
      </c>
      <c r="H33" s="978">
        <f t="shared" si="18"/>
        <v>1892.527130113777</v>
      </c>
      <c r="I33" s="978">
        <f t="shared" si="18"/>
        <v>0</v>
      </c>
      <c r="J33" s="978">
        <f t="shared" si="18"/>
        <v>34.594011006945237</v>
      </c>
      <c r="K33" s="978">
        <f t="shared" si="18"/>
        <v>0</v>
      </c>
      <c r="L33" s="978">
        <f t="shared" ca="1" si="18"/>
        <v>0</v>
      </c>
      <c r="M33" s="978">
        <f t="shared" si="18"/>
        <v>0</v>
      </c>
      <c r="N33" s="978">
        <f t="shared" ca="1" si="18"/>
        <v>0</v>
      </c>
      <c r="O33" s="978">
        <f t="shared" si="18"/>
        <v>0</v>
      </c>
      <c r="P33" s="978">
        <f t="shared" si="18"/>
        <v>0</v>
      </c>
      <c r="Q33" s="978">
        <f t="shared" ca="1" si="18"/>
        <v>31330.367532789835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2116.6215540267867</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2084.1333641300362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4200.7549181568229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0.1880382437041202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0.1880382437041202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0.1880382437041202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0.1880382437041202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3914</v>
      </c>
      <c r="C9" s="342">
        <v>3893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770.88</v>
      </c>
    </row>
    <row r="15" spans="1:6">
      <c r="A15" s="348" t="s">
        <v>184</v>
      </c>
      <c r="B15" s="334">
        <v>1</v>
      </c>
    </row>
    <row r="16" spans="1:6">
      <c r="A16" s="348" t="s">
        <v>6</v>
      </c>
      <c r="B16" s="334">
        <v>89</v>
      </c>
    </row>
    <row r="17" spans="1:6">
      <c r="A17" s="348" t="s">
        <v>7</v>
      </c>
      <c r="B17" s="334">
        <v>172</v>
      </c>
    </row>
    <row r="18" spans="1:6">
      <c r="A18" s="348" t="s">
        <v>8</v>
      </c>
      <c r="B18" s="334">
        <v>232</v>
      </c>
    </row>
    <row r="19" spans="1:6">
      <c r="A19" s="348" t="s">
        <v>9</v>
      </c>
      <c r="B19" s="334">
        <v>219</v>
      </c>
    </row>
    <row r="20" spans="1:6">
      <c r="A20" s="348" t="s">
        <v>10</v>
      </c>
      <c r="B20" s="334">
        <v>134</v>
      </c>
    </row>
    <row r="21" spans="1:6">
      <c r="A21" s="348" t="s">
        <v>11</v>
      </c>
      <c r="B21" s="334">
        <v>3</v>
      </c>
    </row>
    <row r="22" spans="1:6">
      <c r="A22" s="348" t="s">
        <v>12</v>
      </c>
      <c r="B22" s="334">
        <v>1</v>
      </c>
    </row>
    <row r="23" spans="1:6">
      <c r="A23" s="348" t="s">
        <v>13</v>
      </c>
      <c r="B23" s="334">
        <v>0</v>
      </c>
    </row>
    <row r="24" spans="1:6">
      <c r="A24" s="348" t="s">
        <v>14</v>
      </c>
      <c r="B24" s="334">
        <v>0</v>
      </c>
    </row>
    <row r="25" spans="1:6">
      <c r="A25" s="348" t="s">
        <v>15</v>
      </c>
      <c r="B25" s="334">
        <v>1</v>
      </c>
    </row>
    <row r="26" spans="1:6">
      <c r="A26" s="348" t="s">
        <v>16</v>
      </c>
      <c r="B26" s="334">
        <v>153</v>
      </c>
    </row>
    <row r="27" spans="1:6">
      <c r="A27" s="348" t="s">
        <v>17</v>
      </c>
      <c r="B27" s="334">
        <v>0</v>
      </c>
    </row>
    <row r="28" spans="1:6" s="356" customFormat="1">
      <c r="A28" s="355" t="s">
        <v>18</v>
      </c>
      <c r="B28" s="355">
        <v>0</v>
      </c>
    </row>
    <row r="29" spans="1:6">
      <c r="A29" s="355" t="s">
        <v>884</v>
      </c>
      <c r="B29" s="355">
        <v>100</v>
      </c>
      <c r="C29" s="356"/>
      <c r="D29" s="356"/>
      <c r="E29" s="356"/>
      <c r="F29" s="356"/>
    </row>
    <row r="30" spans="1:6">
      <c r="A30" s="355" t="s">
        <v>885</v>
      </c>
      <c r="B30" s="341">
        <v>23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25375.330074000001</v>
      </c>
    </row>
    <row r="39" spans="1:6">
      <c r="A39" s="348" t="s">
        <v>30</v>
      </c>
      <c r="B39" s="348" t="s">
        <v>31</v>
      </c>
      <c r="C39" s="334">
        <v>2552</v>
      </c>
      <c r="D39" s="334">
        <v>40506086.001000002</v>
      </c>
      <c r="E39" s="334">
        <v>3811</v>
      </c>
      <c r="F39" s="334">
        <v>14518491.309</v>
      </c>
    </row>
    <row r="40" spans="1:6">
      <c r="A40" s="348" t="s">
        <v>30</v>
      </c>
      <c r="B40" s="348" t="s">
        <v>29</v>
      </c>
      <c r="C40" s="334">
        <v>0</v>
      </c>
      <c r="D40" s="334">
        <v>0</v>
      </c>
      <c r="E40" s="334">
        <v>0</v>
      </c>
      <c r="F40" s="334">
        <v>0</v>
      </c>
    </row>
    <row r="41" spans="1:6">
      <c r="A41" s="348" t="s">
        <v>32</v>
      </c>
      <c r="B41" s="348" t="s">
        <v>33</v>
      </c>
      <c r="C41" s="334">
        <v>16</v>
      </c>
      <c r="D41" s="334">
        <v>289647.02227999998</v>
      </c>
      <c r="E41" s="334">
        <v>65</v>
      </c>
      <c r="F41" s="334">
        <v>322482.91609999997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43710.269651000002</v>
      </c>
    </row>
    <row r="45" spans="1:6">
      <c r="A45" s="348" t="s">
        <v>32</v>
      </c>
      <c r="B45" s="348" t="s">
        <v>37</v>
      </c>
      <c r="C45" s="334">
        <v>0</v>
      </c>
      <c r="D45" s="334">
        <v>0</v>
      </c>
      <c r="E45" s="334">
        <v>6</v>
      </c>
      <c r="F45" s="334">
        <v>992608.17226999998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1224035.6926</v>
      </c>
      <c r="E48" s="334">
        <v>19</v>
      </c>
      <c r="F48" s="334">
        <v>3380183.7464000001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6</v>
      </c>
      <c r="D51" s="334">
        <v>179564.09843000001</v>
      </c>
      <c r="E51" s="334">
        <v>36</v>
      </c>
      <c r="F51" s="334">
        <v>373253.70731999999</v>
      </c>
    </row>
    <row r="52" spans="1:6">
      <c r="A52" s="348" t="s">
        <v>42</v>
      </c>
      <c r="B52" s="348" t="s">
        <v>29</v>
      </c>
      <c r="C52" s="334">
        <v>4</v>
      </c>
      <c r="D52" s="334">
        <v>121327.77718</v>
      </c>
      <c r="E52" s="334">
        <v>6</v>
      </c>
      <c r="F52" s="334">
        <v>107168.83925700001</v>
      </c>
    </row>
    <row r="53" spans="1:6">
      <c r="A53" s="348" t="s">
        <v>44</v>
      </c>
      <c r="B53" s="348" t="s">
        <v>45</v>
      </c>
      <c r="C53" s="334">
        <v>61</v>
      </c>
      <c r="D53" s="334">
        <v>882885.18770999997</v>
      </c>
      <c r="E53" s="334">
        <v>145</v>
      </c>
      <c r="F53" s="334">
        <v>658228.75155000004</v>
      </c>
    </row>
    <row r="54" spans="1:6">
      <c r="A54" s="348" t="s">
        <v>46</v>
      </c>
      <c r="B54" s="348" t="s">
        <v>47</v>
      </c>
      <c r="C54" s="334">
        <v>0</v>
      </c>
      <c r="D54" s="334">
        <v>0</v>
      </c>
      <c r="E54" s="334">
        <v>1</v>
      </c>
      <c r="F54" s="334">
        <v>760896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551327.73592999997</v>
      </c>
      <c r="E57" s="334">
        <v>67</v>
      </c>
      <c r="F57" s="334">
        <v>454935.18423000001</v>
      </c>
    </row>
    <row r="58" spans="1:6">
      <c r="A58" s="348" t="s">
        <v>49</v>
      </c>
      <c r="B58" s="348" t="s">
        <v>51</v>
      </c>
      <c r="C58" s="334">
        <v>11</v>
      </c>
      <c r="D58" s="334">
        <v>353812.62891000003</v>
      </c>
      <c r="E58" s="334">
        <v>15</v>
      </c>
      <c r="F58" s="334">
        <v>174532.42892999999</v>
      </c>
    </row>
    <row r="59" spans="1:6">
      <c r="A59" s="348" t="s">
        <v>49</v>
      </c>
      <c r="B59" s="348" t="s">
        <v>52</v>
      </c>
      <c r="C59" s="334">
        <v>15</v>
      </c>
      <c r="D59" s="334">
        <v>330563.77694000001</v>
      </c>
      <c r="E59" s="334">
        <v>57</v>
      </c>
      <c r="F59" s="334">
        <v>1440725.9620999999</v>
      </c>
    </row>
    <row r="60" spans="1:6">
      <c r="A60" s="348" t="s">
        <v>49</v>
      </c>
      <c r="B60" s="348" t="s">
        <v>53</v>
      </c>
      <c r="C60" s="334">
        <v>26</v>
      </c>
      <c r="D60" s="334">
        <v>816229.36774999998</v>
      </c>
      <c r="E60" s="334">
        <v>36</v>
      </c>
      <c r="F60" s="334">
        <v>591525.38815999997</v>
      </c>
    </row>
    <row r="61" spans="1:6">
      <c r="A61" s="348" t="s">
        <v>49</v>
      </c>
      <c r="B61" s="348" t="s">
        <v>54</v>
      </c>
      <c r="C61" s="334">
        <v>55</v>
      </c>
      <c r="D61" s="334">
        <v>2781077.1505999998</v>
      </c>
      <c r="E61" s="334">
        <v>124</v>
      </c>
      <c r="F61" s="334">
        <v>981996.56221999996</v>
      </c>
    </row>
    <row r="62" spans="1:6">
      <c r="A62" s="348" t="s">
        <v>49</v>
      </c>
      <c r="B62" s="348" t="s">
        <v>55</v>
      </c>
      <c r="C62" s="334">
        <v>3</v>
      </c>
      <c r="D62" s="334">
        <v>300861.46305000002</v>
      </c>
      <c r="E62" s="334">
        <v>5</v>
      </c>
      <c r="F62" s="334">
        <v>15595.73834</v>
      </c>
    </row>
    <row r="63" spans="1:6">
      <c r="A63" s="348" t="s">
        <v>49</v>
      </c>
      <c r="B63" s="348" t="s">
        <v>29</v>
      </c>
      <c r="C63" s="334">
        <v>62</v>
      </c>
      <c r="D63" s="334">
        <v>4011139.7335000001</v>
      </c>
      <c r="E63" s="334">
        <v>95</v>
      </c>
      <c r="F63" s="334">
        <v>1578070.5308999999</v>
      </c>
    </row>
    <row r="64" spans="1:6">
      <c r="A64" s="348" t="s">
        <v>56</v>
      </c>
      <c r="B64" s="348" t="s">
        <v>57</v>
      </c>
      <c r="C64" s="334">
        <v>0</v>
      </c>
      <c r="D64" s="334">
        <v>0</v>
      </c>
      <c r="E64" s="334">
        <v>0</v>
      </c>
      <c r="F64" s="334">
        <v>0</v>
      </c>
    </row>
    <row r="65" spans="1:6">
      <c r="A65" s="348" t="s">
        <v>56</v>
      </c>
      <c r="B65" s="348" t="s">
        <v>29</v>
      </c>
      <c r="C65" s="334">
        <v>2</v>
      </c>
      <c r="D65" s="334">
        <v>65083.177248</v>
      </c>
      <c r="E65" s="334">
        <v>2</v>
      </c>
      <c r="F65" s="334">
        <v>4357.4615425000002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70679.596844</v>
      </c>
      <c r="E68" s="334">
        <v>7</v>
      </c>
      <c r="F68" s="334">
        <v>26380.976140999999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929852</v>
      </c>
      <c r="E73" s="475">
        <v>949097.82483962656</v>
      </c>
    </row>
    <row r="74" spans="1:6">
      <c r="A74" s="348" t="s">
        <v>64</v>
      </c>
      <c r="B74" s="348" t="s">
        <v>667</v>
      </c>
      <c r="C74" s="1294" t="s">
        <v>669</v>
      </c>
      <c r="D74" s="475">
        <v>22178.5</v>
      </c>
      <c r="E74" s="475">
        <v>22201.077978768932</v>
      </c>
    </row>
    <row r="75" spans="1:6">
      <c r="A75" s="348" t="s">
        <v>65</v>
      </c>
      <c r="B75" s="348" t="s">
        <v>666</v>
      </c>
      <c r="C75" s="1294" t="s">
        <v>670</v>
      </c>
      <c r="D75" s="475">
        <v>30300632</v>
      </c>
      <c r="E75" s="475">
        <v>30812415.060784243</v>
      </c>
    </row>
    <row r="76" spans="1:6">
      <c r="A76" s="348" t="s">
        <v>65</v>
      </c>
      <c r="B76" s="348" t="s">
        <v>667</v>
      </c>
      <c r="C76" s="1294" t="s">
        <v>671</v>
      </c>
      <c r="D76" s="475">
        <v>2393015.2707952475</v>
      </c>
      <c r="E76" s="475">
        <v>2430236.4455394214</v>
      </c>
    </row>
    <row r="77" spans="1:6">
      <c r="A77" s="348" t="s">
        <v>66</v>
      </c>
      <c r="B77" s="348" t="s">
        <v>666</v>
      </c>
      <c r="C77" s="1294" t="s">
        <v>672</v>
      </c>
      <c r="D77" s="475">
        <v>6705570</v>
      </c>
      <c r="E77" s="475">
        <v>6914365.086828405</v>
      </c>
    </row>
    <row r="78" spans="1:6">
      <c r="A78" s="341" t="s">
        <v>66</v>
      </c>
      <c r="B78" s="341" t="s">
        <v>667</v>
      </c>
      <c r="C78" s="341" t="s">
        <v>673</v>
      </c>
      <c r="D78" s="1295">
        <v>916722</v>
      </c>
      <c r="E78" s="1295">
        <v>956715.10256450635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300205.45840950496</v>
      </c>
      <c r="C83" s="475">
        <v>300205.45840950496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2116.6215540267867</v>
      </c>
    </row>
    <row r="91" spans="1:6">
      <c r="A91" s="348" t="s">
        <v>68</v>
      </c>
      <c r="B91" s="334">
        <v>1761.6735162755349</v>
      </c>
    </row>
    <row r="92" spans="1:6">
      <c r="A92" s="341" t="s">
        <v>69</v>
      </c>
      <c r="B92" s="342">
        <v>322.45984785450128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1</v>
      </c>
    </row>
    <row r="99" spans="1:6">
      <c r="A99" s="348" t="s">
        <v>73</v>
      </c>
      <c r="B99" s="334">
        <v>13</v>
      </c>
    </row>
    <row r="100" spans="1:6">
      <c r="A100" s="348" t="s">
        <v>74</v>
      </c>
      <c r="B100" s="334">
        <v>240</v>
      </c>
    </row>
    <row r="101" spans="1:6">
      <c r="A101" s="348" t="s">
        <v>75</v>
      </c>
      <c r="B101" s="334">
        <v>17</v>
      </c>
    </row>
    <row r="102" spans="1:6">
      <c r="A102" s="348" t="s">
        <v>76</v>
      </c>
      <c r="B102" s="334">
        <v>35</v>
      </c>
    </row>
    <row r="103" spans="1:6">
      <c r="A103" s="348" t="s">
        <v>77</v>
      </c>
      <c r="B103" s="334">
        <v>55</v>
      </c>
    </row>
    <row r="104" spans="1:6">
      <c r="A104" s="348" t="s">
        <v>78</v>
      </c>
      <c r="B104" s="334">
        <v>1614</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28164.968777124977</v>
      </c>
      <c r="C3" s="43" t="s">
        <v>170</v>
      </c>
      <c r="D3" s="43"/>
      <c r="E3" s="154"/>
      <c r="F3" s="43"/>
      <c r="G3" s="43"/>
      <c r="H3" s="43"/>
      <c r="I3" s="43"/>
      <c r="J3" s="43"/>
      <c r="K3" s="96"/>
    </row>
    <row r="4" spans="1:11">
      <c r="A4" s="383" t="s">
        <v>171</v>
      </c>
      <c r="B4" s="49">
        <f>IF(ISERROR('SEAP template'!B78+'SEAP template'!C78),0,'SEAP template'!B78+'SEAP template'!C78)</f>
        <v>4200.7549181568229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0.1880382437041202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760.89599999999996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760.89599999999996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0.1880382437041202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143.07754748149023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14518.491309000001</v>
      </c>
      <c r="C5" s="17">
        <f>IF(ISERROR('Eigen informatie GS &amp; warmtenet'!B57),0,'Eigen informatie GS &amp; warmtenet'!B57)</f>
        <v>0</v>
      </c>
      <c r="D5" s="30">
        <f>(SUM(HH_hh_gas_kWh,HH_rest_gas_kWh)/1000)*0.902</f>
        <v>36536.489572902006</v>
      </c>
      <c r="E5" s="17">
        <f>B46*B57</f>
        <v>853.6744782364209</v>
      </c>
      <c r="F5" s="17">
        <f>B51*B62</f>
        <v>13414.961145584566</v>
      </c>
      <c r="G5" s="18"/>
      <c r="H5" s="17"/>
      <c r="I5" s="17"/>
      <c r="J5" s="17">
        <f>B50*B61+C50*C61</f>
        <v>0</v>
      </c>
      <c r="K5" s="17"/>
      <c r="L5" s="17"/>
      <c r="M5" s="17"/>
      <c r="N5" s="17">
        <f>B48*B59+C48*C59</f>
        <v>3170.4893120513934</v>
      </c>
      <c r="O5" s="17">
        <f>B69*B70*B71</f>
        <v>120.37666666666668</v>
      </c>
      <c r="P5" s="17">
        <f>B77*B78*B79/1000-B77*B78*B79/1000/B80</f>
        <v>514.79999999999995</v>
      </c>
    </row>
    <row r="6" spans="1:16">
      <c r="A6" s="16" t="s">
        <v>624</v>
      </c>
      <c r="B6" s="788">
        <f>kWh_PV_kleiner_dan_10kW</f>
        <v>1761.6735162755349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16280.164825275537</v>
      </c>
      <c r="C8" s="21">
        <f>C5</f>
        <v>0</v>
      </c>
      <c r="D8" s="21">
        <f>D5</f>
        <v>36536.489572902006</v>
      </c>
      <c r="E8" s="21">
        <f>E5</f>
        <v>853.6744782364209</v>
      </c>
      <c r="F8" s="21">
        <f>F5</f>
        <v>13414.961145584566</v>
      </c>
      <c r="G8" s="21"/>
      <c r="H8" s="21"/>
      <c r="I8" s="21"/>
      <c r="J8" s="21">
        <f>J5</f>
        <v>0</v>
      </c>
      <c r="K8" s="21"/>
      <c r="L8" s="21">
        <f>L5</f>
        <v>0</v>
      </c>
      <c r="M8" s="21">
        <f>M5</f>
        <v>0</v>
      </c>
      <c r="N8" s="21">
        <f>N5</f>
        <v>3170.4893120513934</v>
      </c>
      <c r="O8" s="21">
        <f>O5</f>
        <v>120.37666666666668</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0.1880382437041202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3061.2936009584068</v>
      </c>
      <c r="C12" s="23">
        <f ca="1">C10*C8</f>
        <v>0</v>
      </c>
      <c r="D12" s="23">
        <f>D8*D10</f>
        <v>7380.3708937262054</v>
      </c>
      <c r="E12" s="23">
        <f>E10*E8</f>
        <v>193.78410655966755</v>
      </c>
      <c r="F12" s="23">
        <f>F10*F8</f>
        <v>3581.7946258710795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1</v>
      </c>
      <c r="C19" s="166" t="s">
        <v>111</v>
      </c>
      <c r="D19" s="229"/>
      <c r="E19" s="15"/>
    </row>
    <row r="20" spans="1:7">
      <c r="A20" s="171" t="s">
        <v>73</v>
      </c>
      <c r="B20" s="37">
        <f>aantalw2001_propaan</f>
        <v>13</v>
      </c>
      <c r="C20" s="167">
        <f>IF(ISERROR(B20/SUM($B$20,$B$21,$B$22)*100),0,B20/SUM($B$20,$B$21,$B$22)*100)</f>
        <v>4.8148148148148149</v>
      </c>
      <c r="D20" s="229"/>
      <c r="E20" s="15"/>
    </row>
    <row r="21" spans="1:7">
      <c r="A21" s="171" t="s">
        <v>74</v>
      </c>
      <c r="B21" s="37">
        <f>aantalw2001_elektriciteit</f>
        <v>240</v>
      </c>
      <c r="C21" s="167">
        <f>IF(ISERROR(B21/SUM($B$20,$B$21,$B$22)*100),0,B21/SUM($B$20,$B$21,$B$22)*100)</f>
        <v>88.888888888888886</v>
      </c>
      <c r="D21" s="229"/>
      <c r="E21" s="15"/>
    </row>
    <row r="22" spans="1:7">
      <c r="A22" s="171" t="s">
        <v>75</v>
      </c>
      <c r="B22" s="37">
        <f>aantalw2001_hout</f>
        <v>17</v>
      </c>
      <c r="C22" s="167">
        <f>IF(ISERROR(B22/SUM($B$20,$B$21,$B$22)*100),0,B22/SUM($B$20,$B$21,$B$22)*100)</f>
        <v>6.2962962962962958</v>
      </c>
      <c r="D22" s="229"/>
      <c r="E22" s="15"/>
    </row>
    <row r="23" spans="1:7">
      <c r="A23" s="171" t="s">
        <v>76</v>
      </c>
      <c r="B23" s="37">
        <f>aantalw2001_niet_gespec</f>
        <v>35</v>
      </c>
      <c r="C23" s="166" t="s">
        <v>111</v>
      </c>
      <c r="D23" s="228"/>
      <c r="E23" s="15"/>
    </row>
    <row r="24" spans="1:7">
      <c r="A24" s="171" t="s">
        <v>77</v>
      </c>
      <c r="B24" s="37">
        <f>aantalw2001_steenkool</f>
        <v>55</v>
      </c>
      <c r="C24" s="166" t="s">
        <v>111</v>
      </c>
      <c r="D24" s="229"/>
      <c r="E24" s="15"/>
    </row>
    <row r="25" spans="1:7">
      <c r="A25" s="171" t="s">
        <v>78</v>
      </c>
      <c r="B25" s="37">
        <f>aantalw2001_stookolie</f>
        <v>1614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3914</v>
      </c>
      <c r="C28" s="36"/>
      <c r="D28" s="228"/>
    </row>
    <row r="29" spans="1:7" s="15" customFormat="1">
      <c r="A29" s="230" t="s">
        <v>699</v>
      </c>
      <c r="B29" s="37">
        <f>SUM(HH_hh_gas_aantal,HH_rest_gas_aantal)</f>
        <v>2552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2552</v>
      </c>
      <c r="C32" s="167">
        <f>IF(ISERROR(B32/SUM($B$32,$B$34,$B$35,$B$36,$B$38,$B$39)*100),0,B32/SUM($B$32,$B$34,$B$35,$B$36,$B$38,$B$39)*100)</f>
        <v>65.654746591201445</v>
      </c>
      <c r="D32" s="233"/>
      <c r="G32" s="15"/>
    </row>
    <row r="33" spans="1:7">
      <c r="A33" s="171" t="s">
        <v>72</v>
      </c>
      <c r="B33" s="34" t="s">
        <v>111</v>
      </c>
      <c r="C33" s="167"/>
      <c r="D33" s="233"/>
      <c r="G33" s="15"/>
    </row>
    <row r="34" spans="1:7">
      <c r="A34" s="171" t="s">
        <v>73</v>
      </c>
      <c r="B34" s="33">
        <f>IF((($B$28-$B$32-$B$39-$B$77-$B$38)*C20/100)&lt;0,0,($B$28-$B$32-$B$39-$B$77-$B$38)*C20/100)</f>
        <v>37.743333333333339</v>
      </c>
      <c r="C34" s="167">
        <f>IF(ISERROR(B34/SUM($B$32,$B$34,$B$35,$B$36,$B$38,$B$39)*100),0,B34/SUM($B$32,$B$34,$B$35,$B$36,$B$38,$B$39)*100)</f>
        <v>0.97101449275362339</v>
      </c>
      <c r="D34" s="233"/>
      <c r="G34" s="15"/>
    </row>
    <row r="35" spans="1:7">
      <c r="A35" s="171" t="s">
        <v>74</v>
      </c>
      <c r="B35" s="33">
        <f>IF((($B$28-$B$32-$B$39-$B$77-$B$38)*C21/100)&lt;0,0,($B$28-$B$32-$B$39-$B$77-$B$38)*C21/100)</f>
        <v>696.8</v>
      </c>
      <c r="C35" s="167">
        <f>IF(ISERROR(B35/SUM($B$32,$B$34,$B$35,$B$36,$B$38,$B$39)*100),0,B35/SUM($B$32,$B$34,$B$35,$B$36,$B$38,$B$39)*100)</f>
        <v>17.926421404682273</v>
      </c>
      <c r="D35" s="233"/>
      <c r="G35" s="15"/>
    </row>
    <row r="36" spans="1:7">
      <c r="A36" s="171" t="s">
        <v>75</v>
      </c>
      <c r="B36" s="33">
        <f>IF((($B$28-$B$32-$B$39-$B$77-$B$38)*C22/100)&lt;0,0,($B$28-$B$32-$B$39-$B$77-$B$38)*C22/100)</f>
        <v>49.356666666666669</v>
      </c>
      <c r="C36" s="167">
        <f>IF(ISERROR(B36/SUM($B$32,$B$34,$B$35,$B$36,$B$38,$B$39)*100),0,B36/SUM($B$32,$B$34,$B$35,$B$36,$B$38,$B$39)*100)</f>
        <v>1.2697881828316613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551.09999999999991</v>
      </c>
      <c r="C39" s="167">
        <f>IF(ISERROR(B39/SUM($B$32,$B$34,$B$35,$B$36,$B$38,$B$39)*100),0,B39/SUM($B$32,$B$34,$B$35,$B$36,$B$38,$B$39)*100)</f>
        <v>14.178029328531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2552</v>
      </c>
      <c r="C44" s="34" t="s">
        <v>111</v>
      </c>
      <c r="D44" s="174"/>
    </row>
    <row r="45" spans="1:7">
      <c r="A45" s="171" t="s">
        <v>72</v>
      </c>
      <c r="B45" s="33" t="str">
        <f t="shared" si="0"/>
        <v>-</v>
      </c>
      <c r="C45" s="34" t="s">
        <v>111</v>
      </c>
      <c r="D45" s="174"/>
    </row>
    <row r="46" spans="1:7">
      <c r="A46" s="171" t="s">
        <v>73</v>
      </c>
      <c r="B46" s="33">
        <f t="shared" si="0"/>
        <v>37.743333333333339</v>
      </c>
      <c r="C46" s="34" t="s">
        <v>111</v>
      </c>
      <c r="D46" s="174"/>
    </row>
    <row r="47" spans="1:7">
      <c r="A47" s="171" t="s">
        <v>74</v>
      </c>
      <c r="B47" s="33">
        <f t="shared" si="0"/>
        <v>696.8</v>
      </c>
      <c r="C47" s="34" t="s">
        <v>111</v>
      </c>
      <c r="D47" s="174"/>
    </row>
    <row r="48" spans="1:7">
      <c r="A48" s="171" t="s">
        <v>75</v>
      </c>
      <c r="B48" s="33">
        <f t="shared" si="0"/>
        <v>49.356666666666669</v>
      </c>
      <c r="C48" s="33">
        <f>B48*10</f>
        <v>493.56666666666672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551.09999999999991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5237.3817948800006</v>
      </c>
      <c r="C5" s="17">
        <f>IF(ISERROR('Eigen informatie GS &amp; warmtenet'!B58),0,'Eigen informatie GS &amp; warmtenet'!B58)</f>
        <v>0</v>
      </c>
      <c r="D5" s="30">
        <f>SUM(D6:D12)</f>
        <v>8248.8006947253598</v>
      </c>
      <c r="E5" s="17">
        <f>SUM(E6:E12)</f>
        <v>106.42119290257028</v>
      </c>
      <c r="F5" s="17">
        <f>SUM(F6:F12)</f>
        <v>1337.8630360975039</v>
      </c>
      <c r="G5" s="18"/>
      <c r="H5" s="17"/>
      <c r="I5" s="17"/>
      <c r="J5" s="17">
        <f>SUM(J6:J12)</f>
        <v>0</v>
      </c>
      <c r="K5" s="17"/>
      <c r="L5" s="17"/>
      <c r="M5" s="17"/>
      <c r="N5" s="17">
        <f>SUM(N6:N12)</f>
        <v>502.68814877100681</v>
      </c>
      <c r="O5" s="17">
        <f>B38*B39*B40</f>
        <v>0</v>
      </c>
      <c r="P5" s="17">
        <f>B46*B47*B48/1000-B46*B47*B48/1000/B49</f>
        <v>0</v>
      </c>
      <c r="R5" s="32"/>
    </row>
    <row r="6" spans="1:18">
      <c r="A6" s="32" t="s">
        <v>54</v>
      </c>
      <c r="B6" s="37">
        <f>B26</f>
        <v>981.99656221999999</v>
      </c>
      <c r="C6" s="33"/>
      <c r="D6" s="37">
        <f>IF(ISERROR(TER_kantoor_gas_kWh/1000),0,TER_kantoor_gas_kWh/1000)*0.902</f>
        <v>2508.5315898411995</v>
      </c>
      <c r="E6" s="33">
        <f>$C$26*'E Balans VL '!I12/100/3.6*1000000</f>
        <v>12.855544643821155</v>
      </c>
      <c r="F6" s="33">
        <f>$C$26*('E Balans VL '!L12+'E Balans VL '!N12)/100/3.6*1000000</f>
        <v>250.39897579268762</v>
      </c>
      <c r="G6" s="34"/>
      <c r="H6" s="33"/>
      <c r="I6" s="33"/>
      <c r="J6" s="33">
        <f>$C$26*('E Balans VL '!D12+'E Balans VL '!E12)/100/3.6*1000000</f>
        <v>0</v>
      </c>
      <c r="K6" s="33"/>
      <c r="L6" s="33"/>
      <c r="M6" s="33"/>
      <c r="N6" s="33">
        <f>$C$26*'E Balans VL '!Y12/100/3.6*1000000</f>
        <v>0.98530338304478138</v>
      </c>
      <c r="O6" s="33"/>
      <c r="P6" s="33"/>
      <c r="R6" s="32"/>
    </row>
    <row r="7" spans="1:18">
      <c r="A7" s="32" t="s">
        <v>53</v>
      </c>
      <c r="B7" s="37">
        <f t="shared" ref="B7:B12" si="0">B27</f>
        <v>591.52538815999992</v>
      </c>
      <c r="C7" s="33"/>
      <c r="D7" s="37">
        <f>IF(ISERROR(TER_horeca_gas_kWh/1000),0,TER_horeca_gas_kWh/1000)*0.902</f>
        <v>736.23888971049996</v>
      </c>
      <c r="E7" s="33">
        <f>$C$27*'E Balans VL '!I9/100/3.6*1000000</f>
        <v>19.575892219862418</v>
      </c>
      <c r="F7" s="33">
        <f>$C$27*('E Balans VL '!L9+'E Balans VL '!N9)/100/3.6*1000000</f>
        <v>254.35364990891486</v>
      </c>
      <c r="G7" s="34"/>
      <c r="H7" s="33"/>
      <c r="I7" s="33"/>
      <c r="J7" s="33">
        <f>$C$27*('E Balans VL '!D9+'E Balans VL '!E9)/100/3.6*1000000</f>
        <v>0</v>
      </c>
      <c r="K7" s="33"/>
      <c r="L7" s="33"/>
      <c r="M7" s="33"/>
      <c r="N7" s="33">
        <f>$C$27*'E Balans VL '!Y9/100/3.6*1000000</f>
        <v>0.14238875082141034</v>
      </c>
      <c r="O7" s="33"/>
      <c r="P7" s="33"/>
      <c r="R7" s="32"/>
    </row>
    <row r="8" spans="1:18">
      <c r="A8" s="6" t="s">
        <v>52</v>
      </c>
      <c r="B8" s="37">
        <f t="shared" si="0"/>
        <v>1440.7259620999998</v>
      </c>
      <c r="C8" s="33"/>
      <c r="D8" s="37">
        <f>IF(ISERROR(TER_handel_gas_kWh/1000),0,TER_handel_gas_kWh/1000)*0.902</f>
        <v>298.16852679988006</v>
      </c>
      <c r="E8" s="33">
        <f>$C$28*'E Balans VL '!I13/100/3.6*1000000</f>
        <v>45.471512727618993</v>
      </c>
      <c r="F8" s="33">
        <f>$C$28*('E Balans VL '!L13+'E Balans VL '!N13)/100/3.6*1000000</f>
        <v>282.55173077691757</v>
      </c>
      <c r="G8" s="34"/>
      <c r="H8" s="33"/>
      <c r="I8" s="33"/>
      <c r="J8" s="33">
        <f>$C$28*('E Balans VL '!D13+'E Balans VL '!E13)/100/3.6*1000000</f>
        <v>0</v>
      </c>
      <c r="K8" s="33"/>
      <c r="L8" s="33"/>
      <c r="M8" s="33"/>
      <c r="N8" s="33">
        <f>$C$28*'E Balans VL '!Y13/100/3.6*1000000</f>
        <v>1.7098620035010514</v>
      </c>
      <c r="O8" s="33"/>
      <c r="P8" s="33"/>
      <c r="R8" s="32"/>
    </row>
    <row r="9" spans="1:18">
      <c r="A9" s="32" t="s">
        <v>51</v>
      </c>
      <c r="B9" s="37">
        <f t="shared" si="0"/>
        <v>174.53242892999998</v>
      </c>
      <c r="C9" s="33"/>
      <c r="D9" s="37">
        <f>IF(ISERROR(TER_gezond_gas_kWh/1000),0,TER_gezond_gas_kWh/1000)*0.902</f>
        <v>319.13899127682004</v>
      </c>
      <c r="E9" s="33">
        <f>$C$29*'E Balans VL '!I10/100/3.6*1000000</f>
        <v>2.2345256735959485E-2</v>
      </c>
      <c r="F9" s="33">
        <f>$C$29*('E Balans VL '!L10+'E Balans VL '!N10)/100/3.6*1000000</f>
        <v>36.362420270616532</v>
      </c>
      <c r="G9" s="34"/>
      <c r="H9" s="33"/>
      <c r="I9" s="33"/>
      <c r="J9" s="33">
        <f>$C$29*('E Balans VL '!D10+'E Balans VL '!E10)/100/3.6*1000000</f>
        <v>0</v>
      </c>
      <c r="K9" s="33"/>
      <c r="L9" s="33"/>
      <c r="M9" s="33"/>
      <c r="N9" s="33">
        <f>$C$29*'E Balans VL '!Y10/100/3.6*1000000</f>
        <v>2.0499658726540186</v>
      </c>
      <c r="O9" s="33"/>
      <c r="P9" s="33"/>
      <c r="R9" s="32"/>
    </row>
    <row r="10" spans="1:18">
      <c r="A10" s="32" t="s">
        <v>50</v>
      </c>
      <c r="B10" s="37">
        <f t="shared" si="0"/>
        <v>454.93518423</v>
      </c>
      <c r="C10" s="33"/>
      <c r="D10" s="37">
        <f>IF(ISERROR(TER_ander_gas_kWh/1000),0,TER_ander_gas_kWh/1000)*0.902</f>
        <v>497.29761780886002</v>
      </c>
      <c r="E10" s="33">
        <f>$C$30*'E Balans VL '!I14/100/3.6*1000000</f>
        <v>0.68411553198185471</v>
      </c>
      <c r="F10" s="33">
        <f>$C$30*('E Balans VL '!L14+'E Balans VL '!N14)/100/3.6*1000000</f>
        <v>100.43502402566489</v>
      </c>
      <c r="G10" s="34"/>
      <c r="H10" s="33"/>
      <c r="I10" s="33"/>
      <c r="J10" s="33">
        <f>$C$30*('E Balans VL '!D14+'E Balans VL '!E14)/100/3.6*1000000</f>
        <v>0</v>
      </c>
      <c r="K10" s="33"/>
      <c r="L10" s="33"/>
      <c r="M10" s="33"/>
      <c r="N10" s="33">
        <f>$C$30*'E Balans VL '!Y14/100/3.6*1000000</f>
        <v>358.51954115680121</v>
      </c>
      <c r="O10" s="33"/>
      <c r="P10" s="33"/>
      <c r="R10" s="32"/>
    </row>
    <row r="11" spans="1:18">
      <c r="A11" s="32" t="s">
        <v>55</v>
      </c>
      <c r="B11" s="37">
        <f t="shared" si="0"/>
        <v>15.59573834</v>
      </c>
      <c r="C11" s="33"/>
      <c r="D11" s="37">
        <f>IF(ISERROR(TER_onderwijs_gas_kWh/1000),0,TER_onderwijs_gas_kWh/1000)*0.902</f>
        <v>271.37703967110002</v>
      </c>
      <c r="E11" s="33">
        <f>$C$31*'E Balans VL '!I11/100/3.6*1000000</f>
        <v>2.7465402135095355E-2</v>
      </c>
      <c r="F11" s="33">
        <f>$C$31*('E Balans VL '!L11+'E Balans VL '!N11)/100/3.6*1000000</f>
        <v>7.2008345959965183</v>
      </c>
      <c r="G11" s="34"/>
      <c r="H11" s="33"/>
      <c r="I11" s="33"/>
      <c r="J11" s="33">
        <f>$C$31*('E Balans VL '!D11+'E Balans VL '!E11)/100/3.6*1000000</f>
        <v>0</v>
      </c>
      <c r="K11" s="33"/>
      <c r="L11" s="33"/>
      <c r="M11" s="33"/>
      <c r="N11" s="33">
        <f>$C$31*'E Balans VL '!Y11/100/3.6*1000000</f>
        <v>2.9055076197434339E-2</v>
      </c>
      <c r="O11" s="33"/>
      <c r="P11" s="33"/>
      <c r="R11" s="32"/>
    </row>
    <row r="12" spans="1:18">
      <c r="A12" s="32" t="s">
        <v>260</v>
      </c>
      <c r="B12" s="37">
        <f t="shared" si="0"/>
        <v>1578.0705309</v>
      </c>
      <c r="C12" s="33"/>
      <c r="D12" s="37">
        <f>IF(ISERROR(TER_rest_gas_kWh/1000),0,TER_rest_gas_kWh/1000)*0.902</f>
        <v>3618.0480396170001</v>
      </c>
      <c r="E12" s="33">
        <f>$C$32*'E Balans VL '!I8/100/3.6*1000000</f>
        <v>27.784317120414816</v>
      </c>
      <c r="F12" s="33">
        <f>$C$32*('E Balans VL '!L8+'E Balans VL '!N8)/100/3.6*1000000</f>
        <v>406.56040072670589</v>
      </c>
      <c r="G12" s="34"/>
      <c r="H12" s="33"/>
      <c r="I12" s="33"/>
      <c r="J12" s="33">
        <f>$C$32*('E Balans VL '!D8+'E Balans VL '!E8)/100/3.6*1000000</f>
        <v>0</v>
      </c>
      <c r="K12" s="33"/>
      <c r="L12" s="33"/>
      <c r="M12" s="33"/>
      <c r="N12" s="33">
        <f>$C$32*'E Balans VL '!Y8/100/3.6*1000000</f>
        <v>139.2520325279869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5237.3817948800006</v>
      </c>
      <c r="C16" s="21">
        <f t="shared" ca="1" si="1"/>
        <v>0</v>
      </c>
      <c r="D16" s="21">
        <f t="shared" ca="1" si="1"/>
        <v>8248.8006947253598</v>
      </c>
      <c r="E16" s="21">
        <f t="shared" si="1"/>
        <v>106.42119290257028</v>
      </c>
      <c r="F16" s="21">
        <f t="shared" ca="1" si="1"/>
        <v>1337.8630360975039</v>
      </c>
      <c r="G16" s="21">
        <f t="shared" si="1"/>
        <v>0</v>
      </c>
      <c r="H16" s="21">
        <f t="shared" si="1"/>
        <v>0</v>
      </c>
      <c r="I16" s="21">
        <f t="shared" si="1"/>
        <v>0</v>
      </c>
      <c r="J16" s="21">
        <f t="shared" si="1"/>
        <v>0</v>
      </c>
      <c r="K16" s="21">
        <f t="shared" si="1"/>
        <v>0</v>
      </c>
      <c r="L16" s="21">
        <f t="shared" ca="1" si="1"/>
        <v>0</v>
      </c>
      <c r="M16" s="21">
        <f t="shared" si="1"/>
        <v>0</v>
      </c>
      <c r="N16" s="21">
        <f t="shared" ca="1" si="1"/>
        <v>502.68814877100681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0.1880382437041202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984.82807431716799</v>
      </c>
      <c r="C20" s="23">
        <f t="shared" ref="C20:P20" ca="1" si="2">C16*C18</f>
        <v>0</v>
      </c>
      <c r="D20" s="23">
        <f t="shared" ca="1" si="2"/>
        <v>1666.2577403345229</v>
      </c>
      <c r="E20" s="23">
        <f t="shared" si="2"/>
        <v>24.157610788883456</v>
      </c>
      <c r="F20" s="23">
        <f t="shared" ca="1" si="2"/>
        <v>357.20943063803355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981.99656221999999</v>
      </c>
      <c r="C26" s="39">
        <f>IF(ISERROR(B26*3.6/1000000/'E Balans VL '!Z12*100),0,B26*3.6/1000000/'E Balans VL '!Z12*100)</f>
        <v>2.1035129246175267E-2</v>
      </c>
      <c r="D26" s="237" t="s">
        <v>660</v>
      </c>
      <c r="F26" s="6"/>
    </row>
    <row r="27" spans="1:18">
      <c r="A27" s="231" t="s">
        <v>53</v>
      </c>
      <c r="B27" s="33">
        <f>IF(ISERROR(TER_horeca_ele_kWh/1000),0,TER_horeca_ele_kWh/1000)</f>
        <v>591.52538815999992</v>
      </c>
      <c r="C27" s="39">
        <f>IF(ISERROR(B27*3.6/1000000/'E Balans VL '!Z9*100),0,B27*3.6/1000000/'E Balans VL '!Z9*100)</f>
        <v>4.7467856278577927E-2</v>
      </c>
      <c r="D27" s="237" t="s">
        <v>660</v>
      </c>
      <c r="F27" s="6"/>
    </row>
    <row r="28" spans="1:18">
      <c r="A28" s="171" t="s">
        <v>52</v>
      </c>
      <c r="B28" s="33">
        <f>IF(ISERROR(TER_handel_ele_kWh/1000),0,TER_handel_ele_kWh/1000)</f>
        <v>1440.7259620999998</v>
      </c>
      <c r="C28" s="39">
        <f>IF(ISERROR(B28*3.6/1000000/'E Balans VL '!Z13*100),0,B28*3.6/1000000/'E Balans VL '!Z13*100)</f>
        <v>4.249315220744259E-2</v>
      </c>
      <c r="D28" s="237" t="s">
        <v>660</v>
      </c>
      <c r="F28" s="6"/>
    </row>
    <row r="29" spans="1:18">
      <c r="A29" s="231" t="s">
        <v>51</v>
      </c>
      <c r="B29" s="33">
        <f>IF(ISERROR(TER_gezond_ele_kWh/1000),0,TER_gezond_ele_kWh/1000)</f>
        <v>174.53242892999998</v>
      </c>
      <c r="C29" s="39">
        <f>IF(ISERROR(B29*3.6/1000000/'E Balans VL '!Z10*100),0,B29*3.6/1000000/'E Balans VL '!Z10*100)</f>
        <v>1.8635384019828709E-2</v>
      </c>
      <c r="D29" s="237" t="s">
        <v>660</v>
      </c>
      <c r="F29" s="6"/>
    </row>
    <row r="30" spans="1:18">
      <c r="A30" s="231" t="s">
        <v>50</v>
      </c>
      <c r="B30" s="33">
        <f>IF(ISERROR(TER_ander_ele_kWh/1000),0,TER_ander_ele_kWh/1000)</f>
        <v>454.93518423</v>
      </c>
      <c r="C30" s="39">
        <f>IF(ISERROR(B30*3.6/1000000/'E Balans VL '!Z14*100),0,B30*3.6/1000000/'E Balans VL '!Z14*100)</f>
        <v>3.4363040923300579E-2</v>
      </c>
      <c r="D30" s="237" t="s">
        <v>660</v>
      </c>
      <c r="F30" s="6"/>
    </row>
    <row r="31" spans="1:18">
      <c r="A31" s="231" t="s">
        <v>55</v>
      </c>
      <c r="B31" s="33">
        <f>IF(ISERROR(TER_onderwijs_ele_kWh/1000),0,TER_onderwijs_ele_kWh/1000)</f>
        <v>15.59573834</v>
      </c>
      <c r="C31" s="39">
        <f>IF(ISERROR(B31*3.6/1000000/'E Balans VL '!Z11*100),0,B31*3.6/1000000/'E Balans VL '!Z11*100)</f>
        <v>3.1493001968123384E-3</v>
      </c>
      <c r="D31" s="237" t="s">
        <v>660</v>
      </c>
    </row>
    <row r="32" spans="1:18">
      <c r="A32" s="231" t="s">
        <v>260</v>
      </c>
      <c r="B32" s="33">
        <f>IF(ISERROR(TER_rest_ele_kWh/1000),0,TER_rest_ele_kWh/1000)</f>
        <v>1578.0705309</v>
      </c>
      <c r="C32" s="39">
        <f>IF(ISERROR(B32*3.6/1000000/'E Balans VL '!Z8*100),0,B32*3.6/1000000/'E Balans VL '!Z8*100)</f>
        <v>1.308440214852263E-2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4738.985104421</v>
      </c>
      <c r="C5" s="17">
        <f>IF(ISERROR('Eigen informatie GS &amp; warmtenet'!B59),0,'Eigen informatie GS &amp; warmtenet'!B59)</f>
        <v>0</v>
      </c>
      <c r="D5" s="30">
        <f>SUM(D6:D15)</f>
        <v>1365.34180882176</v>
      </c>
      <c r="E5" s="17">
        <f>SUM(E6:E15)</f>
        <v>288.40594803293163</v>
      </c>
      <c r="F5" s="17">
        <f>SUM(F6:F15)</f>
        <v>1195.396655336197</v>
      </c>
      <c r="G5" s="18"/>
      <c r="H5" s="17"/>
      <c r="I5" s="17"/>
      <c r="J5" s="17">
        <f>SUM(J6:J15)</f>
        <v>28.560021367257143</v>
      </c>
      <c r="K5" s="17"/>
      <c r="L5" s="17"/>
      <c r="M5" s="17"/>
      <c r="N5" s="17">
        <f>SUM(N6:N15)</f>
        <v>783.70198219464328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43.710269651000004</v>
      </c>
      <c r="C8" s="33"/>
      <c r="D8" s="37">
        <f>IF( ISERROR(IND_metaal_Gas_kWH/1000),0,IND_metaal_Gas_kWH/1000)*0.902</f>
        <v>0</v>
      </c>
      <c r="E8" s="33">
        <f>C30*'E Balans VL '!I18/100/3.6*1000000</f>
        <v>1.572827734572454</v>
      </c>
      <c r="F8" s="33">
        <f>C30*'E Balans VL '!L18/100/3.6*1000000+C30*'E Balans VL '!N18/100/3.6*1000000</f>
        <v>19.086857822097418</v>
      </c>
      <c r="G8" s="34"/>
      <c r="H8" s="33"/>
      <c r="I8" s="33"/>
      <c r="J8" s="40">
        <f>C30*'E Balans VL '!D18/100/3.6*1000000+C30*'E Balans VL '!E18/100/3.6*1000000</f>
        <v>0</v>
      </c>
      <c r="K8" s="33"/>
      <c r="L8" s="33"/>
      <c r="M8" s="33"/>
      <c r="N8" s="33">
        <f>C30*'E Balans VL '!Y18/100/3.6*1000000</f>
        <v>2.1907290106324391</v>
      </c>
      <c r="O8" s="33"/>
      <c r="P8" s="33"/>
      <c r="R8" s="32"/>
    </row>
    <row r="9" spans="1:18">
      <c r="A9" s="6" t="s">
        <v>33</v>
      </c>
      <c r="B9" s="37">
        <f t="shared" si="0"/>
        <v>322.48291609999995</v>
      </c>
      <c r="C9" s="33"/>
      <c r="D9" s="37">
        <f>IF( ISERROR(IND_andere_gas_kWh/1000),0,IND_andere_gas_kWh/1000)*0.902</f>
        <v>261.26161409655998</v>
      </c>
      <c r="E9" s="33">
        <f>C31*'E Balans VL '!I19/100/3.6*1000000</f>
        <v>82.290343808379205</v>
      </c>
      <c r="F9" s="33">
        <f>C31*'E Balans VL '!L19/100/3.6*1000000+C31*'E Balans VL '!N19/100/3.6*1000000</f>
        <v>277.63355200380391</v>
      </c>
      <c r="G9" s="34"/>
      <c r="H9" s="33"/>
      <c r="I9" s="33"/>
      <c r="J9" s="40">
        <f>C31*'E Balans VL '!D19/100/3.6*1000000+C31*'E Balans VL '!E19/100/3.6*1000000</f>
        <v>0</v>
      </c>
      <c r="K9" s="33"/>
      <c r="L9" s="33"/>
      <c r="M9" s="33"/>
      <c r="N9" s="33">
        <f>C31*'E Balans VL '!Y19/100/3.6*1000000</f>
        <v>100.85145175093639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992.60817226999995</v>
      </c>
      <c r="C12" s="33"/>
      <c r="D12" s="37">
        <f>IF( ISERROR(IND_min_gas_kWh/1000),0,IND_min_gas_kWh/1000)*0.902</f>
        <v>0</v>
      </c>
      <c r="E12" s="33">
        <f>C34*'E Balans VL '!I22/100/3.6*1000000</f>
        <v>21.09043596408539</v>
      </c>
      <c r="F12" s="33">
        <f>C34*'E Balans VL '!L22/100/3.6*1000000+C34*'E Balans VL '!N22/100/3.6*1000000</f>
        <v>161.95248241058118</v>
      </c>
      <c r="G12" s="34"/>
      <c r="H12" s="33"/>
      <c r="I12" s="33"/>
      <c r="J12" s="40">
        <f>C34*'E Balans VL '!D22/100/3.6*1000000+C34*'E Balans VL '!E22/100/3.6*1000000</f>
        <v>1.1564811513973523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3380.1837464</v>
      </c>
      <c r="C15" s="33"/>
      <c r="D15" s="37">
        <f>IF( ISERROR(IND_rest_gas_kWh/1000),0,IND_rest_gas_kWh/1000)*0.902</f>
        <v>1104.0801947252</v>
      </c>
      <c r="E15" s="33">
        <f>C37*'E Balans VL '!I15/100/3.6*1000000</f>
        <v>183.45234052589456</v>
      </c>
      <c r="F15" s="33">
        <f>C37*'E Balans VL '!L15/100/3.6*1000000+C37*'E Balans VL '!N15/100/3.6*1000000</f>
        <v>736.72376309971446</v>
      </c>
      <c r="G15" s="34"/>
      <c r="H15" s="33"/>
      <c r="I15" s="33"/>
      <c r="J15" s="40">
        <f>C37*'E Balans VL '!D15/100/3.6*1000000+C37*'E Balans VL '!E15/100/3.6*1000000</f>
        <v>27.403540215859792</v>
      </c>
      <c r="K15" s="33"/>
      <c r="L15" s="33"/>
      <c r="M15" s="33"/>
      <c r="N15" s="33">
        <f>C37*'E Balans VL '!Y15/100/3.6*1000000</f>
        <v>680.65980143307445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4738.985104421</v>
      </c>
      <c r="C18" s="21">
        <f>C5+C16</f>
        <v>0</v>
      </c>
      <c r="D18" s="21">
        <f>MAX((D5+D16),0)</f>
        <v>1365.34180882176</v>
      </c>
      <c r="E18" s="21">
        <f>MAX((E5+E16),0)</f>
        <v>288.40594803293163</v>
      </c>
      <c r="F18" s="21">
        <f>MAX((F5+F16),0)</f>
        <v>1195.396655336197</v>
      </c>
      <c r="G18" s="21"/>
      <c r="H18" s="21"/>
      <c r="I18" s="21"/>
      <c r="J18" s="21">
        <f>MAX((J5+J16),0)</f>
        <v>28.560021367257143</v>
      </c>
      <c r="K18" s="21"/>
      <c r="L18" s="21">
        <f>MAX((L5+L16),0)</f>
        <v>0</v>
      </c>
      <c r="M18" s="21"/>
      <c r="N18" s="21">
        <f>MAX((N5+N16),0)</f>
        <v>783.70198219464328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0.1880382437041202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891.11043597531147</v>
      </c>
      <c r="C22" s="23">
        <f ca="1">C18*C20</f>
        <v>0</v>
      </c>
      <c r="D22" s="23">
        <f>D18*D20</f>
        <v>275.79904538199554</v>
      </c>
      <c r="E22" s="23">
        <f>E18*E20</f>
        <v>65.468150203475489</v>
      </c>
      <c r="F22" s="23">
        <f>F18*F20</f>
        <v>319.17090697476459</v>
      </c>
      <c r="G22" s="23"/>
      <c r="H22" s="23"/>
      <c r="I22" s="23"/>
      <c r="J22" s="23">
        <f>J18*J20</f>
        <v>10.110247564009027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43.710269651000004</v>
      </c>
      <c r="C30" s="39">
        <f>IF(ISERROR(B30*3.6/1000000/'E Balans VL '!Z18*100),0,B30*3.6/1000000/'E Balans VL '!Z18*100)</f>
        <v>9.2612690155639815E-3</v>
      </c>
      <c r="D30" s="237" t="s">
        <v>660</v>
      </c>
    </row>
    <row r="31" spans="1:18">
      <c r="A31" s="6" t="s">
        <v>33</v>
      </c>
      <c r="B31" s="37">
        <f>IF( ISERROR(IND_ander_ele_kWh/1000),0,IND_ander_ele_kWh/1000)</f>
        <v>322.48291609999995</v>
      </c>
      <c r="C31" s="39">
        <f>IF(ISERROR(B31*3.6/1000000/'E Balans VL '!Z19*100),0,B31*3.6/1000000/'E Balans VL '!Z19*100)</f>
        <v>1.3574038189363606E-2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992.60817226999995</v>
      </c>
      <c r="C34" s="39">
        <f>IF(ISERROR(B34*3.6/1000000/'E Balans VL '!Z22*100),0,B34*3.6/1000000/'E Balans VL '!Z22*100)</f>
        <v>0.1258184389552853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3380.1837464</v>
      </c>
      <c r="C37" s="39">
        <f>IF(ISERROR(B37*3.6/1000000/'E Balans VL '!Z15*100),0,B37*3.6/1000000/'E Balans VL '!Z15*100)</f>
        <v>2.7289532251824091E-2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480.42254657699999</v>
      </c>
      <c r="C5" s="17">
        <f>'Eigen informatie GS &amp; warmtenet'!B60</f>
        <v>0</v>
      </c>
      <c r="D5" s="30">
        <f>IF(ISERROR(SUM(LB_lb_gas_kWh,LB_rest_gas_kWh)/1000),0,SUM(LB_lb_gas_kWh,LB_rest_gas_kWh)/1000)*0.902</f>
        <v>271.40447180021999</v>
      </c>
      <c r="E5" s="17">
        <f>B17*'E Balans VL '!I25/3.6*1000000/100</f>
        <v>12.388252866906033</v>
      </c>
      <c r="F5" s="17">
        <f>B17*('E Balans VL '!L25/3.6*1000000+'E Balans VL '!N25/3.6*1000000)/100</f>
        <v>1756.0358997685096</v>
      </c>
      <c r="G5" s="18"/>
      <c r="H5" s="17"/>
      <c r="I5" s="17"/>
      <c r="J5" s="17">
        <f>('E Balans VL '!D25+'E Balans VL '!E25)/3.6*1000000*landbouw!B17/100</f>
        <v>69.163173567616411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480.42254657699999</v>
      </c>
      <c r="C8" s="21">
        <f>C5+C6</f>
        <v>0</v>
      </c>
      <c r="D8" s="21">
        <f>MAX((D5+D6),0)</f>
        <v>271.40447180021999</v>
      </c>
      <c r="E8" s="21">
        <f>MAX((E5+E6),0)</f>
        <v>12.388252866906033</v>
      </c>
      <c r="F8" s="21">
        <f>MAX((F5+F6),0)</f>
        <v>1756.0358997685096</v>
      </c>
      <c r="G8" s="21"/>
      <c r="H8" s="21"/>
      <c r="I8" s="21"/>
      <c r="J8" s="21">
        <f>MAX((J5+J6),0)</f>
        <v>69.163173567616411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0.1880382437041202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90.337811894199959</v>
      </c>
      <c r="C12" s="23">
        <f ca="1">C8*C10</f>
        <v>0</v>
      </c>
      <c r="D12" s="23">
        <f>D8*D10</f>
        <v>54.823703303644443</v>
      </c>
      <c r="E12" s="23">
        <f>E8*E10</f>
        <v>2.8121334007876695</v>
      </c>
      <c r="F12" s="23">
        <f>F8*F10</f>
        <v>468.86158523819211</v>
      </c>
      <c r="G12" s="23"/>
      <c r="H12" s="23"/>
      <c r="I12" s="23"/>
      <c r="J12" s="23">
        <f>J8*J10</f>
        <v>24.483763442936208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6.7742761314950398E-2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57.05447788993672</v>
      </c>
      <c r="C26" s="247">
        <f>B26*'GWP N2O_CH4'!B5</f>
        <v>1198.144035688671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5.8881951030015829</v>
      </c>
      <c r="C27" s="247">
        <f>B27*'GWP N2O_CH4'!B5</f>
        <v>123.65209716303325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0.77446136569624935</v>
      </c>
      <c r="C28" s="247">
        <f>B28*'GWP N2O_CH4'!B4</f>
        <v>240.08302336583731</v>
      </c>
      <c r="D28" s="50"/>
    </row>
    <row r="29" spans="1:4">
      <c r="A29" s="41" t="s">
        <v>277</v>
      </c>
      <c r="B29" s="247">
        <f>B34*'ha_N2O bodem landbouw'!B4</f>
        <v>5.0855575051608959</v>
      </c>
      <c r="C29" s="247">
        <f>B29*'GWP N2O_CH4'!B4</f>
        <v>1576.5228265998778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1.1445267958950969E-3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3.2003115917192205E-5</v>
      </c>
      <c r="C5" s="463" t="s">
        <v>211</v>
      </c>
      <c r="D5" s="448">
        <f>SUM(D6:D11)</f>
        <v>1.0325921563028555E-4</v>
      </c>
      <c r="E5" s="448">
        <f>SUM(E6:E11)</f>
        <v>3.9115004314090772E-4</v>
      </c>
      <c r="F5" s="461" t="s">
        <v>211</v>
      </c>
      <c r="G5" s="448">
        <f>SUM(G6:G11)</f>
        <v>0.12429290018749015</v>
      </c>
      <c r="H5" s="448">
        <f>SUM(H6:H11)</f>
        <v>2.7361838025741353E-2</v>
      </c>
      <c r="I5" s="463" t="s">
        <v>211</v>
      </c>
      <c r="J5" s="463" t="s">
        <v>211</v>
      </c>
      <c r="K5" s="463" t="s">
        <v>211</v>
      </c>
      <c r="L5" s="463" t="s">
        <v>211</v>
      </c>
      <c r="M5" s="448">
        <f>SUM(M6:M11)</f>
        <v>4.7357446060632058E-3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7.8442953876628822E-7</v>
      </c>
      <c r="C6" s="449"/>
      <c r="D6" s="892">
        <f>vkm_2011_GW_PW*SUMIFS(TableVerdeelsleutelVkm[CNG],TableVerdeelsleutelVkm[Voertuigtype],"Lichte voertuigen")*SUMIFS(TableECFTransport[EnergieConsumptieFactor (PJ per km)],TableECFTransport[Index],CONCATENATE($A6,"_CNG_CNG"))</f>
        <v>1.5586752340156631E-6</v>
      </c>
      <c r="E6" s="892">
        <f>vkm_2011_GW_PW*SUMIFS(TableVerdeelsleutelVkm[LPG],TableVerdeelsleutelVkm[Voertuigtype],"Lichte voertuigen")*SUMIFS(TableECFTransport[EnergieConsumptieFactor (PJ per km)],TableECFTransport[Index],CONCATENATE($A6,"_LPG_LPG"))</f>
        <v>6.1339457890371439E-6</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1.4584418406802676E-3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4.2198027755577846E-4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5.8595689611407384E-5</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2.1251877134822263E-4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6.8652640567669825E-8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6.6961413152969115E-6</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2.5561821434042231E-5</v>
      </c>
      <c r="C8" s="449"/>
      <c r="D8" s="451">
        <f>vkm_2011_NGW_PW*SUMIFS(TableVerdeelsleutelVkm[CNG],TableVerdeelsleutelVkm[Voertuigtype],"Lichte voertuigen")*SUMIFS(TableECFTransport[EnergieConsumptieFactor (PJ per km)],TableECFTransport[Index],CONCATENATE($A8,"_CNG_CNG"))</f>
        <v>8.9933726326302672E-5</v>
      </c>
      <c r="E8" s="451">
        <f>vkm_2011_NGW_PW*SUMIFS(TableVerdeelsleutelVkm[LPG],TableVerdeelsleutelVkm[Voertuigtype],"Lichte voertuigen")*SUMIFS(TableECFTransport[EnergieConsumptieFactor (PJ per km)],TableECFTransport[Index],CONCATENATE($A8,"_LPG_LPG"))</f>
        <v>3.2731481756959703E-4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7.2673090654965744E-2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2.3608920089985025E-2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2.9972214242818679E-3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2.9268354261763999E-2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8.9417303964281684E-6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9.2218566751085926E-4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5.6568649443836863E-6</v>
      </c>
      <c r="C10" s="449"/>
      <c r="D10" s="451">
        <f>vkm_2011_SW_PW*SUMIFS(TableVerdeelsleutelVkm[CNG],TableVerdeelsleutelVkm[Voertuigtype],"Lichte voertuigen")*SUMIFS(TableECFTransport[EnergieConsumptieFactor (PJ per km)],TableECFTransport[Index],CONCATENATE($A10,"_CNG_CNG"))</f>
        <v>1.1766814069967224E-5</v>
      </c>
      <c r="E10" s="451">
        <f>vkm_2011_SW_PW*SUMIFS(TableVerdeelsleutelVkm[LPG],TableVerdeelsleutelVkm[Voertuigtype],"Lichte voertuigen")*SUMIFS(TableECFTransport[EnergieConsumptieFactor (PJ per km)],TableECFTransport[Index],CONCATENATE($A10,"_LPG_LPG"))</f>
        <v>5.7701279782273523E-5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1.228971008924044E-2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3.3190067913566263E-3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4.8665860445994082E-4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8.3907845694914697E-3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2.9204838069286875E-6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2.6438707888383364E-4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8.8897544214422783</v>
      </c>
      <c r="C14" s="21"/>
      <c r="D14" s="21">
        <f t="shared" ref="D14:M14" si="0">((D5)*10^9/3600)+D12</f>
        <v>28.683115452857098</v>
      </c>
      <c r="E14" s="21">
        <f t="shared" si="0"/>
        <v>108.65278976136325</v>
      </c>
      <c r="F14" s="21"/>
      <c r="G14" s="21">
        <f t="shared" si="0"/>
        <v>34525.805607636154</v>
      </c>
      <c r="H14" s="21">
        <f t="shared" si="0"/>
        <v>7600.510562705932</v>
      </c>
      <c r="I14" s="21"/>
      <c r="J14" s="21"/>
      <c r="K14" s="21"/>
      <c r="L14" s="21"/>
      <c r="M14" s="21">
        <f t="shared" si="0"/>
        <v>1315.4846127953349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0.1880382437041202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1.6716138083689431</v>
      </c>
      <c r="C18" s="23"/>
      <c r="D18" s="23">
        <f t="shared" ref="D18:M18" si="1">D14*D16</f>
        <v>5.7939893214771345</v>
      </c>
      <c r="E18" s="23">
        <f t="shared" si="1"/>
        <v>24.664183275829458</v>
      </c>
      <c r="F18" s="23"/>
      <c r="G18" s="23">
        <f t="shared" si="1"/>
        <v>9218.3900972388528</v>
      </c>
      <c r="H18" s="23">
        <f t="shared" si="1"/>
        <v>1892.527130113777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3.9027521617390755E-3</v>
      </c>
      <c r="H50" s="321">
        <f t="shared" si="2"/>
        <v>0</v>
      </c>
      <c r="I50" s="321">
        <f t="shared" si="2"/>
        <v>0</v>
      </c>
      <c r="J50" s="321">
        <f t="shared" si="2"/>
        <v>0</v>
      </c>
      <c r="K50" s="321">
        <f t="shared" si="2"/>
        <v>0</v>
      </c>
      <c r="L50" s="321">
        <f t="shared" si="2"/>
        <v>0</v>
      </c>
      <c r="M50" s="321">
        <f t="shared" si="2"/>
        <v>1.2105464088991545E-4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3.9027521617390755E-3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1.2105464088991545E-4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1084.0978227052988</v>
      </c>
      <c r="H54" s="21">
        <f t="shared" si="3"/>
        <v>0</v>
      </c>
      <c r="I54" s="21">
        <f t="shared" si="3"/>
        <v>0</v>
      </c>
      <c r="J54" s="21">
        <f t="shared" si="3"/>
        <v>0</v>
      </c>
      <c r="K54" s="21">
        <f t="shared" si="3"/>
        <v>0</v>
      </c>
      <c r="L54" s="21">
        <f t="shared" si="3"/>
        <v>0</v>
      </c>
      <c r="M54" s="21">
        <f t="shared" si="3"/>
        <v>33.626289136087621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0.1880382437041202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289.45411866231478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2116.6215540267867</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2084.1333641300362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4200.7549181568229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2019-08-12T08:23:16Z</dcterms:modified>
</cp:coreProperties>
</file>