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M88" i="14" s="1"/>
  <c r="M18" i="59" s="1"/>
  <c r="G18" i="18"/>
  <c r="F18"/>
  <c r="F20" s="1"/>
  <c r="E18"/>
  <c r="F88" i="14" s="1"/>
  <c r="F18" i="59" s="1"/>
  <c r="D18" i="18"/>
  <c r="C18"/>
  <c r="B18"/>
  <c r="L9"/>
  <c r="O77" i="14" s="1"/>
  <c r="K9" i="18"/>
  <c r="N77" i="14" s="1"/>
  <c r="N9" i="59" s="1"/>
  <c r="I9" i="18"/>
  <c r="I77" i="14" s="1"/>
  <c r="I9" i="59" s="1"/>
  <c r="G9" i="18"/>
  <c r="F9"/>
  <c r="D9"/>
  <c r="D10" s="1"/>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D20"/>
  <c r="G12"/>
  <c r="F12"/>
  <c r="E12"/>
  <c r="D12"/>
  <c r="C12"/>
  <c r="K10"/>
  <c r="G10"/>
  <c r="F10"/>
  <c r="B6"/>
  <c r="B74" i="14" s="1"/>
  <c r="B6" i="59" s="1"/>
  <c r="B5" i="18"/>
  <c r="B73" i="14" s="1"/>
  <c r="B5" i="59" s="1"/>
  <c r="B4" i="18"/>
  <c r="N6" i="17"/>
  <c r="L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P31"/>
  <c r="Q12"/>
  <c r="O29"/>
  <c r="P28"/>
  <c r="O28"/>
  <c r="M89" i="14"/>
  <c r="M19" i="59" s="1"/>
  <c r="L89" i="14"/>
  <c r="L19" i="59" s="1"/>
  <c r="K89" i="14"/>
  <c r="K19" i="59" s="1"/>
  <c r="J89" i="14"/>
  <c r="J19" i="59" s="1"/>
  <c r="G89" i="14"/>
  <c r="G19" i="59" s="1"/>
  <c r="O88" i="14"/>
  <c r="O18" i="59" s="1"/>
  <c r="N88" i="14"/>
  <c r="N18" i="59" s="1"/>
  <c r="I88" i="14"/>
  <c r="I18" i="59" s="1"/>
  <c r="H88" i="14"/>
  <c r="E88"/>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Q54"/>
  <c r="Q56" s="1"/>
  <c r="P54"/>
  <c r="L54"/>
  <c r="J54"/>
  <c r="J56" s="1"/>
  <c r="I54"/>
  <c r="H54"/>
  <c r="Q24"/>
  <c r="P24"/>
  <c r="N24"/>
  <c r="L24"/>
  <c r="J24"/>
  <c r="J26" s="1"/>
  <c r="I24"/>
  <c r="I26" s="1"/>
  <c r="H24"/>
  <c r="H26" s="1"/>
  <c r="Q50"/>
  <c r="P50"/>
  <c r="O50"/>
  <c r="M50"/>
  <c r="L50"/>
  <c r="K50"/>
  <c r="J50"/>
  <c r="G50"/>
  <c r="D50"/>
  <c r="Q49"/>
  <c r="P49"/>
  <c r="Q20"/>
  <c r="P20"/>
  <c r="O20"/>
  <c r="O22" s="1"/>
  <c r="M20"/>
  <c r="L20"/>
  <c r="K20"/>
  <c r="J20"/>
  <c r="G20"/>
  <c r="D20"/>
  <c r="Q19"/>
  <c r="P19"/>
  <c r="O19"/>
  <c r="M19"/>
  <c r="L19"/>
  <c r="K19"/>
  <c r="J19"/>
  <c r="I19"/>
  <c r="G19"/>
  <c r="G22" s="1"/>
  <c r="F19"/>
  <c r="E19"/>
  <c r="D19"/>
  <c r="Q48"/>
  <c r="P48"/>
  <c r="P52" s="1"/>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H56"/>
  <c r="I56"/>
  <c r="Q52"/>
  <c r="R44"/>
  <c r="E25"/>
  <c r="E55" s="1"/>
  <c r="C25"/>
  <c r="B14" i="48" s="1"/>
  <c r="Q26" i="14"/>
  <c r="P26"/>
  <c r="N26"/>
  <c r="L26"/>
  <c r="L22"/>
  <c r="D22"/>
  <c r="P22"/>
  <c r="M22"/>
  <c r="R12"/>
  <c r="O78" l="1"/>
  <c r="O9" i="59"/>
  <c r="O10" s="1"/>
  <c r="N19"/>
  <c r="N20" s="1"/>
  <c r="N90" i="14"/>
  <c r="L18" i="59"/>
  <c r="L20" s="1"/>
  <c r="L90" i="14"/>
  <c r="K18" i="59"/>
  <c r="K20" s="1"/>
  <c r="K90" i="14"/>
  <c r="L78"/>
  <c r="L8" i="59"/>
  <c r="L10" s="1"/>
  <c r="H90" i="14"/>
  <c r="H18" i="59"/>
  <c r="H78" i="14"/>
  <c r="H8" i="59"/>
  <c r="K10"/>
  <c r="H20"/>
  <c r="C98" i="18"/>
  <c r="C101" s="1"/>
  <c r="O90" i="14"/>
  <c r="H10" i="59"/>
  <c r="P29" i="48"/>
  <c r="B10" i="18"/>
  <c r="L10"/>
  <c r="E20" i="59"/>
  <c r="E10"/>
  <c r="E77" i="14"/>
  <c r="E9" i="59" s="1"/>
  <c r="B17" i="18"/>
  <c r="B20" s="1"/>
  <c r="P25" i="48"/>
  <c r="R25" i="14"/>
  <c r="F13" i="15"/>
  <c r="G78" i="14"/>
  <c r="N10" i="59"/>
  <c r="B8" i="18"/>
  <c r="O19"/>
  <c r="L13" i="15"/>
  <c r="N13"/>
  <c r="Q77" i="14"/>
  <c r="P9" i="59" s="1"/>
  <c r="O9" i="18"/>
  <c r="O18"/>
  <c r="G88" i="14"/>
  <c r="F89"/>
  <c r="I101" i="18"/>
  <c r="H8" s="1"/>
  <c r="E101"/>
  <c r="E8" s="1"/>
  <c r="H101"/>
  <c r="F101"/>
  <c r="B101"/>
  <c r="C8" s="1"/>
  <c r="I102"/>
  <c r="H17" s="1"/>
  <c r="E102"/>
  <c r="E17" s="1"/>
  <c r="H102"/>
  <c r="D102"/>
  <c r="G102"/>
  <c r="C102"/>
  <c r="F102"/>
  <c r="B102"/>
  <c r="C17" s="1"/>
  <c r="B77" i="14"/>
  <c r="B9" i="59" s="1"/>
  <c r="Q14" i="48"/>
  <c r="O24"/>
  <c r="O30"/>
  <c r="P24"/>
  <c r="P30"/>
  <c r="E78" i="14"/>
  <c r="E90"/>
  <c r="N78"/>
  <c r="G90" l="1"/>
  <c r="G18" i="59"/>
  <c r="G20" s="1"/>
  <c r="C89" i="14"/>
  <c r="C19" i="59" s="1"/>
  <c r="F19"/>
  <c r="Q88" i="14"/>
  <c r="P18" i="59" s="1"/>
  <c r="B88" i="14"/>
  <c r="B18" i="59" s="1"/>
  <c r="C77" i="14"/>
  <c r="C9" i="59" s="1"/>
  <c r="D101" i="18"/>
  <c r="C88" i="14"/>
  <c r="C18" i="59" s="1"/>
  <c r="G101" i="18"/>
  <c r="B89" i="14"/>
  <c r="B19"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G5" i="48" l="1"/>
  <c r="H10" i="14"/>
  <c r="H16" s="1"/>
  <c r="M90"/>
  <c r="M17" i="59"/>
  <c r="M20" s="1"/>
  <c r="M78" i="14"/>
  <c r="M8" i="59"/>
  <c r="M10" s="1"/>
  <c r="F90" i="14"/>
  <c r="F17" i="59"/>
  <c r="F20" s="1"/>
  <c r="H5" i="48"/>
  <c r="I10" i="14"/>
  <c r="I16" s="1"/>
  <c r="O17" i="18"/>
  <c r="O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9"/>
  <c r="I26"/>
  <c r="I22"/>
  <c r="I30"/>
  <c r="I25"/>
  <c r="I28"/>
  <c r="I24"/>
  <c r="D4"/>
  <c r="D22" s="1"/>
  <c r="E11" i="14"/>
  <c r="H32" i="48"/>
  <c r="H25"/>
  <c r="H29"/>
  <c r="H28"/>
  <c r="H26"/>
  <c r="H22"/>
  <c r="H30"/>
  <c r="H24"/>
  <c r="H23"/>
  <c r="C4"/>
  <c r="D11" i="14"/>
  <c r="G32" i="48"/>
  <c r="G25"/>
  <c r="G29"/>
  <c r="G26"/>
  <c r="G24"/>
  <c r="G22"/>
  <c r="G30"/>
  <c r="G23"/>
  <c r="B4"/>
  <c r="C11" i="14"/>
  <c r="F32" i="48"/>
  <c r="F27"/>
  <c r="F28"/>
  <c r="F30"/>
  <c r="F31"/>
  <c r="F24"/>
  <c r="F29"/>
  <c r="N32"/>
  <c r="N27"/>
  <c r="N24"/>
  <c r="N31"/>
  <c r="N29"/>
  <c r="N28"/>
  <c r="N30"/>
  <c r="B10"/>
  <c r="C19" i="14"/>
  <c r="E28" i="48"/>
  <c r="E32"/>
  <c r="E24"/>
  <c r="E29"/>
  <c r="E30"/>
  <c r="E31"/>
  <c r="M32"/>
  <c r="M29"/>
  <c r="M25"/>
  <c r="M26"/>
  <c r="M22"/>
  <c r="M30"/>
  <c r="M24"/>
  <c r="M23"/>
  <c r="L10" i="14"/>
  <c r="L16" s="1"/>
  <c r="L27" s="1"/>
  <c r="K5" i="48"/>
  <c r="D28"/>
  <c r="D30"/>
  <c r="D29"/>
  <c r="D32"/>
  <c r="D31"/>
  <c r="D24"/>
  <c r="L28"/>
  <c r="L32"/>
  <c r="L31"/>
  <c r="L22"/>
  <c r="L27"/>
  <c r="L30"/>
  <c r="L29"/>
  <c r="L24"/>
  <c r="P5"/>
  <c r="P23" s="1"/>
  <c r="Q10" i="14"/>
  <c r="K28" i="48"/>
  <c r="K27"/>
  <c r="K32"/>
  <c r="K31"/>
  <c r="K25"/>
  <c r="K24"/>
  <c r="K22"/>
  <c r="K29"/>
  <c r="K30"/>
  <c r="K26"/>
  <c r="C24" i="14"/>
  <c r="C26" s="1"/>
  <c r="B7" i="48"/>
  <c r="J28"/>
  <c r="J27"/>
  <c r="J32"/>
  <c r="J31"/>
  <c r="J29"/>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15" i="48"/>
  <c r="K23"/>
  <c r="C22" i="14"/>
  <c r="P8" i="48"/>
  <c r="P26" s="1"/>
  <c r="Q13" i="14"/>
  <c r="Q16" s="1"/>
  <c r="Q27" s="1"/>
  <c r="Q63" s="1"/>
  <c r="F20"/>
  <c r="F22" s="1"/>
  <c r="E9" i="48"/>
  <c r="E27" s="1"/>
  <c r="E20" i="14"/>
  <c r="E22" s="1"/>
  <c r="D9" i="48"/>
  <c r="D27" s="1"/>
  <c r="O5"/>
  <c r="O23" s="1"/>
  <c r="P10" i="14"/>
  <c r="J7" i="48"/>
  <c r="J25" s="1"/>
  <c r="K24" i="14"/>
  <c r="K26" s="1"/>
  <c r="P22" i="48"/>
  <c r="C20" i="14"/>
  <c r="B9" i="48"/>
  <c r="J46" i="14"/>
  <c r="J61" s="1"/>
  <c r="K33" i="48"/>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<sst xmlns="http://schemas.openxmlformats.org/spreadsheetml/2006/main" count="2408" uniqueCount="898">
  <si>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</si>
  <si>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</si>
  <si>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</si>
  <si>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</si>
  <si>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</si>
  <si>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</si>
  <si>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</si>
  <si>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</si>
  <si>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</si>
  <si>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</si>
  <si>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</si>
  <si>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</si>
  <si>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</si>
  <si>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</si>
  <si>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</si>
  <si>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</si>
  <si>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</si>
  <si>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</si>
  <si>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</si>
  <si>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</si>
  <si>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</si>
  <si>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</si>
  <si>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</si>
  <si>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</si>
  <si>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</si>
  <si>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</si>
  <si>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</si>
  <si>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</si>
  <si>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</si>
  <si>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</si>
  <si>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</si>
  <si>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</si>
  <si>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</si>
  <si>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</si>
  <si>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</si>
  <si>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</si>
  <si>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</si>
  <si>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</si>
  <si>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</si>
  <si>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</si>
  <si>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</si>
  <si>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</si>
  <si>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</si>
  <si>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</si>
  <si>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</si>
  <si>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</si>
  <si>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</si>
  <si>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</si>
  <si>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</si>
  <si>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</si>
  <si>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</si>
  <si>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</si>
  <si>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</si>
  <si>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</si>
  <si>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</si>
  <si>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</si>
  <si>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</si>
  <si>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</si>
  <si>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</si>
  <si>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</si>
  <si>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</si>
  <si>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</si>
  <si>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</si>
  <si>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</si>
  <si>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</si>
  <si>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</si>
  <si>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</si>
  <si>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</si>
  <si>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</si>
  <si>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</si>
  <si>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</si>
  <si>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</si>
  <si>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</si>
  <si>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</si>
  <si>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</si>
  <si>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</si>
  <si>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</si>
  <si>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</si>
  <si>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</si>
  <si>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</si>
  <si>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</si>
  <si>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</si>
  <si>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</si>
  <si>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</si>
  <si>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</si>
  <si>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</si>
  <si>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</si>
  <si>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</si>
  <si>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</si>
  <si>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</si>
  <si>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</si>
  <si>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</si>
  <si>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</si>
  <si>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</si>
  <si>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</si>
  <si>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</si>
  <si>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</si>
  <si>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</si>
  <si>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</si>
  <si>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</si>
  <si>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</si>
  <si>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</si>
  <si>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</si>
  <si>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</si>
  <si>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</si>
  <si>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</si>
  <si>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</si>
  <si>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</si>
  <si>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</si>
  <si>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</si>
  <si>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</si>
  <si>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</si>
  <si>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</si>
  <si>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</si>
  <si>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</si>
  <si>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</si>
  <si>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</si>
  <si>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</si>
  <si>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</si>
  <si>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</si>
  <si>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</si>
  <si>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</si>
  <si>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</si>
  <si>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</si>
  <si>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</si>
  <si>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</si>
  <si>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</si>
  <si>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</si>
  <si>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</si>
  <si>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</si>
  <si>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</si>
  <si>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</si>
  <si>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</si>
  <si>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</si>
  <si>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</si>
  <si>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</si>
  <si>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</si>
  <si>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</si>
  <si>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</si>
  <si>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</si>
  <si>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</si>
  <si>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</si>
  <si>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</si>
  <si>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</si>
  <si>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</si>
  <si>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</si>
  <si>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</si>
  <si>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</si>
  <si>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</si>
  <si>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</si>
  <si>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</si>
  <si>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</si>
  <si>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</si>
  <si>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</si>
  <si>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</si>
  <si>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</si>
  <si>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</si>
  <si>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</si>
  <si>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</si>
  <si>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</si>
  <si>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</si>
  <si>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</si>
  <si>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</si>
  <si>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</si>
  <si>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</si>
  <si>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</si>
  <si>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</si>
  <si>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</si>
  <si>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</si>
  <si>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</si>
  <si>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</si>
  <si>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</si>
  <si>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</si>
  <si>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</si>
  <si>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</si>
  <si>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</si>
  <si>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</si>
  <si>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</si>
  <si>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</si>
  <si>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</si>
  <si>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</si>
  <si>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</si>
  <si>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</si>
  <si>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</si>
  <si>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</si>
  <si>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</si>
  <si>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</si>
  <si>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</si>
  <si>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</si>
  <si>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</si>
  <si>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</si>
  <si>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</si>
  <si>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</si>
  <si>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</si>
  <si>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</si>
  <si>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</si>
  <si>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</si>
  <si>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</si>
  <si>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</si>
  <si>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</si>
  <si>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</si>
  <si>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</si>
  <si>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</si>
  <si>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</si>
  <si>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</si>
  <si>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</si>
  <si>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</si>
  <si>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</si>
  <si>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</si>
  <si>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</si>
  <si>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</si>
  <si>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</si>
  <si>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</si>
  <si>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</si>
  <si>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</si>
  <si>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</si>
  <si>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</si>
  <si>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</si>
  <si>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</si>
  <si>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</si>
  <si>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</si>
  <si>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</si>
  <si>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</si>
  <si>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</si>
  <si>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</si>
  <si>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</si>
  <si>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</si>
  <si>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</si>
  <si>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</si>
  <si>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</si>
  <si>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</si>
  <si>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</si>
  <si>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</si>
  <si>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</si>
  <si>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</si>
  <si>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</si>
  <si>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</si>
  <si>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</si>
  <si>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</si>
  <si>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</si>
  <si>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</si>
  <si>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</si>
  <si>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</si>
  <si>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</si>
  <si>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</si>
  <si>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</si>
  <si>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</si>
  <si>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</si>
  <si>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</si>
  <si>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</si>
  <si>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</si>
  <si>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</si>
  <si>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</si>
  <si>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</si>
  <si>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</si>
  <si>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</si>
  <si>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</si>
  <si>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</si>
  <si>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</si>
  <si>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</si>
  <si>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</si>
  <si>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</si>
  <si>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</si>
  <si>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</si>
  <si>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</si>
  <si>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</si>
  <si>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</si>
  <si>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</si>
  <si>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</si>
  <si>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</si>
  <si>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</si>
  <si>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</si>
  <si>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</si>
  <si>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</si>
  <si>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</si>
  <si>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</si>
  <si>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</si>
  <si>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</si>
  <si>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</si>
  <si>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</si>
  <si>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</si>
  <si>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</si>
  <si>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</si>
  <si>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</si>
  <si>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</si>
  <si>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</si>
  <si>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</si>
  <si>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</si>
  <si>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</si>
  <si>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</si>
  <si>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</si>
  <si>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</si>
  <si>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</si>
  <si>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</si>
  <si>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</si>
  <si>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</si>
  <si>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</si>
  <si>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</si>
  <si>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</si>
  <si>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</si>
  <si>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</si>
  <si>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</si>
  <si>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</si>
  <si>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</si>
  <si>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</si>
  <si>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</si>
  <si>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</si>
  <si>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</si>
  <si>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</si>
  <si>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</si>
  <si>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</si>
  <si>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</si>
  <si>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</si>
  <si>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</si>
  <si>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</si>
  <si>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</si>
  <si>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</si>
  <si>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</si>
  <si>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</si>
  <si>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</si>
  <si>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</si>
  <si>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</si>
  <si>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</si>
  <si>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</si>
  <si>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</si>
  <si>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</si>
  <si>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</si>
  <si>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</si>
  <si>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</si>
  <si>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</si>
  <si>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</si>
  <si>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</si>
  <si>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</si>
  <si>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</si>
  <si>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</si>
  <si>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</si>
  <si>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</si>
  <si>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</si>
  <si>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</si>
  <si>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</si>
  <si>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</si>
  <si>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</si>
  <si>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</si>
  <si>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</si>
  <si>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</si>
  <si>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</si>
  <si>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</si>
  <si>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</si>
  <si>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</si>
  <si>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</si>
  <si>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</si>
  <si>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</si>
  <si>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</si>
  <si>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</si>
  <si>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</si>
  <si>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</si>
  <si>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</si>
  <si>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</si>
  <si>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</si>
  <si>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</si>
  <si>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</si>
  <si>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</si>
  <si>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</si>
  <si>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</si>
  <si>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</si>
  <si>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</si>
  <si>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</si>
  <si>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</si>
  <si>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</si>
  <si>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</si>
  <si>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</si>
  <si>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</si>
  <si>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</si>
  <si>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</si>
  <si>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</si>
  <si>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</si>
  <si>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</si>
  <si>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</si>
  <si>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</si>
  <si>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</si>
  <si>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</si>
  <si>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</si>
  <si>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</si>
  <si>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</si>
  <si>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</si>
  <si>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</si>
  <si>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</si>
  <si>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</si>
  <si>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</si>
  <si>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</si>
  <si>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</si>
  <si>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</si>
  <si>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</si>
  <si>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</si>
  <si>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</si>
  <si>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</si>
  <si>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</si>
  <si>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</si>
  <si>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</si>
  <si>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</si>
  <si>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</si>
  <si>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</si>
  <si>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</si>
  <si>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</si>
  <si>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</si>
  <si>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</si>
  <si>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</si>
  <si>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</si>
  <si>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</si>
  <si>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</si>
  <si>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</si>
  <si>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</si>
  <si>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</si>
  <si>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</si>
  <si>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</si>
  <si>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</si>
  <si>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</si>
  <si>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</si>
  <si>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</si>
  <si>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</si>
  <si>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</si>
  <si>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</si>
  <si>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</si>
  <si>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</si>
  <si>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</si>
  <si>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</si>
  <si>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</si>
  <si>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</si>
  <si>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</si>
  <si>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</si>
  <si>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</si>
  <si>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</si>
  <si>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</si>
  <si>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</si>
  <si>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</si>
  <si>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</si>
  <si>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</si>
  <si>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</si>
  <si>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</si>
  <si>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</si>
  <si>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</si>
  <si>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</si>
  <si>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</si>
  <si>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</si>
  <si>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</si>
  <si>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</si>
  <si>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</si>
  <si>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</si>
  <si>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</si>
  <si>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</si>
  <si>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</si>
  <si>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</si>
  <si>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</si>
  <si>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</si>
  <si>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</si>
  <si>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</si>
  <si>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</si>
  <si>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</si>
  <si>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</si>
  <si>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</si>
  <si>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</si>
  <si>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</si>
  <si>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</si>
  <si>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</si>
  <si>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</si>
  <si>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</si>
  <si>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</si>
  <si>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</si>
  <si>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</si>
  <si>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</si>
  <si>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</si>
  <si>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</si>
  <si>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</si>
  <si>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</si>
  <si>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</si>
  <si>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</si>
  <si>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</si>
  <si>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</si>
  <si>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</si>
  <si>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</si>
  <si>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</si>
  <si>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</si>
  <si>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</si>
  <si>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</si>
  <si>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</si>
  <si>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</si>
  <si>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</si>
  <si>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</si>
  <si>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</si>
  <si>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</si>
  <si>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</si>
  <si>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</si>
  <si>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</si>
  <si>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</si>
  <si>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</si>
  <si>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</si>
  <si>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</si>
  <si>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</si>
  <si>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</si>
  <si>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</si>
  <si>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</si>
  <si>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</si>
  <si>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</si>
  <si>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</si>
  <si>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</si>
  <si>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</si>
  <si>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</si>
  <si>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</si>
  <si>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</si>
  <si>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</si>
  <si>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</si>
  <si>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</si>
  <si>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</si>
  <si>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</si>
  <si>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</si>
  <si>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</si>
  <si>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</si>
  <si>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</si>
  <si>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</si>
  <si>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</si>
  <si>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</si>
  <si>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</si>
  <si>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</si>
  <si>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</si>
  <si>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</si>
  <si>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</si>
  <si>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</si>
  <si>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</si>
  <si>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</si>
  <si>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</si>
  <si>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</si>
  <si>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</si>
  <si>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</si>
  <si>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</si>
  <si>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</si>
  <si>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</si>
  <si>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</si>
  <si>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</si>
  <si>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</si>
  <si>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</si>
  <si>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</si>
  <si>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</si>
  <si>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</si>
  <si>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</si>
  <si>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</si>
  <si>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</si>
  <si>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</si>
  <si>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</si>
  <si>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</si>
  <si>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</si>
  <si>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</si>
  <si>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</si>
  <si>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</si>
  <si>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</si>
  <si>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</si>
  <si>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</si>
  <si>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</si>
  <si>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</si>
  <si>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</si>
  <si>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</si>
  <si>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</si>
  <si>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</si>
  <si>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</si>
  <si>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</si>
  <si>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</si>
  <si>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</si>
  <si>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</si>
  <si>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</si>
  <si>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</si>
  <si>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</si>
  <si>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</si>
  <si>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</si>
  <si>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</si>
  <si>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</si>
  <si>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</si>
  <si>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</si>
  <si>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</si>
  <si>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</si>
  <si>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</si>
  <si>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</si>
  <si>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</si>
  <si>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</si>
  <si>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</si>
  <si>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</si>
  <si>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</si>
  <si>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</si>
  <si>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</si>
  <si>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</si>
  <si>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</si>
  <si>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</si>
  <si>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</si>
  <si>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</si>
  <si>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</si>
  <si>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</si>
  <si>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</si>
  <si>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</si>
  <si>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</si>
  <si>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</si>
  <si>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</si>
  <si>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</si>
  <si>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</si>
  <si>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</si>
  <si>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</si>
  <si>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</si>
  <si>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</si>
  <si>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</si>
  <si>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</si>
  <si>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</si>
  <si>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</si>
  <si>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</si>
  <si>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</si>
  <si>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</si>
  <si>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</si>
  <si>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</si>
  <si>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</si>
  <si>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</si>
  <si>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</si>
  <si>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</si>
  <si>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</si>
  <si>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</si>
  <si>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</si>
  <si>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</si>
  <si>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</si>
  <si>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</si>
  <si>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</si>
  <si>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</si>
  <si>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</si>
  <si>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</si>
  <si>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</si>
  <si>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</si>
  <si>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</si>
  <si>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</si>
  <si>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</si>
  <si>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</si>
  <si>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</si>
  <si>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</si>
  <si>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</si>
  <si>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</si>
  <si>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</si>
  <si>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</si>
  <si>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</si>
  <si>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</si>
  <si>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</si>
  <si>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</si>
  <si>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</si>
  <si>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</si>
  <si>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</si>
  <si>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</si>
  <si>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</si>
  <si>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</si>
  <si>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</si>
  <si>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</si>
  <si>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</si>
  <si>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</si>
  <si>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</si>
  <si>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</si>
  <si>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</si>
  <si>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</si>
  <si>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</si>
  <si>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</si>
  <si>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</si>
  <si>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</si>
  <si>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</si>
  <si>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</si>
  <si>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</si>
  <si>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</si>
  <si>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</si>
  <si>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</si>
  <si>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</si>
  <si>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</si>
  <si>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</si>
  <si>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</si>
  <si>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</si>
  <si>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</si>
  <si>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</si>
  <si>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</si>
  <si>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</si>
  <si>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</si>
  <si>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</si>
  <si>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</si>
  <si>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</si>
  <si>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</si>
  <si>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</si>
  <si>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</si>
  <si>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</si>
  <si>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</si>
  <si>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</si>
  <si>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</si>
  <si>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</si>
  <si>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</si>
  <si>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</si>
  <si>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</si>
  <si>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</si>
  <si>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</si>
  <si>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</si>
  <si>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</si>
  <si>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</si>
  <si>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</si>
  <si>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</si>
  <si>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</si>
  <si>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</si>
  <si>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</si>
  <si>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</si>
  <si>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</si>
  <si>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</si>
  <si>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</si>
  <si>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</si>
  <si>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</si>
  <si>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</si>
  <si>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</si>
  <si>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</si>
  <si>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</si>
  <si>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</si>
  <si>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</si>
  <si>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</si>
  <si>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</si>
  <si>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</si>
  <si>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</si>
  <si>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</si>
  <si>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</si>
  <si>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</si>
  <si>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</si>
  <si>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</si>
  <si>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</si>
  <si>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</si>
  <si>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</si>
  <si>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</si>
  <si>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</si>
  <si>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</si>
  <si>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</si>
  <si>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</si>
  <si>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</si>
  <si>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</si>
  <si>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</si>
  <si>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</si>
  <si>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</si>
  <si>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</si>
  <si>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</si>
  <si>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</si>
  <si>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</si>
  <si>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</si>
  <si>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</si>
  <si>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</si>
  <si>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</si>
  <si>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</si>
  <si>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</si>
  <si>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</si>
  <si>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</si>
  <si>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</si>
  <si>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</si>
  <si>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</si>
  <si>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</si>
  <si>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</si>
  <si>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</si>
  <si>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</si>
  <si>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</si>
  <si>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</si>
  <si>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</si>
  <si>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</si>
  <si>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</si>
  <si>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</si>
  <si>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</si>
  <si>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</si>
  <si>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</si>
  <si>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</si>
  <si>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</si>
  <si>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</si>
  <si>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</si>
  <si>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</si>
  <si>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</si>
  <si>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</si>
  <si>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</si>
  <si>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</si>
  <si>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</si>
  <si>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</si>
  <si>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</si>
  <si>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</si>
  <si>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</si>
  <si>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</si>
  <si>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</si>
  <si>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</si>
  <si>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</si>
  <si>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</si>
  <si>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</si>
  <si>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</si>
  <si>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</si>
  <si>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</si>
  <si>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</si>
  <si>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</si>
  <si>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</si>
  <si>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</si>
  <si>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</si>
  <si>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</si>
  <si>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</si>
  <si>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</si>
  <si>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</si>
  <si>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</si>
  <si>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</si>
  <si>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</si>
  <si>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</si>
  <si>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</si>
  <si>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</si>
  <si>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</si>
  <si>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</si>
  <si>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</si>
  <si>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</si>
  <si>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</si>
  <si>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</si>
  <si>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</si>
  <si>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</si>
  <si>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</si>
  <si>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</si>
  <si>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</si>
  <si>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</si>
  <si>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</si>
  <si>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</si>
  <si>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</si>
  <si>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</si>
  <si>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</si>
  <si>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</si>
  <si>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</si>
  <si>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</si>
  <si>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</si>
  <si>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</si>
  <si>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</si>
  <si>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</si>
  <si>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</si>
  <si>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</si>
  <si>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</si>
  <si>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</si>
  <si>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</si>
  <si>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</si>
  <si>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</si>
  <si>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</si>
  <si>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</si>
  <si>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</si>
  <si>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</si>
  <si>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</si>
  <si>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</si>
  <si>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</si>
  <si>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</si>
  <si>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</si>
  <si>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</si>
  <si>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</si>
  <si>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</si>
  <si>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</si>
  <si>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</si>
  <si>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</si>
  <si>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</si>
  <si>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</si>
  <si>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</si>
  <si>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</si>
  <si>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</si>
  <si>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</si>
  <si>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</si>
  <si>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</si>
  <si>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</si>
  <si>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</si>
  <si>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</si>
  <si>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</si>
  <si>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</si>
  <si>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</si>
  <si>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</si>
  <si>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</si>
  <si>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</si>
  <si>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</si>
  <si>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</si>
  <si>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</si>
  <si>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</si>
  <si>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</si>
  <si>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</si>
  <si>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</si>
  <si>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</si>
  <si>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</si>
  <si>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</si>
  <si>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</si>
  <si>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</si>
  <si>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</si>
  <si>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</si>
  <si>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</si>
  <si>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</si>
  <si>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</si>
  <si>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23027</t>
  </si>
  <si>
    <t>HALLE</t>
  </si>
  <si>
    <t>Paarden&amp;pony's 200 - 600 kg</t>
  </si>
  <si>
    <t>Paarden&amp;pony's &lt; 200 kg</t>
  </si>
  <si>
    <t>referentietaak LNE (2017); Jaarverslag De Lijn (2015)</t>
  </si>
  <si>
    <t>op basis van VEA (maart 2018) en Inventaris Hernieuwbare Energiebronnen (juni 2018)</t>
  </si>
  <si>
    <t>VEA (januari 2017)</t>
  </si>
  <si>
    <t>VEA (juni 2018)</t>
  </si>
  <si>
    <t>GSL BVBA</t>
  </si>
  <si>
    <t>Scheyssingen 17 , 1500 Halle</t>
  </si>
  <si>
    <t>WKK-0209 GSL</t>
  </si>
  <si>
    <t>interne verbrandingsmotor</t>
  </si>
  <si>
    <t>WKK interne verbrandinsgmotor (gas)</t>
  </si>
  <si>
    <t>IVERLEK</t>
  </si>
  <si>
    <t>WKK-0676 Eoly</t>
  </si>
  <si>
    <t>Zinkstraat 1 , 1500 Halle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</si>
</sst>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248800.43170999881</c:v>
                </c:pt>
                <c:pt idx="1">
                  <c:v>189742.93206554203</c:v>
                </c:pt>
                <c:pt idx="2">
                  <c:v>2892.1010000000001</c:v>
                </c:pt>
                <c:pt idx="3">
                  <c:v>13335.715949464671</c:v>
                </c:pt>
                <c:pt idx="4">
                  <c:v>143655.98285149518</c:v>
                </c:pt>
                <c:pt idx="5">
                  <c:v>559652.31111274066</c:v>
                </c:pt>
                <c:pt idx="6">
                  <c:v>4021.5446580290859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248800.43170999881</c:v>
                </c:pt>
                <c:pt idx="1">
                  <c:v>189742.93206554203</c:v>
                </c:pt>
                <c:pt idx="2">
                  <c:v>2892.1010000000001</c:v>
                </c:pt>
                <c:pt idx="3">
                  <c:v>13335.715949464671</c:v>
                </c:pt>
                <c:pt idx="4">
                  <c:v>143655.98285149518</c:v>
                </c:pt>
                <c:pt idx="5">
                  <c:v>559652.31111274066</c:v>
                </c:pt>
                <c:pt idx="6">
                  <c:v>4021.5446580290859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46604.694718334198</c:v>
                </c:pt>
                <c:pt idx="2">
                  <c:v>38768.13391520374</c:v>
                </c:pt>
                <c:pt idx="3">
                  <c:v>577.08997920086108</c:v>
                </c:pt>
                <c:pt idx="4">
                  <c:v>1686.5415510666544</c:v>
                </c:pt>
                <c:pt idx="5">
                  <c:v>28097.497167096488</c:v>
                </c:pt>
                <c:pt idx="6">
                  <c:v>143103.37053611616</c:v>
                </c:pt>
                <c:pt idx="7">
                  <c:v>1041.449005455594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962624"/>
        <c:axId val="184034048"/>
      </c:barChart>
      <c:catAx>
        <c:axId val="183962624"/>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96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46604.694718334198</c:v>
                </c:pt>
                <c:pt idx="2">
                  <c:v>38768.13391520374</c:v>
                </c:pt>
                <c:pt idx="3">
                  <c:v>577.08997920086108</c:v>
                </c:pt>
                <c:pt idx="4">
                  <c:v>1686.5415510666544</c:v>
                </c:pt>
                <c:pt idx="5">
                  <c:v>28097.497167096488</c:v>
                </c:pt>
                <c:pt idx="6">
                  <c:v>143103.37053611616</c:v>
                </c:pt>
                <c:pt idx="7">
                  <c:v>1041.449005455594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23027</v>
      </c>
      <c r="B6" s="415"/>
      <c r="C6" s="416"/>
    </row>
    <row r="7" spans="1:7" s="413" customFormat="1" ht="15.75" customHeight="1">
      <c r="A7" s="417" t="str">
        <f>txtMunicipality</f>
        <v>HALLE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0.19954005036506714</v>
      </c>
      <c r="C17" s="524">
        <f ca="1">'EF ele_warmte'!B22</f>
        <v>3.9029786679127591E-2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0.19954005036506714</v>
      </c>
      <c r="C29" s="525">
        <f ca="1">'EF ele_warmte'!B22</f>
        <v>3.9029786679127591E-2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16000</v>
      </c>
      <c r="C9" s="342">
        <v>16341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1645.74</v>
      </c>
    </row>
    <row r="15" spans="1:6">
      <c r="A15" s="348" t="s">
        <v>184</v>
      </c>
      <c r="B15" s="334">
        <v>3</v>
      </c>
    </row>
    <row r="16" spans="1:6">
      <c r="A16" s="348" t="s">
        <v>6</v>
      </c>
      <c r="B16" s="334">
        <v>250</v>
      </c>
    </row>
    <row r="17" spans="1:6">
      <c r="A17" s="348" t="s">
        <v>7</v>
      </c>
      <c r="B17" s="334">
        <v>232</v>
      </c>
    </row>
    <row r="18" spans="1:6">
      <c r="A18" s="348" t="s">
        <v>8</v>
      </c>
      <c r="B18" s="334">
        <v>299</v>
      </c>
    </row>
    <row r="19" spans="1:6">
      <c r="A19" s="348" t="s">
        <v>9</v>
      </c>
      <c r="B19" s="334">
        <v>240</v>
      </c>
    </row>
    <row r="20" spans="1:6">
      <c r="A20" s="348" t="s">
        <v>10</v>
      </c>
      <c r="B20" s="334">
        <v>262</v>
      </c>
    </row>
    <row r="21" spans="1:6">
      <c r="A21" s="348" t="s">
        <v>11</v>
      </c>
      <c r="B21" s="334">
        <v>705</v>
      </c>
    </row>
    <row r="22" spans="1:6">
      <c r="A22" s="348" t="s">
        <v>12</v>
      </c>
      <c r="B22" s="334">
        <v>1868</v>
      </c>
    </row>
    <row r="23" spans="1:6">
      <c r="A23" s="348" t="s">
        <v>13</v>
      </c>
      <c r="B23" s="334">
        <v>36</v>
      </c>
    </row>
    <row r="24" spans="1:6">
      <c r="A24" s="348" t="s">
        <v>14</v>
      </c>
      <c r="B24" s="334">
        <v>2</v>
      </c>
    </row>
    <row r="25" spans="1:6">
      <c r="A25" s="348" t="s">
        <v>15</v>
      </c>
      <c r="B25" s="334">
        <v>175</v>
      </c>
    </row>
    <row r="26" spans="1:6">
      <c r="A26" s="348" t="s">
        <v>16</v>
      </c>
      <c r="B26" s="334">
        <v>158</v>
      </c>
    </row>
    <row r="27" spans="1:6">
      <c r="A27" s="348" t="s">
        <v>17</v>
      </c>
      <c r="B27" s="334">
        <v>1</v>
      </c>
    </row>
    <row r="28" spans="1:6" s="356" customFormat="1">
      <c r="A28" s="355" t="s">
        <v>18</v>
      </c>
      <c r="B28" s="355">
        <v>516</v>
      </c>
    </row>
    <row r="29" spans="1:6">
      <c r="A29" s="355" t="s">
        <v>884</v>
      </c>
      <c r="B29" s="355">
        <v>171</v>
      </c>
      <c r="C29" s="356"/>
      <c r="D29" s="356"/>
      <c r="E29" s="356"/>
      <c r="F29" s="356"/>
    </row>
    <row r="30" spans="1:6">
      <c r="A30" s="355" t="s">
        <v>885</v>
      </c>
      <c r="B30" s="341">
        <v>22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2432422.7884</v>
      </c>
      <c r="E36" s="334">
        <v>7</v>
      </c>
      <c r="F36" s="334">
        <v>28095.938232</v>
      </c>
    </row>
    <row r="37" spans="1:6">
      <c r="A37" s="348" t="s">
        <v>25</v>
      </c>
      <c r="B37" s="348" t="s">
        <v>28</v>
      </c>
      <c r="C37" s="334">
        <v>0</v>
      </c>
      <c r="D37" s="334">
        <v>0</v>
      </c>
      <c r="E37" s="334">
        <v>0</v>
      </c>
      <c r="F37" s="334">
        <v>0</v>
      </c>
    </row>
    <row r="38" spans="1:6">
      <c r="A38" s="348" t="s">
        <v>25</v>
      </c>
      <c r="B38" s="348" t="s">
        <v>29</v>
      </c>
      <c r="C38" s="334">
        <v>2</v>
      </c>
      <c r="D38" s="334">
        <v>20493.482317000002</v>
      </c>
      <c r="E38" s="334">
        <v>5</v>
      </c>
      <c r="F38" s="334">
        <v>22138.394091999999</v>
      </c>
    </row>
    <row r="39" spans="1:6">
      <c r="A39" s="348" t="s">
        <v>30</v>
      </c>
      <c r="B39" s="348" t="s">
        <v>31</v>
      </c>
      <c r="C39" s="334">
        <v>12130</v>
      </c>
      <c r="D39" s="334">
        <v>182775682.55000001</v>
      </c>
      <c r="E39" s="334">
        <v>16255</v>
      </c>
      <c r="F39" s="334">
        <v>58199663.248000003</v>
      </c>
    </row>
    <row r="40" spans="1:6">
      <c r="A40" s="348" t="s">
        <v>30</v>
      </c>
      <c r="B40" s="348" t="s">
        <v>29</v>
      </c>
      <c r="C40" s="334">
        <v>0</v>
      </c>
      <c r="D40" s="334">
        <v>0</v>
      </c>
      <c r="E40" s="334">
        <v>0</v>
      </c>
      <c r="F40" s="334">
        <v>0</v>
      </c>
    </row>
    <row r="41" spans="1:6">
      <c r="A41" s="348" t="s">
        <v>32</v>
      </c>
      <c r="B41" s="348" t="s">
        <v>33</v>
      </c>
      <c r="C41" s="334">
        <v>92</v>
      </c>
      <c r="D41" s="334">
        <v>1757172.2949000001</v>
      </c>
      <c r="E41" s="334">
        <v>191</v>
      </c>
      <c r="F41" s="334">
        <v>26715414.839000002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712655.80558000004</v>
      </c>
      <c r="E44" s="334">
        <v>13</v>
      </c>
      <c r="F44" s="334">
        <v>644838.07013999997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37667.913849999997</v>
      </c>
      <c r="E47" s="334">
        <v>3</v>
      </c>
      <c r="F47" s="334">
        <v>20877.580571999999</v>
      </c>
    </row>
    <row r="48" spans="1:6">
      <c r="A48" s="348" t="s">
        <v>32</v>
      </c>
      <c r="B48" s="348" t="s">
        <v>29</v>
      </c>
      <c r="C48" s="334">
        <v>54</v>
      </c>
      <c r="D48" s="334">
        <v>32044655.068999998</v>
      </c>
      <c r="E48" s="334">
        <v>79</v>
      </c>
      <c r="F48" s="334">
        <v>31050162.903999999</v>
      </c>
    </row>
    <row r="49" spans="1:6">
      <c r="A49" s="348" t="s">
        <v>32</v>
      </c>
      <c r="B49" s="348" t="s">
        <v>40</v>
      </c>
      <c r="C49" s="334">
        <v>0</v>
      </c>
      <c r="D49" s="334">
        <v>0</v>
      </c>
      <c r="E49" s="334">
        <v>3</v>
      </c>
      <c r="F49" s="334">
        <v>6071.0990510000001</v>
      </c>
    </row>
    <row r="50" spans="1:6">
      <c r="A50" s="348" t="s">
        <v>32</v>
      </c>
      <c r="B50" s="348" t="s">
        <v>41</v>
      </c>
      <c r="C50" s="334">
        <v>5</v>
      </c>
      <c r="D50" s="334">
        <v>111322.01445</v>
      </c>
      <c r="E50" s="334">
        <v>7</v>
      </c>
      <c r="F50" s="334">
        <v>274065.40876000002</v>
      </c>
    </row>
    <row r="51" spans="1:6">
      <c r="A51" s="348" t="s">
        <v>42</v>
      </c>
      <c r="B51" s="348" t="s">
        <v>43</v>
      </c>
      <c r="C51" s="334">
        <v>14</v>
      </c>
      <c r="D51" s="334">
        <v>239569.55841</v>
      </c>
      <c r="E51" s="334">
        <v>41</v>
      </c>
      <c r="F51" s="334">
        <v>270353.46143999998</v>
      </c>
    </row>
    <row r="52" spans="1:6">
      <c r="A52" s="348" t="s">
        <v>42</v>
      </c>
      <c r="B52" s="348" t="s">
        <v>29</v>
      </c>
      <c r="C52" s="334">
        <v>8</v>
      </c>
      <c r="D52" s="334">
        <v>2796467.0188000002</v>
      </c>
      <c r="E52" s="334">
        <v>14</v>
      </c>
      <c r="F52" s="334">
        <v>419084.50027000002</v>
      </c>
    </row>
    <row r="53" spans="1:6">
      <c r="A53" s="348" t="s">
        <v>44</v>
      </c>
      <c r="B53" s="348" t="s">
        <v>45</v>
      </c>
      <c r="C53" s="334">
        <v>363</v>
      </c>
      <c r="D53" s="334">
        <v>5817103.5232999995</v>
      </c>
      <c r="E53" s="334">
        <v>615</v>
      </c>
      <c r="F53" s="334">
        <v>2018313.3299</v>
      </c>
    </row>
    <row r="54" spans="1:6">
      <c r="A54" s="348" t="s">
        <v>46</v>
      </c>
      <c r="B54" s="348" t="s">
        <v>47</v>
      </c>
      <c r="C54" s="334">
        <v>0</v>
      </c>
      <c r="D54" s="334">
        <v>0</v>
      </c>
      <c r="E54" s="334">
        <v>1</v>
      </c>
      <c r="F54" s="334">
        <v>2892101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77</v>
      </c>
      <c r="D57" s="334">
        <v>4014481.7469000001</v>
      </c>
      <c r="E57" s="334">
        <v>155</v>
      </c>
      <c r="F57" s="334">
        <v>2274050.6139000002</v>
      </c>
    </row>
    <row r="58" spans="1:6">
      <c r="A58" s="348" t="s">
        <v>49</v>
      </c>
      <c r="B58" s="348" t="s">
        <v>51</v>
      </c>
      <c r="C58" s="334">
        <v>62</v>
      </c>
      <c r="D58" s="334">
        <v>2075909.6961999999</v>
      </c>
      <c r="E58" s="334">
        <v>74</v>
      </c>
      <c r="F58" s="334">
        <v>798908.05454000004</v>
      </c>
    </row>
    <row r="59" spans="1:6">
      <c r="A59" s="348" t="s">
        <v>49</v>
      </c>
      <c r="B59" s="348" t="s">
        <v>52</v>
      </c>
      <c r="C59" s="334">
        <v>209</v>
      </c>
      <c r="D59" s="334">
        <v>37942474.218999997</v>
      </c>
      <c r="E59" s="334">
        <v>388</v>
      </c>
      <c r="F59" s="334">
        <v>11396447.949999999</v>
      </c>
    </row>
    <row r="60" spans="1:6">
      <c r="A60" s="348" t="s">
        <v>49</v>
      </c>
      <c r="B60" s="348" t="s">
        <v>53</v>
      </c>
      <c r="C60" s="334">
        <v>157</v>
      </c>
      <c r="D60" s="334">
        <v>9401166.9956999999</v>
      </c>
      <c r="E60" s="334">
        <v>264</v>
      </c>
      <c r="F60" s="334">
        <v>4964668.5969000002</v>
      </c>
    </row>
    <row r="61" spans="1:6">
      <c r="A61" s="348" t="s">
        <v>49</v>
      </c>
      <c r="B61" s="348" t="s">
        <v>54</v>
      </c>
      <c r="C61" s="334">
        <v>304</v>
      </c>
      <c r="D61" s="334">
        <v>8709921.6002999991</v>
      </c>
      <c r="E61" s="334">
        <v>640</v>
      </c>
      <c r="F61" s="334">
        <v>51860817.347999997</v>
      </c>
    </row>
    <row r="62" spans="1:6">
      <c r="A62" s="348" t="s">
        <v>49</v>
      </c>
      <c r="B62" s="348" t="s">
        <v>55</v>
      </c>
      <c r="C62" s="334">
        <v>26</v>
      </c>
      <c r="D62" s="334">
        <v>7359050.5861</v>
      </c>
      <c r="E62" s="334">
        <v>30</v>
      </c>
      <c r="F62" s="334">
        <v>2143249.8563000001</v>
      </c>
    </row>
    <row r="63" spans="1:6">
      <c r="A63" s="348" t="s">
        <v>49</v>
      </c>
      <c r="B63" s="348" t="s">
        <v>29</v>
      </c>
      <c r="C63" s="334">
        <v>200</v>
      </c>
      <c r="D63" s="334">
        <v>17594944.067000002</v>
      </c>
      <c r="E63" s="334">
        <v>252</v>
      </c>
      <c r="F63" s="334">
        <v>11573001.736</v>
      </c>
    </row>
    <row r="64" spans="1:6">
      <c r="A64" s="348" t="s">
        <v>56</v>
      </c>
      <c r="B64" s="348" t="s">
        <v>57</v>
      </c>
      <c r="C64" s="334">
        <v>0</v>
      </c>
      <c r="D64" s="334">
        <v>0</v>
      </c>
      <c r="E64" s="334">
        <v>0</v>
      </c>
      <c r="F64" s="334">
        <v>0</v>
      </c>
    </row>
    <row r="65" spans="1:6">
      <c r="A65" s="348" t="s">
        <v>56</v>
      </c>
      <c r="B65" s="348" t="s">
        <v>29</v>
      </c>
      <c r="C65" s="334">
        <v>7</v>
      </c>
      <c r="D65" s="334">
        <v>397264.85807999998</v>
      </c>
      <c r="E65" s="334">
        <v>11</v>
      </c>
      <c r="F65" s="334">
        <v>506145.46904</v>
      </c>
    </row>
    <row r="66" spans="1:6">
      <c r="A66" s="348" t="s">
        <v>56</v>
      </c>
      <c r="B66" s="348" t="s">
        <v>58</v>
      </c>
      <c r="C66" s="334">
        <v>0</v>
      </c>
      <c r="D66" s="334">
        <v>0</v>
      </c>
      <c r="E66" s="334">
        <v>22</v>
      </c>
      <c r="F66" s="334">
        <v>604319</v>
      </c>
    </row>
    <row r="67" spans="1:6">
      <c r="A67" s="355" t="s">
        <v>56</v>
      </c>
      <c r="B67" s="355" t="s">
        <v>59</v>
      </c>
      <c r="C67" s="334">
        <v>0</v>
      </c>
      <c r="D67" s="334">
        <v>0</v>
      </c>
      <c r="E67" s="334">
        <v>0</v>
      </c>
      <c r="F67" s="334">
        <v>0</v>
      </c>
    </row>
    <row r="68" spans="1:6">
      <c r="A68" s="341" t="s">
        <v>56</v>
      </c>
      <c r="B68" s="341" t="s">
        <v>60</v>
      </c>
      <c r="C68" s="334">
        <v>4</v>
      </c>
      <c r="D68" s="334">
        <v>273818.68339999998</v>
      </c>
      <c r="E68" s="334">
        <v>9</v>
      </c>
      <c r="F68" s="334">
        <v>254283.14371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245365517</v>
      </c>
      <c r="E73" s="475">
        <v>232748625.0396001</v>
      </c>
    </row>
    <row r="74" spans="1:6">
      <c r="A74" s="348" t="s">
        <v>64</v>
      </c>
      <c r="B74" s="348" t="s">
        <v>667</v>
      </c>
      <c r="C74" s="1294" t="s">
        <v>669</v>
      </c>
      <c r="D74" s="475">
        <v>17198427.965462651</v>
      </c>
      <c r="E74" s="475">
        <v>15998052.522750031</v>
      </c>
    </row>
    <row r="75" spans="1:6">
      <c r="A75" s="348" t="s">
        <v>65</v>
      </c>
      <c r="B75" s="348" t="s">
        <v>666</v>
      </c>
      <c r="C75" s="1294" t="s">
        <v>670</v>
      </c>
      <c r="D75" s="475">
        <v>156019407</v>
      </c>
      <c r="E75" s="475">
        <v>145198749.90150455</v>
      </c>
    </row>
    <row r="76" spans="1:6">
      <c r="A76" s="348" t="s">
        <v>65</v>
      </c>
      <c r="B76" s="348" t="s">
        <v>667</v>
      </c>
      <c r="C76" s="1294" t="s">
        <v>671</v>
      </c>
      <c r="D76" s="475">
        <v>6419567.9654626502</v>
      </c>
      <c r="E76" s="475">
        <v>5758174.3751059445</v>
      </c>
    </row>
    <row r="77" spans="1:6">
      <c r="A77" s="348" t="s">
        <v>66</v>
      </c>
      <c r="B77" s="348" t="s">
        <v>666</v>
      </c>
      <c r="C77" s="1294" t="s">
        <v>672</v>
      </c>
      <c r="D77" s="475">
        <v>225323659</v>
      </c>
      <c r="E77" s="475">
        <v>238598959.35756874</v>
      </c>
    </row>
    <row r="78" spans="1:6">
      <c r="A78" s="341" t="s">
        <v>66</v>
      </c>
      <c r="B78" s="341" t="s">
        <v>667</v>
      </c>
      <c r="C78" s="341" t="s">
        <v>673</v>
      </c>
      <c r="D78" s="1295">
        <v>20429693</v>
      </c>
      <c r="E78" s="1295">
        <v>20558724.43028523</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1080132.0690746997</v>
      </c>
      <c r="C83" s="475">
        <v>1080132.0690746997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9877.5672521250053</v>
      </c>
    </row>
    <row r="91" spans="1:6">
      <c r="A91" s="348" t="s">
        <v>68</v>
      </c>
      <c r="B91" s="334">
        <v>3186.5390562648386</v>
      </c>
    </row>
    <row r="92" spans="1:6">
      <c r="A92" s="341" t="s">
        <v>69</v>
      </c>
      <c r="B92" s="342">
        <v>2493.7237214811639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8417</v>
      </c>
    </row>
    <row r="98" spans="1:6">
      <c r="A98" s="348" t="s">
        <v>72</v>
      </c>
      <c r="B98" s="334">
        <v>12</v>
      </c>
    </row>
    <row r="99" spans="1:6">
      <c r="A99" s="348" t="s">
        <v>73</v>
      </c>
      <c r="B99" s="334">
        <v>88</v>
      </c>
    </row>
    <row r="100" spans="1:6">
      <c r="A100" s="348" t="s">
        <v>74</v>
      </c>
      <c r="B100" s="334">
        <v>1444</v>
      </c>
    </row>
    <row r="101" spans="1:6">
      <c r="A101" s="348" t="s">
        <v>75</v>
      </c>
      <c r="B101" s="334">
        <v>114</v>
      </c>
    </row>
    <row r="102" spans="1:6">
      <c r="A102" s="348" t="s">
        <v>76</v>
      </c>
      <c r="B102" s="334">
        <v>218</v>
      </c>
    </row>
    <row r="103" spans="1:6">
      <c r="A103" s="348" t="s">
        <v>77</v>
      </c>
      <c r="B103" s="334">
        <v>298</v>
      </c>
    </row>
    <row r="104" spans="1:6">
      <c r="A104" s="348" t="s">
        <v>78</v>
      </c>
      <c r="B104" s="334">
        <v>3161</v>
      </c>
    </row>
    <row r="105" spans="1:6">
      <c r="A105" s="341" t="s">
        <v>79</v>
      </c>
      <c r="B105" s="341">
        <v>7</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20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115</v>
      </c>
    </row>
    <row r="130" spans="1:6">
      <c r="A130" s="348" t="s">
        <v>295</v>
      </c>
      <c r="B130" s="334">
        <v>0</v>
      </c>
    </row>
    <row r="131" spans="1:6">
      <c r="A131" s="348" t="s">
        <v>296</v>
      </c>
      <c r="B131" s="334">
        <v>3</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211855.61356094186</v>
      </c>
      <c r="C3" s="43" t="s">
        <v>170</v>
      </c>
      <c r="D3" s="43"/>
      <c r="E3" s="154"/>
      <c r="F3" s="43"/>
      <c r="G3" s="43"/>
      <c r="H3" s="43"/>
      <c r="I3" s="43"/>
      <c r="J3" s="43"/>
      <c r="K3" s="96"/>
    </row>
    <row r="4" spans="1:11">
      <c r="A4" s="383" t="s">
        <v>171</v>
      </c>
      <c r="B4" s="49">
        <f>IF(ISERROR('SEAP template'!B78+'SEAP template'!C78),0,'SEAP template'!B78+'SEAP template'!C78)</f>
        <v>21647.455029871009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237.67676470588233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0.19954005036506714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339.53823529411767</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8699.4642857142862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3.9029786679127591E-2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2892.1010000000001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2892.1010000000001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0.19954005036506714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577.08997920086108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58199.663248000004</v>
      </c>
      <c r="C5" s="17">
        <f>IF(ISERROR('Eigen informatie GS &amp; warmtenet'!B57),0,'Eigen informatie GS &amp; warmtenet'!B57)</f>
        <v>0</v>
      </c>
      <c r="D5" s="30">
        <f>(SUM(HH_hh_gas_kWh,HH_rest_gas_kWh)/1000)*0.902</f>
        <v>164863.6656601</v>
      </c>
      <c r="E5" s="17">
        <f>B46*B57</f>
        <v>4639.7724911047872</v>
      </c>
      <c r="F5" s="17">
        <f>B51*B62</f>
        <v>0</v>
      </c>
      <c r="G5" s="18"/>
      <c r="H5" s="17"/>
      <c r="I5" s="17"/>
      <c r="J5" s="17">
        <f>B50*B61+C50*C61</f>
        <v>0</v>
      </c>
      <c r="K5" s="17"/>
      <c r="L5" s="17"/>
      <c r="M5" s="17"/>
      <c r="N5" s="17">
        <f>B48*B59+C48*C59</f>
        <v>17070.541254529173</v>
      </c>
      <c r="O5" s="17">
        <f>B69*B70*B71</f>
        <v>211.05</v>
      </c>
      <c r="P5" s="17">
        <f>B77*B78*B79/1000-B77*B78*B79/1000/B80</f>
        <v>629.20000000000005</v>
      </c>
    </row>
    <row r="6" spans="1:16">
      <c r="A6" s="16" t="s">
        <v>624</v>
      </c>
      <c r="B6" s="788">
        <f>kWh_PV_kleiner_dan_10kW</f>
        <v>3186.5390562648386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61386.202304264843</v>
      </c>
      <c r="C8" s="21">
        <f>C5</f>
        <v>0</v>
      </c>
      <c r="D8" s="21">
        <f>D5</f>
        <v>164863.6656601</v>
      </c>
      <c r="E8" s="21">
        <f>E5</f>
        <v>4639.7724911047872</v>
      </c>
      <c r="F8" s="21">
        <f>F5</f>
        <v>0</v>
      </c>
      <c r="G8" s="21"/>
      <c r="H8" s="21"/>
      <c r="I8" s="21"/>
      <c r="J8" s="21">
        <f>J5</f>
        <v>0</v>
      </c>
      <c r="K8" s="21"/>
      <c r="L8" s="21">
        <f>L5</f>
        <v>0</v>
      </c>
      <c r="M8" s="21">
        <f>M5</f>
        <v>0</v>
      </c>
      <c r="N8" s="21">
        <f>N5</f>
        <v>17070.541254529173</v>
      </c>
      <c r="O8" s="21">
        <f>O5</f>
        <v>211.05</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0.19954005036506714</v>
      </c>
      <c r="C10" s="25">
        <f ca="1">'EF ele_warmte'!B22</f>
        <v>3.9029786679127591E-2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12249.005899513208</v>
      </c>
      <c r="C12" s="23">
        <f ca="1">C10*C8</f>
        <v>0</v>
      </c>
      <c r="D12" s="23">
        <f>D8*D10</f>
        <v>33302.460463340205</v>
      </c>
      <c r="E12" s="23">
        <f>E10*E8</f>
        <v>1053.2283554807866</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8417</v>
      </c>
      <c r="C18" s="166" t="s">
        <v>111</v>
      </c>
      <c r="D18" s="228"/>
      <c r="E18" s="15"/>
    </row>
    <row r="19" spans="1:7">
      <c r="A19" s="171" t="s">
        <v>72</v>
      </c>
      <c r="B19" s="37">
        <f>aantalw2001_ander</f>
        <v>12</v>
      </c>
      <c r="C19" s="166" t="s">
        <v>111</v>
      </c>
      <c r="D19" s="229"/>
      <c r="E19" s="15"/>
    </row>
    <row r="20" spans="1:7">
      <c r="A20" s="171" t="s">
        <v>73</v>
      </c>
      <c r="B20" s="37">
        <f>aantalw2001_propaan</f>
        <v>88</v>
      </c>
      <c r="C20" s="167">
        <f>IF(ISERROR(B20/SUM($B$20,$B$21,$B$22)*100),0,B20/SUM($B$20,$B$21,$B$22)*100)</f>
        <v>5.3462940461725399</v>
      </c>
      <c r="D20" s="229"/>
      <c r="E20" s="15"/>
    </row>
    <row r="21" spans="1:7">
      <c r="A21" s="171" t="s">
        <v>74</v>
      </c>
      <c r="B21" s="37">
        <f>aantalw2001_elektriciteit</f>
        <v>1444</v>
      </c>
      <c r="C21" s="167">
        <f>IF(ISERROR(B21/SUM($B$20,$B$21,$B$22)*100),0,B21/SUM($B$20,$B$21,$B$22)*100)</f>
        <v>87.727825030376678</v>
      </c>
      <c r="D21" s="229"/>
      <c r="E21" s="15"/>
    </row>
    <row r="22" spans="1:7">
      <c r="A22" s="171" t="s">
        <v>75</v>
      </c>
      <c r="B22" s="37">
        <f>aantalw2001_hout</f>
        <v>114</v>
      </c>
      <c r="C22" s="167">
        <f>IF(ISERROR(B22/SUM($B$20,$B$21,$B$22)*100),0,B22/SUM($B$20,$B$21,$B$22)*100)</f>
        <v>6.9258809234507908</v>
      </c>
      <c r="D22" s="229"/>
      <c r="E22" s="15"/>
    </row>
    <row r="23" spans="1:7">
      <c r="A23" s="171" t="s">
        <v>76</v>
      </c>
      <c r="B23" s="37">
        <f>aantalw2001_niet_gespec</f>
        <v>218</v>
      </c>
      <c r="C23" s="166" t="s">
        <v>111</v>
      </c>
      <c r="D23" s="228"/>
      <c r="E23" s="15"/>
    </row>
    <row r="24" spans="1:7">
      <c r="A24" s="171" t="s">
        <v>77</v>
      </c>
      <c r="B24" s="37">
        <f>aantalw2001_steenkool</f>
        <v>298</v>
      </c>
      <c r="C24" s="166" t="s">
        <v>111</v>
      </c>
      <c r="D24" s="229"/>
      <c r="E24" s="15"/>
    </row>
    <row r="25" spans="1:7">
      <c r="A25" s="171" t="s">
        <v>78</v>
      </c>
      <c r="B25" s="37">
        <f>aantalw2001_stookolie</f>
        <v>3161</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698</v>
      </c>
      <c r="B28" s="37">
        <f>aantalHuishoudens2011</f>
        <v>16000</v>
      </c>
      <c r="C28" s="36"/>
      <c r="D28" s="228"/>
    </row>
    <row r="29" spans="1:7" s="15" customFormat="1">
      <c r="A29" s="230" t="s">
        <v>699</v>
      </c>
      <c r="B29" s="37">
        <f>SUM(HH_hh_gas_aantal,HH_rest_gas_aantal)</f>
        <v>12130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12130</v>
      </c>
      <c r="C32" s="167">
        <f>IF(ISERROR(B32/SUM($B$32,$B$34,$B$35,$B$36,$B$38,$B$39)*100),0,B32/SUM($B$32,$B$34,$B$35,$B$36,$B$38,$B$39)*100)</f>
        <v>75.969186447047022</v>
      </c>
      <c r="D32" s="233"/>
      <c r="G32" s="15"/>
    </row>
    <row r="33" spans="1:7">
      <c r="A33" s="171" t="s">
        <v>72</v>
      </c>
      <c r="B33" s="34" t="s">
        <v>111</v>
      </c>
      <c r="C33" s="167"/>
      <c r="D33" s="233"/>
      <c r="G33" s="15"/>
    </row>
    <row r="34" spans="1:7">
      <c r="A34" s="171" t="s">
        <v>73</v>
      </c>
      <c r="B34" s="33">
        <f>IF((($B$28-$B$32-$B$39-$B$77-$B$38)*C20/100)&lt;0,0,($B$28-$B$32-$B$39-$B$77-$B$38)*C20/100)</f>
        <v>205.13730255164035</v>
      </c>
      <c r="C34" s="167">
        <f>IF(ISERROR(B34/SUM($B$32,$B$34,$B$35,$B$36,$B$38,$B$39)*100),0,B34/SUM($B$32,$B$34,$B$35,$B$36,$B$38,$B$39)*100)</f>
        <v>1.284757954228348</v>
      </c>
      <c r="D34" s="233"/>
      <c r="G34" s="15"/>
    </row>
    <row r="35" spans="1:7">
      <c r="A35" s="171" t="s">
        <v>74</v>
      </c>
      <c r="B35" s="33">
        <f>IF((($B$28-$B$32-$B$39-$B$77-$B$38)*C21/100)&lt;0,0,($B$28-$B$32-$B$39-$B$77-$B$38)*C21/100)</f>
        <v>3366.1166464155535</v>
      </c>
      <c r="C35" s="167">
        <f>IF(ISERROR(B35/SUM($B$32,$B$34,$B$35,$B$36,$B$38,$B$39)*100),0,B35/SUM($B$32,$B$34,$B$35,$B$36,$B$38,$B$39)*100)</f>
        <v>21.081710067110624</v>
      </c>
      <c r="D35" s="233"/>
      <c r="G35" s="15"/>
    </row>
    <row r="36" spans="1:7">
      <c r="A36" s="171" t="s">
        <v>75</v>
      </c>
      <c r="B36" s="33">
        <f>IF((($B$28-$B$32-$B$39-$B$77-$B$38)*C22/100)&lt;0,0,($B$28-$B$32-$B$39-$B$77-$B$38)*C22/100)</f>
        <v>265.7460510328068</v>
      </c>
      <c r="C36" s="167">
        <f>IF(ISERROR(B36/SUM($B$32,$B$34,$B$35,$B$36,$B$38,$B$39)*100),0,B36/SUM($B$32,$B$34,$B$35,$B$36,$B$38,$B$39)*100)</f>
        <v>1.6643455316139963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12130</v>
      </c>
      <c r="C44" s="34" t="s">
        <v>111</v>
      </c>
      <c r="D44" s="174"/>
    </row>
    <row r="45" spans="1:7">
      <c r="A45" s="171" t="s">
        <v>72</v>
      </c>
      <c r="B45" s="33" t="str">
        <f t="shared" si="0"/>
        <v>-</v>
      </c>
      <c r="C45" s="34" t="s">
        <v>111</v>
      </c>
      <c r="D45" s="174"/>
    </row>
    <row r="46" spans="1:7">
      <c r="A46" s="171" t="s">
        <v>73</v>
      </c>
      <c r="B46" s="33">
        <f t="shared" si="0"/>
        <v>205.13730255164035</v>
      </c>
      <c r="C46" s="34" t="s">
        <v>111</v>
      </c>
      <c r="D46" s="174"/>
    </row>
    <row r="47" spans="1:7">
      <c r="A47" s="171" t="s">
        <v>74</v>
      </c>
      <c r="B47" s="33">
        <f t="shared" si="0"/>
        <v>3366.1166464155535</v>
      </c>
      <c r="C47" s="34" t="s">
        <v>111</v>
      </c>
      <c r="D47" s="174"/>
    </row>
    <row r="48" spans="1:7">
      <c r="A48" s="171" t="s">
        <v>75</v>
      </c>
      <c r="B48" s="33">
        <f t="shared" si="0"/>
        <v>265.7460510328068</v>
      </c>
      <c r="C48" s="33">
        <f>B48*10</f>
        <v>2657.4605103280683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85011.14415564001</v>
      </c>
      <c r="C5" s="17">
        <f>IF(ISERROR('Eigen informatie GS &amp; warmtenet'!B58),0,'Eigen informatie GS &amp; warmtenet'!B58)</f>
        <v>0</v>
      </c>
      <c r="D5" s="30">
        <f>SUM(D6:D12)</f>
        <v>78562.349917902393</v>
      </c>
      <c r="E5" s="17">
        <f>SUM(E6:E12)</f>
        <v>1413.9681773479203</v>
      </c>
      <c r="F5" s="17">
        <f>SUM(F6:F12)</f>
        <v>22233.433215475357</v>
      </c>
      <c r="G5" s="18"/>
      <c r="H5" s="17"/>
      <c r="I5" s="17"/>
      <c r="J5" s="17">
        <f>SUM(J6:J12)</f>
        <v>0</v>
      </c>
      <c r="K5" s="17"/>
      <c r="L5" s="17"/>
      <c r="M5" s="17"/>
      <c r="N5" s="17">
        <f>SUM(N6:N12)</f>
        <v>2893.4615991763458</v>
      </c>
      <c r="O5" s="17">
        <f>B38*B39*B40</f>
        <v>0</v>
      </c>
      <c r="P5" s="17">
        <f>B46*B47*B48/1000-B46*B47*B48/1000/B49</f>
        <v>57.2</v>
      </c>
      <c r="R5" s="32"/>
    </row>
    <row r="6" spans="1:18">
      <c r="A6" s="32" t="s">
        <v>54</v>
      </c>
      <c r="B6" s="37">
        <f>B26</f>
        <v>51860.817347999997</v>
      </c>
      <c r="C6" s="33"/>
      <c r="D6" s="37">
        <f>IF(ISERROR(TER_kantoor_gas_kWh/1000),0,TER_kantoor_gas_kWh/1000)*0.902</f>
        <v>7856.3492834705985</v>
      </c>
      <c r="E6" s="33">
        <f>$C$26*'E Balans VL '!I12/100/3.6*1000000</f>
        <v>678.9219823489625</v>
      </c>
      <c r="F6" s="33">
        <f>$C$26*('E Balans VL '!L12+'E Balans VL '!N12)/100/3.6*1000000</f>
        <v>13223.972514072379</v>
      </c>
      <c r="G6" s="34"/>
      <c r="H6" s="33"/>
      <c r="I6" s="33"/>
      <c r="J6" s="33">
        <f>$C$26*('E Balans VL '!D12+'E Balans VL '!E12)/100/3.6*1000000</f>
        <v>0</v>
      </c>
      <c r="K6" s="33"/>
      <c r="L6" s="33"/>
      <c r="M6" s="33"/>
      <c r="N6" s="33">
        <f>$C$26*'E Balans VL '!Y12/100/3.6*1000000</f>
        <v>52.035455872608324</v>
      </c>
      <c r="O6" s="33"/>
      <c r="P6" s="33"/>
      <c r="R6" s="32"/>
    </row>
    <row r="7" spans="1:18">
      <c r="A7" s="32" t="s">
        <v>53</v>
      </c>
      <c r="B7" s="37">
        <f t="shared" ref="B7:B12" si="0">B27</f>
        <v>4964.6685969</v>
      </c>
      <c r="C7" s="33"/>
      <c r="D7" s="37">
        <f>IF(ISERROR(TER_horeca_gas_kWh/1000),0,TER_horeca_gas_kWh/1000)*0.902</f>
        <v>8479.8526301214006</v>
      </c>
      <c r="E7" s="33">
        <f>$C$27*'E Balans VL '!I9/100/3.6*1000000</f>
        <v>164.30033149137114</v>
      </c>
      <c r="F7" s="33">
        <f>$C$27*('E Balans VL '!L9+'E Balans VL '!N9)/100/3.6*1000000</f>
        <v>2134.78846975224</v>
      </c>
      <c r="G7" s="34"/>
      <c r="H7" s="33"/>
      <c r="I7" s="33"/>
      <c r="J7" s="33">
        <f>$C$27*('E Balans VL '!D9+'E Balans VL '!E9)/100/3.6*1000000</f>
        <v>0</v>
      </c>
      <c r="K7" s="33"/>
      <c r="L7" s="33"/>
      <c r="M7" s="33"/>
      <c r="N7" s="33">
        <f>$C$27*'E Balans VL '!Y9/100/3.6*1000000</f>
        <v>1.1950678261736145</v>
      </c>
      <c r="O7" s="33"/>
      <c r="P7" s="33"/>
      <c r="R7" s="32"/>
    </row>
    <row r="8" spans="1:18">
      <c r="A8" s="6" t="s">
        <v>52</v>
      </c>
      <c r="B8" s="37">
        <f t="shared" si="0"/>
        <v>11396.44795</v>
      </c>
      <c r="C8" s="33"/>
      <c r="D8" s="37">
        <f>IF(ISERROR(TER_handel_gas_kWh/1000),0,TER_handel_gas_kWh/1000)*0.902</f>
        <v>34224.111745538001</v>
      </c>
      <c r="E8" s="33">
        <f>$C$28*'E Balans VL '!I13/100/3.6*1000000</f>
        <v>359.6893105561345</v>
      </c>
      <c r="F8" s="33">
        <f>$C$28*('E Balans VL '!L13+'E Balans VL '!N13)/100/3.6*1000000</f>
        <v>2235.0441219841427</v>
      </c>
      <c r="G8" s="34"/>
      <c r="H8" s="33"/>
      <c r="I8" s="33"/>
      <c r="J8" s="33">
        <f>$C$28*('E Balans VL '!D13+'E Balans VL '!E13)/100/3.6*1000000</f>
        <v>0</v>
      </c>
      <c r="K8" s="33"/>
      <c r="L8" s="33"/>
      <c r="M8" s="33"/>
      <c r="N8" s="33">
        <f>$C$28*'E Balans VL '!Y13/100/3.6*1000000</f>
        <v>13.525371123443332</v>
      </c>
      <c r="O8" s="33"/>
      <c r="P8" s="33"/>
      <c r="R8" s="32"/>
    </row>
    <row r="9" spans="1:18">
      <c r="A9" s="32" t="s">
        <v>51</v>
      </c>
      <c r="B9" s="37">
        <f t="shared" si="0"/>
        <v>798.90805454000008</v>
      </c>
      <c r="C9" s="33"/>
      <c r="D9" s="37">
        <f>IF(ISERROR(TER_gezond_gas_kWh/1000),0,TER_gezond_gas_kWh/1000)*0.902</f>
        <v>1872.4705459724</v>
      </c>
      <c r="E9" s="33">
        <f>$C$29*'E Balans VL '!I10/100/3.6*1000000</f>
        <v>0.10228360251768499</v>
      </c>
      <c r="F9" s="33">
        <f>$C$29*('E Balans VL '!L10+'E Balans VL '!N10)/100/3.6*1000000</f>
        <v>166.4460330659544</v>
      </c>
      <c r="G9" s="34"/>
      <c r="H9" s="33"/>
      <c r="I9" s="33"/>
      <c r="J9" s="33">
        <f>$C$29*('E Balans VL '!D10+'E Balans VL '!E10)/100/3.6*1000000</f>
        <v>0</v>
      </c>
      <c r="K9" s="33"/>
      <c r="L9" s="33"/>
      <c r="M9" s="33"/>
      <c r="N9" s="33">
        <f>$C$29*'E Balans VL '!Y10/100/3.6*1000000</f>
        <v>9.3835527141621569</v>
      </c>
      <c r="O9" s="33"/>
      <c r="P9" s="33"/>
      <c r="R9" s="32"/>
    </row>
    <row r="10" spans="1:18">
      <c r="A10" s="32" t="s">
        <v>50</v>
      </c>
      <c r="B10" s="37">
        <f t="shared" si="0"/>
        <v>2274.0506139000004</v>
      </c>
      <c r="C10" s="33"/>
      <c r="D10" s="37">
        <f>IF(ISERROR(TER_ander_gas_kWh/1000),0,TER_ander_gas_kWh/1000)*0.902</f>
        <v>3621.0625357038002</v>
      </c>
      <c r="E10" s="33">
        <f>$C$30*'E Balans VL '!I14/100/3.6*1000000</f>
        <v>3.4196373448560218</v>
      </c>
      <c r="F10" s="33">
        <f>$C$30*('E Balans VL '!L14+'E Balans VL '!N14)/100/3.6*1000000</f>
        <v>502.03707244405183</v>
      </c>
      <c r="G10" s="34"/>
      <c r="H10" s="33"/>
      <c r="I10" s="33"/>
      <c r="J10" s="33">
        <f>$C$30*('E Balans VL '!D14+'E Balans VL '!E14)/100/3.6*1000000</f>
        <v>0</v>
      </c>
      <c r="K10" s="33"/>
      <c r="L10" s="33"/>
      <c r="M10" s="33"/>
      <c r="N10" s="33">
        <f>$C$30*'E Balans VL '!Y14/100/3.6*1000000</f>
        <v>1792.1049215894152</v>
      </c>
      <c r="O10" s="33"/>
      <c r="P10" s="33"/>
      <c r="R10" s="32"/>
    </row>
    <row r="11" spans="1:18">
      <c r="A11" s="32" t="s">
        <v>55</v>
      </c>
      <c r="B11" s="37">
        <f t="shared" si="0"/>
        <v>2143.2498562999999</v>
      </c>
      <c r="C11" s="33"/>
      <c r="D11" s="37">
        <f>IF(ISERROR(TER_onderwijs_gas_kWh/1000),0,TER_onderwijs_gas_kWh/1000)*0.902</f>
        <v>6637.8636286622004</v>
      </c>
      <c r="E11" s="33">
        <f>$C$31*'E Balans VL '!I11/100/3.6*1000000</f>
        <v>3.7744426006614322</v>
      </c>
      <c r="F11" s="33">
        <f>$C$31*('E Balans VL '!L11+'E Balans VL '!N11)/100/3.6*1000000</f>
        <v>989.57724069571702</v>
      </c>
      <c r="G11" s="34"/>
      <c r="H11" s="33"/>
      <c r="I11" s="33"/>
      <c r="J11" s="33">
        <f>$C$31*('E Balans VL '!D11+'E Balans VL '!E11)/100/3.6*1000000</f>
        <v>0</v>
      </c>
      <c r="K11" s="33"/>
      <c r="L11" s="33"/>
      <c r="M11" s="33"/>
      <c r="N11" s="33">
        <f>$C$31*'E Balans VL '!Y11/100/3.6*1000000</f>
        <v>3.9929041208148845</v>
      </c>
      <c r="O11" s="33"/>
      <c r="P11" s="33"/>
      <c r="R11" s="32"/>
    </row>
    <row r="12" spans="1:18">
      <c r="A12" s="32" t="s">
        <v>260</v>
      </c>
      <c r="B12" s="37">
        <f t="shared" si="0"/>
        <v>11573.001736</v>
      </c>
      <c r="C12" s="33"/>
      <c r="D12" s="37">
        <f>IF(ISERROR(TER_rest_gas_kWh/1000),0,TER_rest_gas_kWh/1000)*0.902</f>
        <v>15870.639548434001</v>
      </c>
      <c r="E12" s="33">
        <f>$C$32*'E Balans VL '!I8/100/3.6*1000000</f>
        <v>203.76018940341723</v>
      </c>
      <c r="F12" s="33">
        <f>$C$32*('E Balans VL '!L8+'E Balans VL '!N8)/100/3.6*1000000</f>
        <v>2981.567763460871</v>
      </c>
      <c r="G12" s="34"/>
      <c r="H12" s="33"/>
      <c r="I12" s="33"/>
      <c r="J12" s="33">
        <f>$C$32*('E Balans VL '!D8+'E Balans VL '!E8)/100/3.6*1000000</f>
        <v>0</v>
      </c>
      <c r="K12" s="33"/>
      <c r="L12" s="33"/>
      <c r="M12" s="33"/>
      <c r="N12" s="33">
        <f>$C$32*'E Balans VL '!Y8/100/3.6*1000000</f>
        <v>1021.2243259297281</v>
      </c>
      <c r="O12" s="33"/>
      <c r="P12" s="33"/>
      <c r="R12" s="32"/>
    </row>
    <row r="13" spans="1:18">
      <c r="A13" s="16" t="s">
        <v>491</v>
      </c>
      <c r="B13" s="247">
        <f ca="1">'lokale energieproductie'!N91+'lokale energieproductie'!N60</f>
        <v>1000.125</v>
      </c>
      <c r="C13" s="247">
        <f ca="1">'lokale energieproductie'!O91+'lokale energieproductie'!O60</f>
        <v>1428.75</v>
      </c>
      <c r="D13" s="310">
        <f ca="1">('lokale energieproductie'!P60+'lokale energieproductie'!P91)*(-1)</f>
        <v>-2857.5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86011.26915564001</v>
      </c>
      <c r="C16" s="21">
        <f t="shared" ca="1" si="1"/>
        <v>1428.75</v>
      </c>
      <c r="D16" s="21">
        <f t="shared" ca="1" si="1"/>
        <v>75704.849917902393</v>
      </c>
      <c r="E16" s="21">
        <f t="shared" si="1"/>
        <v>1413.9681773479203</v>
      </c>
      <c r="F16" s="21">
        <f t="shared" ca="1" si="1"/>
        <v>22233.433215475357</v>
      </c>
      <c r="G16" s="21">
        <f t="shared" si="1"/>
        <v>0</v>
      </c>
      <c r="H16" s="21">
        <f t="shared" si="1"/>
        <v>0</v>
      </c>
      <c r="I16" s="21">
        <f t="shared" si="1"/>
        <v>0</v>
      </c>
      <c r="J16" s="21">
        <f t="shared" si="1"/>
        <v>0</v>
      </c>
      <c r="K16" s="21">
        <f t="shared" si="1"/>
        <v>0</v>
      </c>
      <c r="L16" s="21">
        <f t="shared" ca="1" si="1"/>
        <v>0</v>
      </c>
      <c r="M16" s="21">
        <f t="shared" si="1"/>
        <v>0</v>
      </c>
      <c r="N16" s="21">
        <f t="shared" ca="1" si="1"/>
        <v>2893.4615991763458</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0.19954005036506714</v>
      </c>
      <c r="C18" s="25">
        <f ca="1">'EF ele_warmte'!B22</f>
        <v>3.9029786679127591E-2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17162.692979279753</v>
      </c>
      <c r="C20" s="23">
        <f t="shared" ref="C20:P20" ca="1" si="2">C16*C18</f>
        <v>55.763807717803545</v>
      </c>
      <c r="D20" s="23">
        <f t="shared" ca="1" si="2"/>
        <v>15292.379683416284</v>
      </c>
      <c r="E20" s="23">
        <f t="shared" si="2"/>
        <v>320.97077625797795</v>
      </c>
      <c r="F20" s="23">
        <f t="shared" ca="1" si="2"/>
        <v>5936.3266685319204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51860.817347999997</v>
      </c>
      <c r="C26" s="39">
        <f>IF(ISERROR(B26*3.6/1000000/'E Balans VL '!Z12*100),0,B26*3.6/1000000/'E Balans VL '!Z12*100)</f>
        <v>1.110898996694319</v>
      </c>
      <c r="D26" s="237" t="s">
        <v>660</v>
      </c>
      <c r="F26" s="6"/>
    </row>
    <row r="27" spans="1:18">
      <c r="A27" s="231" t="s">
        <v>53</v>
      </c>
      <c r="B27" s="33">
        <f>IF(ISERROR(TER_horeca_ele_kWh/1000),0,TER_horeca_ele_kWh/1000)</f>
        <v>4964.6685969</v>
      </c>
      <c r="C27" s="39">
        <f>IF(ISERROR(B27*3.6/1000000/'E Balans VL '!Z9*100),0,B27*3.6/1000000/'E Balans VL '!Z9*100)</f>
        <v>0.39839739788932738</v>
      </c>
      <c r="D27" s="237" t="s">
        <v>660</v>
      </c>
      <c r="F27" s="6"/>
    </row>
    <row r="28" spans="1:18">
      <c r="A28" s="171" t="s">
        <v>52</v>
      </c>
      <c r="B28" s="33">
        <f>IF(ISERROR(TER_handel_ele_kWh/1000),0,TER_handel_ele_kWh/1000)</f>
        <v>11396.44795</v>
      </c>
      <c r="C28" s="39">
        <f>IF(ISERROR(B28*3.6/1000000/'E Balans VL '!Z13*100),0,B28*3.6/1000000/'E Balans VL '!Z13*100)</f>
        <v>0.33612984710685329</v>
      </c>
      <c r="D28" s="237" t="s">
        <v>660</v>
      </c>
      <c r="F28" s="6"/>
    </row>
    <row r="29" spans="1:18">
      <c r="A29" s="231" t="s">
        <v>51</v>
      </c>
      <c r="B29" s="33">
        <f>IF(ISERROR(TER_gezond_ele_kWh/1000),0,TER_gezond_ele_kWh/1000)</f>
        <v>798.90805454000008</v>
      </c>
      <c r="C29" s="39">
        <f>IF(ISERROR(B29*3.6/1000000/'E Balans VL '!Z10*100),0,B29*3.6/1000000/'E Balans VL '!Z10*100)</f>
        <v>8.5301960696704093E-2</v>
      </c>
      <c r="D29" s="237" t="s">
        <v>660</v>
      </c>
      <c r="F29" s="6"/>
    </row>
    <row r="30" spans="1:18">
      <c r="A30" s="231" t="s">
        <v>50</v>
      </c>
      <c r="B30" s="33">
        <f>IF(ISERROR(TER_ander_ele_kWh/1000),0,TER_ander_ele_kWh/1000)</f>
        <v>2274.0506139000004</v>
      </c>
      <c r="C30" s="39">
        <f>IF(ISERROR(B30*3.6/1000000/'E Balans VL '!Z14*100),0,B30*3.6/1000000/'E Balans VL '!Z14*100)</f>
        <v>0.17176797270442792</v>
      </c>
      <c r="D30" s="237" t="s">
        <v>660</v>
      </c>
      <c r="F30" s="6"/>
    </row>
    <row r="31" spans="1:18">
      <c r="A31" s="231" t="s">
        <v>55</v>
      </c>
      <c r="B31" s="33">
        <f>IF(ISERROR(TER_onderwijs_ele_kWh/1000),0,TER_onderwijs_ele_kWh/1000)</f>
        <v>2143.2498562999999</v>
      </c>
      <c r="C31" s="39">
        <f>IF(ISERROR(B31*3.6/1000000/'E Balans VL '!Z11*100),0,B31*3.6/1000000/'E Balans VL '!Z11*100)</f>
        <v>0.4327936931944964</v>
      </c>
      <c r="D31" s="237" t="s">
        <v>660</v>
      </c>
    </row>
    <row r="32" spans="1:18">
      <c r="A32" s="231" t="s">
        <v>260</v>
      </c>
      <c r="B32" s="33">
        <f>IF(ISERROR(TER_rest_ele_kWh/1000),0,TER_rest_ele_kWh/1000)</f>
        <v>11573.001736</v>
      </c>
      <c r="C32" s="39">
        <f>IF(ISERROR(B32*3.6/1000000/'E Balans VL '!Z8*100),0,B32*3.6/1000000/'E Balans VL '!Z8*100)</f>
        <v>9.5956299680099749E-2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58711.429901523006</v>
      </c>
      <c r="C5" s="17">
        <f>IF(ISERROR('Eigen informatie GS &amp; warmtenet'!B59),0,'Eigen informatie GS &amp; warmtenet'!B59)</f>
        <v>0</v>
      </c>
      <c r="D5" s="30">
        <f>SUM(D6:D15)</f>
        <v>31266.452734197559</v>
      </c>
      <c r="E5" s="17">
        <f>SUM(E6:E15)</f>
        <v>8532.628036583088</v>
      </c>
      <c r="F5" s="17">
        <f>SUM(F6:F15)</f>
        <v>30111.907329658086</v>
      </c>
      <c r="G5" s="18"/>
      <c r="H5" s="17"/>
      <c r="I5" s="17"/>
      <c r="J5" s="17">
        <f>SUM(J6:J15)</f>
        <v>253.12489805225832</v>
      </c>
      <c r="K5" s="17"/>
      <c r="L5" s="17"/>
      <c r="M5" s="17"/>
      <c r="N5" s="17">
        <f>SUM(N6:N15)</f>
        <v>14780.439951481156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644.83807014000001</v>
      </c>
      <c r="C8" s="33"/>
      <c r="D8" s="37">
        <f>IF( ISERROR(IND_metaal_Gas_kWH/1000),0,IND_metaal_Gas_kWH/1000)*0.902</f>
        <v>642.81553663316004</v>
      </c>
      <c r="E8" s="33">
        <f>C30*'E Balans VL '!I18/100/3.6*1000000</f>
        <v>23.203224531038007</v>
      </c>
      <c r="F8" s="33">
        <f>C30*'E Balans VL '!L18/100/3.6*1000000+C30*'E Balans VL '!N18/100/3.6*1000000</f>
        <v>281.57988182889824</v>
      </c>
      <c r="G8" s="34"/>
      <c r="H8" s="33"/>
      <c r="I8" s="33"/>
      <c r="J8" s="40">
        <f>C30*'E Balans VL '!D18/100/3.6*1000000+C30*'E Balans VL '!E18/100/3.6*1000000</f>
        <v>0</v>
      </c>
      <c r="K8" s="33"/>
      <c r="L8" s="33"/>
      <c r="M8" s="33"/>
      <c r="N8" s="33">
        <f>C30*'E Balans VL '!Y18/100/3.6*1000000</f>
        <v>32.318845861515172</v>
      </c>
      <c r="O8" s="33"/>
      <c r="P8" s="33"/>
      <c r="R8" s="32"/>
    </row>
    <row r="9" spans="1:18">
      <c r="A9" s="6" t="s">
        <v>33</v>
      </c>
      <c r="B9" s="37">
        <f t="shared" si="0"/>
        <v>26715.414839000001</v>
      </c>
      <c r="C9" s="33"/>
      <c r="D9" s="37">
        <f>IF( ISERROR(IND_andere_gas_kWh/1000),0,IND_andere_gas_kWh/1000)*0.902</f>
        <v>1584.9694099998001</v>
      </c>
      <c r="E9" s="33">
        <f>C31*'E Balans VL '!I19/100/3.6*1000000</f>
        <v>6817.1694137219638</v>
      </c>
      <c r="F9" s="33">
        <f>C31*'E Balans VL '!L19/100/3.6*1000000+C31*'E Balans VL '!N19/100/3.6*1000000</f>
        <v>22999.964167735034</v>
      </c>
      <c r="G9" s="34"/>
      <c r="H9" s="33"/>
      <c r="I9" s="33"/>
      <c r="J9" s="40">
        <f>C31*'E Balans VL '!D19/100/3.6*1000000+C31*'E Balans VL '!E19/100/3.6*1000000</f>
        <v>0</v>
      </c>
      <c r="K9" s="33"/>
      <c r="L9" s="33"/>
      <c r="M9" s="33"/>
      <c r="N9" s="33">
        <f>C31*'E Balans VL '!Y19/100/3.6*1000000</f>
        <v>8354.825127561724</v>
      </c>
      <c r="O9" s="33"/>
      <c r="P9" s="33"/>
      <c r="R9" s="32"/>
    </row>
    <row r="10" spans="1:18">
      <c r="A10" s="6" t="s">
        <v>41</v>
      </c>
      <c r="B10" s="37">
        <f t="shared" si="0"/>
        <v>274.06540876000003</v>
      </c>
      <c r="C10" s="33"/>
      <c r="D10" s="37">
        <f>IF( ISERROR(IND_voed_gas_kWh/1000),0,IND_voed_gas_kWh/1000)*0.902</f>
        <v>100.4124570339</v>
      </c>
      <c r="E10" s="33">
        <f>C32*'E Balans VL '!I20/100/3.6*1000000</f>
        <v>6.9671190133244325</v>
      </c>
      <c r="F10" s="33">
        <f>C32*'E Balans VL '!L20/100/3.6*1000000+C32*'E Balans VL '!N20/100/3.6*1000000</f>
        <v>62.016887925804326</v>
      </c>
      <c r="G10" s="34"/>
      <c r="H10" s="33"/>
      <c r="I10" s="33"/>
      <c r="J10" s="40">
        <f>C32*'E Balans VL '!D20/100/3.6*1000000+C32*'E Balans VL '!E20/100/3.6*1000000</f>
        <v>0</v>
      </c>
      <c r="K10" s="33"/>
      <c r="L10" s="33"/>
      <c r="M10" s="33"/>
      <c r="N10" s="33">
        <f>C32*'E Balans VL '!Y20/100/3.6*1000000</f>
        <v>102.78195712010772</v>
      </c>
      <c r="O10" s="33"/>
      <c r="P10" s="33"/>
      <c r="R10" s="32"/>
    </row>
    <row r="11" spans="1:18">
      <c r="A11" s="6" t="s">
        <v>40</v>
      </c>
      <c r="B11" s="37">
        <f t="shared" si="0"/>
        <v>6.071099051</v>
      </c>
      <c r="C11" s="33"/>
      <c r="D11" s="37">
        <f>IF( ISERROR(IND_textiel_gas_kWh/1000),0,IND_textiel_gas_kWh/1000)*0.902</f>
        <v>0</v>
      </c>
      <c r="E11" s="33">
        <f>C33*'E Balans VL '!I21/100/3.6*1000000</f>
        <v>1.6666799552255553E-2</v>
      </c>
      <c r="F11" s="33">
        <f>C33*'E Balans VL '!L21/100/3.6*1000000+C33*'E Balans VL '!N21/100/3.6*1000000</f>
        <v>0.32186437015407249</v>
      </c>
      <c r="G11" s="34"/>
      <c r="H11" s="33"/>
      <c r="I11" s="33"/>
      <c r="J11" s="40">
        <f>C33*'E Balans VL '!D21/100/3.6*1000000+C33*'E Balans VL '!E21/100/3.6*1000000</f>
        <v>0</v>
      </c>
      <c r="K11" s="33"/>
      <c r="L11" s="33"/>
      <c r="M11" s="33"/>
      <c r="N11" s="33">
        <f>C33*'E Balans VL '!Y21/100/3.6*1000000</f>
        <v>1.2201904431216196E-2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20.877580571999999</v>
      </c>
      <c r="C13" s="33"/>
      <c r="D13" s="37">
        <f>IF( ISERROR(IND_papier_gas_kWh/1000),0,IND_papier_gas_kWh/1000)*0.902</f>
        <v>33.976458292700002</v>
      </c>
      <c r="E13" s="33">
        <f>C35*'E Balans VL '!I23/100/3.6*1000000</f>
        <v>8.9537869413841675E-2</v>
      </c>
      <c r="F13" s="33">
        <f>C35*'E Balans VL '!L23/100/3.6*1000000+C35*'E Balans VL '!N23/100/3.6*1000000</f>
        <v>0.52471839965929212</v>
      </c>
      <c r="G13" s="34"/>
      <c r="H13" s="33"/>
      <c r="I13" s="33"/>
      <c r="J13" s="40">
        <f>C35*'E Balans VL '!D23/100/3.6*1000000+C35*'E Balans VL '!E23/100/3.6*1000000</f>
        <v>1.397639510476393</v>
      </c>
      <c r="K13" s="33"/>
      <c r="L13" s="33"/>
      <c r="M13" s="33"/>
      <c r="N13" s="33">
        <f>C35*'E Balans VL '!Y23/100/3.6*1000000</f>
        <v>38.002161519121884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31050.162904000001</v>
      </c>
      <c r="C15" s="33"/>
      <c r="D15" s="37">
        <f>IF( ISERROR(IND_rest_gas_kWh/1000),0,IND_rest_gas_kWh/1000)*0.902</f>
        <v>28904.278872237999</v>
      </c>
      <c r="E15" s="33">
        <f>C37*'E Balans VL '!I15/100/3.6*1000000</f>
        <v>1685.1820746477945</v>
      </c>
      <c r="F15" s="33">
        <f>C37*'E Balans VL '!L15/100/3.6*1000000+C37*'E Balans VL '!N15/100/3.6*1000000</f>
        <v>6767.4998093985378</v>
      </c>
      <c r="G15" s="34"/>
      <c r="H15" s="33"/>
      <c r="I15" s="33"/>
      <c r="J15" s="40">
        <f>C37*'E Balans VL '!D15/100/3.6*1000000+C37*'E Balans VL '!E15/100/3.6*1000000</f>
        <v>251.72725854178194</v>
      </c>
      <c r="K15" s="33"/>
      <c r="L15" s="33"/>
      <c r="M15" s="33"/>
      <c r="N15" s="33">
        <f>C37*'E Balans VL '!Y15/100/3.6*1000000</f>
        <v>6252.4996575142559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58711.429901523006</v>
      </c>
      <c r="C18" s="21">
        <f>C5+C16</f>
        <v>0</v>
      </c>
      <c r="D18" s="21">
        <f>MAX((D5+D16),0)</f>
        <v>31266.452734197559</v>
      </c>
      <c r="E18" s="21">
        <f>MAX((E5+E16),0)</f>
        <v>8532.628036583088</v>
      </c>
      <c r="F18" s="21">
        <f>MAX((F5+F16),0)</f>
        <v>30111.907329658086</v>
      </c>
      <c r="G18" s="21"/>
      <c r="H18" s="21"/>
      <c r="I18" s="21"/>
      <c r="J18" s="21">
        <f>MAX((J5+J16),0)</f>
        <v>253.12489805225832</v>
      </c>
      <c r="K18" s="21"/>
      <c r="L18" s="21">
        <f>MAX((L5+L16),0)</f>
        <v>0</v>
      </c>
      <c r="M18" s="21"/>
      <c r="N18" s="21">
        <f>MAX((N5+N16),0)</f>
        <v>14780.439951481156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0.19954005036506714</v>
      </c>
      <c r="C20" s="25">
        <f ca="1">'EF ele_warmte'!B22</f>
        <v>3.9029786679127591E-2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11715.28167955501</v>
      </c>
      <c r="C22" s="23">
        <f ca="1">C18*C20</f>
        <v>0</v>
      </c>
      <c r="D22" s="23">
        <f>D18*D20</f>
        <v>6315.8234523079072</v>
      </c>
      <c r="E22" s="23">
        <f>E18*E20</f>
        <v>1936.9065643043612</v>
      </c>
      <c r="F22" s="23">
        <f>F18*F20</f>
        <v>8039.8792570187097</v>
      </c>
      <c r="G22" s="23"/>
      <c r="H22" s="23"/>
      <c r="I22" s="23"/>
      <c r="J22" s="23">
        <f>J18*J20</f>
        <v>89.606213910499434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644.83807014000001</v>
      </c>
      <c r="C30" s="39">
        <f>IF(ISERROR(B30*3.6/1000000/'E Balans VL '!Z18*100),0,B30*3.6/1000000/'E Balans VL '!Z18*100)</f>
        <v>0.13662736209880663</v>
      </c>
      <c r="D30" s="237" t="s">
        <v>660</v>
      </c>
    </row>
    <row r="31" spans="1:18">
      <c r="A31" s="6" t="s">
        <v>33</v>
      </c>
      <c r="B31" s="37">
        <f>IF( ISERROR(IND_ander_ele_kWh/1000),0,IND_ander_ele_kWh/1000)</f>
        <v>26715.414839000001</v>
      </c>
      <c r="C31" s="39">
        <f>IF(ISERROR(B31*3.6/1000000/'E Balans VL '!Z19*100),0,B31*3.6/1000000/'E Balans VL '!Z19*100)</f>
        <v>1.1245124723345841</v>
      </c>
      <c r="D31" s="237" t="s">
        <v>660</v>
      </c>
    </row>
    <row r="32" spans="1:18">
      <c r="A32" s="171" t="s">
        <v>41</v>
      </c>
      <c r="B32" s="37">
        <f>IF( ISERROR(IND_voed_ele_kWh/1000),0,IND_voed_ele_kWh/1000)</f>
        <v>274.06540876000003</v>
      </c>
      <c r="C32" s="39">
        <f>IF(ISERROR(B32*3.6/1000000/'E Balans VL '!Z20*100),0,B32*3.6/1000000/'E Balans VL '!Z20*100)</f>
        <v>4.5785727370192882E-2</v>
      </c>
      <c r="D32" s="237" t="s">
        <v>660</v>
      </c>
    </row>
    <row r="33" spans="1:5">
      <c r="A33" s="171" t="s">
        <v>40</v>
      </c>
      <c r="B33" s="37">
        <f>IF( ISERROR(IND_textiel_ele_kWh/1000),0,IND_textiel_ele_kWh/1000)</f>
        <v>6.071099051</v>
      </c>
      <c r="C33" s="39">
        <f>IF(ISERROR(B33*3.6/1000000/'E Balans VL '!Z21*100),0,B33*3.6/1000000/'E Balans VL '!Z21*100)</f>
        <v>3.5444893046379655E-4</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20.877580571999999</v>
      </c>
      <c r="C35" s="39">
        <f>IF(ISERROR(B35*3.6/1000000/'E Balans VL '!Z22*100),0,B35*3.6/1000000/'E Balans VL '!Z22*100)</f>
        <v>2.6463459299604876E-3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31050.162904000001</v>
      </c>
      <c r="C37" s="39">
        <f>IF(ISERROR(B37*3.6/1000000/'E Balans VL '!Z15*100),0,B37*3.6/1000000/'E Balans VL '!Z15*100)</f>
        <v>0.25067998829813554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689.43796170999997</v>
      </c>
      <c r="C5" s="17">
        <f>'Eigen informatie GS &amp; warmtenet'!B60</f>
        <v>0</v>
      </c>
      <c r="D5" s="30">
        <f>IF(ISERROR(SUM(LB_lb_gas_kWh,LB_rest_gas_kWh)/1000),0,SUM(LB_lb_gas_kWh,LB_rest_gas_kWh)/1000)*0.902</f>
        <v>2738.5049926434203</v>
      </c>
      <c r="E5" s="17">
        <f>B17*'E Balans VL '!I25/3.6*1000000/100</f>
        <v>17.777957896775884</v>
      </c>
      <c r="F5" s="17">
        <f>B17*('E Balans VL '!L25/3.6*1000000+'E Balans VL '!N25/3.6*1000000)/100</f>
        <v>2520.0270471318204</v>
      </c>
      <c r="G5" s="18"/>
      <c r="H5" s="17"/>
      <c r="I5" s="17"/>
      <c r="J5" s="17">
        <f>('E Balans VL '!D25+'E Balans VL '!E25)/3.6*1000000*landbouw!B17/100</f>
        <v>99.253704368368687</v>
      </c>
      <c r="K5" s="17"/>
      <c r="L5" s="17">
        <f>L6*(-1)</f>
        <v>0</v>
      </c>
      <c r="M5" s="17"/>
      <c r="N5" s="17">
        <f>N6*(-1)</f>
        <v>14541.428571428572</v>
      </c>
      <c r="O5" s="17"/>
      <c r="P5" s="17"/>
      <c r="R5" s="32"/>
    </row>
    <row r="6" spans="1:18">
      <c r="A6" s="16" t="s">
        <v>491</v>
      </c>
      <c r="B6" s="17" t="s">
        <v>211</v>
      </c>
      <c r="C6" s="17">
        <f>'lokale energieproductie'!O92+'lokale energieproductie'!O61</f>
        <v>7270.7142857142862</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-14541.428571428572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689.43796170999997</v>
      </c>
      <c r="C8" s="21">
        <f>C5+C6</f>
        <v>7270.7142857142862</v>
      </c>
      <c r="D8" s="21">
        <f>MAX((D5+D6),0)</f>
        <v>2738.5049926434203</v>
      </c>
      <c r="E8" s="21">
        <f>MAX((E5+E6),0)</f>
        <v>17.777957896775884</v>
      </c>
      <c r="F8" s="21">
        <f>MAX((F5+F6),0)</f>
        <v>2520.0270471318204</v>
      </c>
      <c r="G8" s="21"/>
      <c r="H8" s="21"/>
      <c r="I8" s="21"/>
      <c r="J8" s="21">
        <f>MAX((J5+J6),0)</f>
        <v>99.253704368368687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0.19954005036506714</v>
      </c>
      <c r="C10" s="31">
        <f ca="1">'EF ele_warmte'!B22</f>
        <v>3.9029786679127591E-2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137.57048560320263</v>
      </c>
      <c r="C12" s="23">
        <f ca="1">C8*C10</f>
        <v>283.77442757631411</v>
      </c>
      <c r="D12" s="23">
        <f>D8*D10</f>
        <v>553.17800851397089</v>
      </c>
      <c r="E12" s="23">
        <f>E8*E10</f>
        <v>4.0355964425681261</v>
      </c>
      <c r="F12" s="23">
        <f>F8*F10</f>
        <v>672.84722158419606</v>
      </c>
      <c r="G12" s="23"/>
      <c r="H12" s="23"/>
      <c r="I12" s="23"/>
      <c r="J12" s="23">
        <f>J8*J10</f>
        <v>35.135811346402512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9.7215319335769046E-2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101.47337255665585</v>
      </c>
      <c r="C26" s="247">
        <f>B26*'GWP N2O_CH4'!B5</f>
        <v>2130.940823689773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25.336883821623204</v>
      </c>
      <c r="C27" s="247">
        <f>B27*'GWP N2O_CH4'!B5</f>
        <v>532.07456025408726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1.2649992723250489</v>
      </c>
      <c r="C28" s="247">
        <f>B28*'GWP N2O_CH4'!B4</f>
        <v>392.1497744207652</v>
      </c>
      <c r="D28" s="50"/>
    </row>
    <row r="29" spans="1:4">
      <c r="A29" s="41" t="s">
        <v>277</v>
      </c>
      <c r="B29" s="247">
        <f>B34*'ha_N2O bodem landbouw'!B4</f>
        <v>10.857079452759825</v>
      </c>
      <c r="C29" s="247">
        <f>B29*'GWP N2O_CH4'!B4</f>
        <v>3365.6946303555455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2.4434328677309007E-3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5.2869566845429607E-4</v>
      </c>
      <c r="C5" s="463" t="s">
        <v>211</v>
      </c>
      <c r="D5" s="448">
        <f>SUM(D6:D11)</f>
        <v>1.2697637906163009E-3</v>
      </c>
      <c r="E5" s="448">
        <f>SUM(E6:E11)</f>
        <v>5.2428650902281281E-3</v>
      </c>
      <c r="F5" s="461" t="s">
        <v>211</v>
      </c>
      <c r="G5" s="448">
        <f>SUM(G6:G11)</f>
        <v>1.6023177958341694</v>
      </c>
      <c r="H5" s="448">
        <f>SUM(H6:H11)</f>
        <v>0.34458298723211833</v>
      </c>
      <c r="I5" s="463" t="s">
        <v>211</v>
      </c>
      <c r="J5" s="463" t="s">
        <v>211</v>
      </c>
      <c r="K5" s="463" t="s">
        <v>211</v>
      </c>
      <c r="L5" s="463" t="s">
        <v>211</v>
      </c>
      <c r="M5" s="448">
        <f>SUM(M6:M11)</f>
        <v>6.0806212390279939E-2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2.0699203672139424E-4</v>
      </c>
      <c r="C6" s="449"/>
      <c r="D6" s="892">
        <f>vkm_2011_GW_PW*SUMIFS(TableVerdeelsleutelVkm[CNG],TableVerdeelsleutelVkm[Voertuigtype],"Lichte voertuigen")*SUMIFS(TableECFTransport[EnergieConsumptieFactor (PJ per km)],TableECFTransport[Index],CONCATENATE($A6,"_CNG_CNG"))</f>
        <v>4.1129680274855476E-4</v>
      </c>
      <c r="E6" s="892">
        <f>vkm_2011_GW_PW*SUMIFS(TableVerdeelsleutelVkm[LPG],TableVerdeelsleutelVkm[Voertuigtype],"Lichte voertuigen")*SUMIFS(TableECFTransport[EnergieConsumptieFactor (PJ per km)],TableECFTransport[Index],CONCATENATE($A6,"_LPG_LPG"))</f>
        <v>1.6186003576666736E-3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0.38484762763638242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0.11135041809479043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1.5461989300958111E-2</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0.16479873662966543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5.3237031063501522E-5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5.1925560365981577E-3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1.3161904418294504E-4</v>
      </c>
      <c r="C8" s="449"/>
      <c r="D8" s="451">
        <f>vkm_2011_NGW_PW*SUMIFS(TableVerdeelsleutelVkm[CNG],TableVerdeelsleutelVkm[Voertuigtype],"Lichte voertuigen")*SUMIFS(TableECFTransport[EnergieConsumptieFactor (PJ per km)],TableECFTransport[Index],CONCATENATE($A8,"_CNG_CNG"))</f>
        <v>4.6307306892905831E-4</v>
      </c>
      <c r="E8" s="451">
        <f>vkm_2011_NGW_PW*SUMIFS(TableVerdeelsleutelVkm[LPG],TableVerdeelsleutelVkm[Voertuigtype],"Lichte voertuigen")*SUMIFS(TableECFTransport[EnergieConsumptieFactor (PJ per km)],TableECFTransport[Index],CONCATENATE($A8,"_LPG_LPG"))</f>
        <v>1.6853596895114833E-3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0.3741972282573181</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0.1215634615261441</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1.5432836822154484E-2</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7.8516084587371929E-2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2.3987329587595171E-5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2.4738803975096054E-3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1.900845875499568E-4</v>
      </c>
      <c r="C10" s="449"/>
      <c r="D10" s="451">
        <f>vkm_2011_SW_PW*SUMIFS(TableVerdeelsleutelVkm[CNG],TableVerdeelsleutelVkm[Voertuigtype],"Lichte voertuigen")*SUMIFS(TableECFTransport[EnergieConsumptieFactor (PJ per km)],TableECFTransport[Index],CONCATENATE($A10,"_CNG_CNG"))</f>
        <v>3.9539391893868785E-4</v>
      </c>
      <c r="E10" s="451">
        <f>vkm_2011_SW_PW*SUMIFS(TableVerdeelsleutelVkm[LPG],TableVerdeelsleutelVkm[Voertuigtype],"Lichte voertuigen")*SUMIFS(TableECFTransport[EnergieConsumptieFactor (PJ per km)],TableECFTransport[Index],CONCATENATE($A10,"_LPG_LPG"))</f>
        <v>1.938905043049971E-3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0.41296451239147042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0.11152679853827856</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1.6352927109961956E-2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0.18699360633196094</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6.5084712254123237E-5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5.892022723097628E-3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146.85990790397113</v>
      </c>
      <c r="C14" s="21"/>
      <c r="D14" s="21">
        <f t="shared" ref="D14:M14" si="0">((D5)*10^9/3600)+D12</f>
        <v>352.71216406008358</v>
      </c>
      <c r="E14" s="21">
        <f t="shared" si="0"/>
        <v>1456.3514139522579</v>
      </c>
      <c r="F14" s="21"/>
      <c r="G14" s="21">
        <f t="shared" si="0"/>
        <v>445088.27662060258</v>
      </c>
      <c r="H14" s="21">
        <f t="shared" si="0"/>
        <v>95717.496453366199</v>
      </c>
      <c r="I14" s="21"/>
      <c r="J14" s="21"/>
      <c r="K14" s="21"/>
      <c r="L14" s="21"/>
      <c r="M14" s="21">
        <f t="shared" si="0"/>
        <v>16890.614552855539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0.19954005036506714</v>
      </c>
      <c r="C16" s="56">
        <f ca="1">'EF ele_warmte'!B22</f>
        <v>3.9029786679127591E-2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29.304433419767523</v>
      </c>
      <c r="C18" s="23"/>
      <c r="D18" s="23">
        <f t="shared" ref="D18:M18" si="1">D14*D16</f>
        <v>71.247857140136887</v>
      </c>
      <c r="E18" s="23">
        <f t="shared" si="1"/>
        <v>330.59177096716257</v>
      </c>
      <c r="F18" s="23"/>
      <c r="G18" s="23">
        <f t="shared" si="1"/>
        <v>118838.5698577009</v>
      </c>
      <c r="H18" s="23">
        <f t="shared" si="1"/>
        <v>23833.656616888184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1.4042009062322617E-2</v>
      </c>
      <c r="H50" s="321">
        <f t="shared" si="2"/>
        <v>0</v>
      </c>
      <c r="I50" s="321">
        <f t="shared" si="2"/>
        <v>0</v>
      </c>
      <c r="J50" s="321">
        <f t="shared" si="2"/>
        <v>0</v>
      </c>
      <c r="K50" s="321">
        <f t="shared" si="2"/>
        <v>0</v>
      </c>
      <c r="L50" s="321">
        <f t="shared" si="2"/>
        <v>0</v>
      </c>
      <c r="M50" s="321">
        <f t="shared" si="2"/>
        <v>4.3555170658209199E-4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1.4042009062322617E-2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4.3555170658209199E-4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3900.5580728673935</v>
      </c>
      <c r="H54" s="21">
        <f t="shared" si="3"/>
        <v>0</v>
      </c>
      <c r="I54" s="21">
        <f t="shared" si="3"/>
        <v>0</v>
      </c>
      <c r="J54" s="21">
        <f t="shared" si="3"/>
        <v>0</v>
      </c>
      <c r="K54" s="21">
        <f t="shared" si="3"/>
        <v>0</v>
      </c>
      <c r="L54" s="21">
        <f t="shared" si="3"/>
        <v>0</v>
      </c>
      <c r="M54" s="21">
        <f t="shared" si="3"/>
        <v>120.98658516169222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0.19954005036506714</v>
      </c>
      <c r="C56" s="56">
        <f ca="1">'EF ele_warmte'!B22</f>
        <v>3.9029786679127591E-2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1041.449005455594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88903.370155640005</v>
      </c>
      <c r="D10" s="1012">
        <f ca="1">tertiair!C16</f>
        <v>1428.75</v>
      </c>
      <c r="E10" s="1012">
        <f ca="1">tertiair!D16</f>
        <v>75704.849917902393</v>
      </c>
      <c r="F10" s="1012">
        <f>tertiair!E16</f>
        <v>1413.9681773479203</v>
      </c>
      <c r="G10" s="1012">
        <f ca="1">tertiair!F16</f>
        <v>22233.433215475357</v>
      </c>
      <c r="H10" s="1012">
        <f>tertiair!G16</f>
        <v>0</v>
      </c>
      <c r="I10" s="1012">
        <f>tertiair!H16</f>
        <v>0</v>
      </c>
      <c r="J10" s="1012">
        <f>tertiair!I16</f>
        <v>0</v>
      </c>
      <c r="K10" s="1012">
        <f>tertiair!J16</f>
        <v>0</v>
      </c>
      <c r="L10" s="1012">
        <f>tertiair!K16</f>
        <v>0</v>
      </c>
      <c r="M10" s="1012">
        <f ca="1">tertiair!L16</f>
        <v>0</v>
      </c>
      <c r="N10" s="1012">
        <f>tertiair!M16</f>
        <v>0</v>
      </c>
      <c r="O10" s="1012">
        <f ca="1">tertiair!N16</f>
        <v>2893.4615991763458</v>
      </c>
      <c r="P10" s="1012">
        <f>tertiair!O16</f>
        <v>0</v>
      </c>
      <c r="Q10" s="1013">
        <f>tertiair!P16</f>
        <v>57.2</v>
      </c>
      <c r="R10" s="700">
        <f ca="1">SUM(C10:Q10)</f>
        <v>192635.033065542</v>
      </c>
      <c r="S10" s="67"/>
    </row>
    <row r="11" spans="1:19" s="473" customFormat="1">
      <c r="A11" s="809" t="s">
        <v>225</v>
      </c>
      <c r="B11" s="814"/>
      <c r="C11" s="1012">
        <f>huishoudens!B8</f>
        <v>61386.202304264843</v>
      </c>
      <c r="D11" s="1012">
        <f>huishoudens!C8</f>
        <v>0</v>
      </c>
      <c r="E11" s="1012">
        <f>huishoudens!D8</f>
        <v>164863.6656601</v>
      </c>
      <c r="F11" s="1012">
        <f>huishoudens!E8</f>
        <v>4639.7724911047872</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17070.541254529173</v>
      </c>
      <c r="P11" s="1012">
        <f>huishoudens!O8</f>
        <v>211.05</v>
      </c>
      <c r="Q11" s="1013">
        <f>huishoudens!P8</f>
        <v>629.20000000000005</v>
      </c>
      <c r="R11" s="700">
        <f>SUM(C11:Q11)</f>
        <v>248800.43170999881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58711.429901523006</v>
      </c>
      <c r="D13" s="1012">
        <f>industrie!C18</f>
        <v>0</v>
      </c>
      <c r="E13" s="1012">
        <f>industrie!D18</f>
        <v>31266.452734197559</v>
      </c>
      <c r="F13" s="1012">
        <f>industrie!E18</f>
        <v>8532.628036583088</v>
      </c>
      <c r="G13" s="1012">
        <f>industrie!F18</f>
        <v>30111.907329658086</v>
      </c>
      <c r="H13" s="1012">
        <f>industrie!G18</f>
        <v>0</v>
      </c>
      <c r="I13" s="1012">
        <f>industrie!H18</f>
        <v>0</v>
      </c>
      <c r="J13" s="1012">
        <f>industrie!I18</f>
        <v>0</v>
      </c>
      <c r="K13" s="1012">
        <f>industrie!J18</f>
        <v>253.12489805225832</v>
      </c>
      <c r="L13" s="1012">
        <f>industrie!K18</f>
        <v>0</v>
      </c>
      <c r="M13" s="1012">
        <f>industrie!L18</f>
        <v>0</v>
      </c>
      <c r="N13" s="1012">
        <f>industrie!M18</f>
        <v>0</v>
      </c>
      <c r="O13" s="1012">
        <f>industrie!N18</f>
        <v>14780.439951481156</v>
      </c>
      <c r="P13" s="1012">
        <f>industrie!O18</f>
        <v>0</v>
      </c>
      <c r="Q13" s="1013">
        <f>industrie!P18</f>
        <v>0</v>
      </c>
      <c r="R13" s="700">
        <f>SUM(C13:Q13)</f>
        <v>143655.98285149518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209001.00236142788</v>
      </c>
      <c r="D16" s="732">
        <f t="shared" ref="D16:R16" ca="1" si="0">SUM(D9:D15)</f>
        <v>1428.75</v>
      </c>
      <c r="E16" s="732">
        <f t="shared" ca="1" si="0"/>
        <v>271834.96831219993</v>
      </c>
      <c r="F16" s="732">
        <f t="shared" si="0"/>
        <v>14586.368705035795</v>
      </c>
      <c r="G16" s="732">
        <f t="shared" ca="1" si="0"/>
        <v>52345.34054513344</v>
      </c>
      <c r="H16" s="732">
        <f t="shared" si="0"/>
        <v>0</v>
      </c>
      <c r="I16" s="732">
        <f t="shared" si="0"/>
        <v>0</v>
      </c>
      <c r="J16" s="732">
        <f t="shared" si="0"/>
        <v>0</v>
      </c>
      <c r="K16" s="732">
        <f t="shared" si="0"/>
        <v>253.12489805225832</v>
      </c>
      <c r="L16" s="732">
        <f t="shared" si="0"/>
        <v>0</v>
      </c>
      <c r="M16" s="732">
        <f t="shared" ca="1" si="0"/>
        <v>0</v>
      </c>
      <c r="N16" s="732">
        <f t="shared" si="0"/>
        <v>0</v>
      </c>
      <c r="O16" s="732">
        <f t="shared" ca="1" si="0"/>
        <v>34744.442805186671</v>
      </c>
      <c r="P16" s="732">
        <f t="shared" si="0"/>
        <v>211.05</v>
      </c>
      <c r="Q16" s="732">
        <f t="shared" si="0"/>
        <v>686.40000000000009</v>
      </c>
      <c r="R16" s="732">
        <f t="shared" ca="1" si="0"/>
        <v>585091.44762703602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3900.5580728673935</v>
      </c>
      <c r="I19" s="1012">
        <f>transport!H54</f>
        <v>0</v>
      </c>
      <c r="J19" s="1012">
        <f>transport!I54</f>
        <v>0</v>
      </c>
      <c r="K19" s="1012">
        <f>transport!J54</f>
        <v>0</v>
      </c>
      <c r="L19" s="1012">
        <f>transport!K54</f>
        <v>0</v>
      </c>
      <c r="M19" s="1012">
        <f>transport!L54</f>
        <v>0</v>
      </c>
      <c r="N19" s="1012">
        <f>transport!M54</f>
        <v>120.98658516169222</v>
      </c>
      <c r="O19" s="1012">
        <f>transport!N54</f>
        <v>0</v>
      </c>
      <c r="P19" s="1012">
        <f>transport!O54</f>
        <v>0</v>
      </c>
      <c r="Q19" s="1013">
        <f>transport!P54</f>
        <v>0</v>
      </c>
      <c r="R19" s="700">
        <f>SUM(C19:Q19)</f>
        <v>4021.5446580290859</v>
      </c>
      <c r="S19" s="67"/>
    </row>
    <row r="20" spans="1:19" s="473" customFormat="1">
      <c r="A20" s="809" t="s">
        <v>307</v>
      </c>
      <c r="B20" s="814"/>
      <c r="C20" s="1012">
        <f>transport!B14</f>
        <v>146.85990790397113</v>
      </c>
      <c r="D20" s="1012">
        <f>transport!C14</f>
        <v>0</v>
      </c>
      <c r="E20" s="1012">
        <f>transport!D14</f>
        <v>352.71216406008358</v>
      </c>
      <c r="F20" s="1012">
        <f>transport!E14</f>
        <v>1456.3514139522579</v>
      </c>
      <c r="G20" s="1012">
        <f>transport!F14</f>
        <v>0</v>
      </c>
      <c r="H20" s="1012">
        <f>transport!G14</f>
        <v>445088.27662060258</v>
      </c>
      <c r="I20" s="1012">
        <f>transport!H14</f>
        <v>95717.496453366199</v>
      </c>
      <c r="J20" s="1012">
        <f>transport!I14</f>
        <v>0</v>
      </c>
      <c r="K20" s="1012">
        <f>transport!J14</f>
        <v>0</v>
      </c>
      <c r="L20" s="1012">
        <f>transport!K14</f>
        <v>0</v>
      </c>
      <c r="M20" s="1012">
        <f>transport!L14</f>
        <v>0</v>
      </c>
      <c r="N20" s="1012">
        <f>transport!M14</f>
        <v>16890.614552855539</v>
      </c>
      <c r="O20" s="1012">
        <f>transport!N14</f>
        <v>0</v>
      </c>
      <c r="P20" s="1012">
        <f>transport!O14</f>
        <v>0</v>
      </c>
      <c r="Q20" s="1013">
        <f>transport!P14</f>
        <v>0</v>
      </c>
      <c r="R20" s="700">
        <f>SUM(C20:Q20)</f>
        <v>559652.31111274066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146.85990790397113</v>
      </c>
      <c r="D22" s="812">
        <f t="shared" ref="D22:R22" si="1">SUM(D18:D21)</f>
        <v>0</v>
      </c>
      <c r="E22" s="812">
        <f t="shared" si="1"/>
        <v>352.71216406008358</v>
      </c>
      <c r="F22" s="812">
        <f t="shared" si="1"/>
        <v>1456.3514139522579</v>
      </c>
      <c r="G22" s="812">
        <f t="shared" si="1"/>
        <v>0</v>
      </c>
      <c r="H22" s="812">
        <f t="shared" si="1"/>
        <v>448988.83469346998</v>
      </c>
      <c r="I22" s="812">
        <f t="shared" si="1"/>
        <v>95717.496453366199</v>
      </c>
      <c r="J22" s="812">
        <f t="shared" si="1"/>
        <v>0</v>
      </c>
      <c r="K22" s="812">
        <f t="shared" si="1"/>
        <v>0</v>
      </c>
      <c r="L22" s="812">
        <f t="shared" si="1"/>
        <v>0</v>
      </c>
      <c r="M22" s="812">
        <f t="shared" si="1"/>
        <v>0</v>
      </c>
      <c r="N22" s="812">
        <f t="shared" si="1"/>
        <v>17011.601138017231</v>
      </c>
      <c r="O22" s="812">
        <f t="shared" si="1"/>
        <v>0</v>
      </c>
      <c r="P22" s="812">
        <f t="shared" si="1"/>
        <v>0</v>
      </c>
      <c r="Q22" s="812">
        <f t="shared" si="1"/>
        <v>0</v>
      </c>
      <c r="R22" s="812">
        <f t="shared" si="1"/>
        <v>563673.85577076976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689.43796170999997</v>
      </c>
      <c r="D24" s="1012">
        <f>+landbouw!C8</f>
        <v>7270.7142857142862</v>
      </c>
      <c r="E24" s="1012">
        <f>+landbouw!D8</f>
        <v>2738.5049926434203</v>
      </c>
      <c r="F24" s="1012">
        <f>+landbouw!E8</f>
        <v>17.777957896775884</v>
      </c>
      <c r="G24" s="1012">
        <f>+landbouw!F8</f>
        <v>2520.0270471318204</v>
      </c>
      <c r="H24" s="1012">
        <f>+landbouw!G8</f>
        <v>0</v>
      </c>
      <c r="I24" s="1012">
        <f>+landbouw!H8</f>
        <v>0</v>
      </c>
      <c r="J24" s="1012">
        <f>+landbouw!I8</f>
        <v>0</v>
      </c>
      <c r="K24" s="1012">
        <f>+landbouw!J8</f>
        <v>99.253704368368687</v>
      </c>
      <c r="L24" s="1012">
        <f>+landbouw!K8</f>
        <v>0</v>
      </c>
      <c r="M24" s="1012">
        <f>+landbouw!L8</f>
        <v>0</v>
      </c>
      <c r="N24" s="1012">
        <f>+landbouw!M8</f>
        <v>0</v>
      </c>
      <c r="O24" s="1012">
        <f>+landbouw!N8</f>
        <v>0</v>
      </c>
      <c r="P24" s="1012">
        <f>+landbouw!O8</f>
        <v>0</v>
      </c>
      <c r="Q24" s="1013">
        <f>+landbouw!P8</f>
        <v>0</v>
      </c>
      <c r="R24" s="700">
        <f>SUM(C24:Q24)</f>
        <v>13335.715949464671</v>
      </c>
      <c r="S24" s="67"/>
    </row>
    <row r="25" spans="1:19" s="473" customFormat="1" ht="15" thickBot="1">
      <c r="A25" s="831" t="s">
        <v>848</v>
      </c>
      <c r="B25" s="1015"/>
      <c r="C25" s="1016">
        <f>IF(Onbekend_ele_kWh="---",0,Onbekend_ele_kWh)/1000+IF(REST_rest_ele_kWh="---",0,REST_rest_ele_kWh)/1000</f>
        <v>2018.3133299000001</v>
      </c>
      <c r="D25" s="1016"/>
      <c r="E25" s="1016">
        <f>IF(onbekend_gas_kWh="---",0,onbekend_gas_kWh)/1000+IF(REST_rest_gas_kWh="---",0,REST_rest_gas_kWh)/1000</f>
        <v>5817.1035232999993</v>
      </c>
      <c r="F25" s="1016"/>
      <c r="G25" s="1016"/>
      <c r="H25" s="1016"/>
      <c r="I25" s="1016"/>
      <c r="J25" s="1016"/>
      <c r="K25" s="1016"/>
      <c r="L25" s="1016"/>
      <c r="M25" s="1016"/>
      <c r="N25" s="1016"/>
      <c r="O25" s="1016"/>
      <c r="P25" s="1016"/>
      <c r="Q25" s="1017"/>
      <c r="R25" s="700">
        <f>SUM(C25:Q25)</f>
        <v>7835.4168531999994</v>
      </c>
      <c r="S25" s="67"/>
    </row>
    <row r="26" spans="1:19" s="473" customFormat="1" ht="15.75" thickBot="1">
      <c r="A26" s="705" t="s">
        <v>849</v>
      </c>
      <c r="B26" s="817"/>
      <c r="C26" s="812">
        <f>SUM(C24:C25)</f>
        <v>2707.75129161</v>
      </c>
      <c r="D26" s="812">
        <f t="shared" ref="D26:R26" si="2">SUM(D24:D25)</f>
        <v>7270.7142857142862</v>
      </c>
      <c r="E26" s="812">
        <f t="shared" si="2"/>
        <v>8555.6085159434188</v>
      </c>
      <c r="F26" s="812">
        <f t="shared" si="2"/>
        <v>17.777957896775884</v>
      </c>
      <c r="G26" s="812">
        <f t="shared" si="2"/>
        <v>2520.0270471318204</v>
      </c>
      <c r="H26" s="812">
        <f t="shared" si="2"/>
        <v>0</v>
      </c>
      <c r="I26" s="812">
        <f t="shared" si="2"/>
        <v>0</v>
      </c>
      <c r="J26" s="812">
        <f t="shared" si="2"/>
        <v>0</v>
      </c>
      <c r="K26" s="812">
        <f t="shared" si="2"/>
        <v>99.253704368368687</v>
      </c>
      <c r="L26" s="812">
        <f t="shared" si="2"/>
        <v>0</v>
      </c>
      <c r="M26" s="812">
        <f t="shared" si="2"/>
        <v>0</v>
      </c>
      <c r="N26" s="812">
        <f t="shared" si="2"/>
        <v>0</v>
      </c>
      <c r="O26" s="812">
        <f t="shared" si="2"/>
        <v>0</v>
      </c>
      <c r="P26" s="812">
        <f t="shared" si="2"/>
        <v>0</v>
      </c>
      <c r="Q26" s="812">
        <f t="shared" si="2"/>
        <v>0</v>
      </c>
      <c r="R26" s="812">
        <f t="shared" si="2"/>
        <v>21171.13280266467</v>
      </c>
      <c r="S26" s="67"/>
    </row>
    <row r="27" spans="1:19" s="473" customFormat="1" ht="17.25" thickTop="1" thickBot="1">
      <c r="A27" s="706" t="s">
        <v>116</v>
      </c>
      <c r="B27" s="805"/>
      <c r="C27" s="707">
        <f ca="1">C22+C16+C26</f>
        <v>211855.61356094186</v>
      </c>
      <c r="D27" s="707">
        <f t="shared" ref="D27:R27" ca="1" si="3">D22+D16+D26</f>
        <v>8699.4642857142862</v>
      </c>
      <c r="E27" s="707">
        <f t="shared" ca="1" si="3"/>
        <v>280743.28899220342</v>
      </c>
      <c r="F27" s="707">
        <f t="shared" si="3"/>
        <v>16060.498076884829</v>
      </c>
      <c r="G27" s="707">
        <f t="shared" ca="1" si="3"/>
        <v>54865.367592265262</v>
      </c>
      <c r="H27" s="707">
        <f t="shared" si="3"/>
        <v>448988.83469346998</v>
      </c>
      <c r="I27" s="707">
        <f t="shared" si="3"/>
        <v>95717.496453366199</v>
      </c>
      <c r="J27" s="707">
        <f t="shared" si="3"/>
        <v>0</v>
      </c>
      <c r="K27" s="707">
        <f t="shared" si="3"/>
        <v>352.37860242062698</v>
      </c>
      <c r="L27" s="707">
        <f t="shared" si="3"/>
        <v>0</v>
      </c>
      <c r="M27" s="707">
        <f t="shared" ca="1" si="3"/>
        <v>0</v>
      </c>
      <c r="N27" s="707">
        <f t="shared" si="3"/>
        <v>17011.601138017231</v>
      </c>
      <c r="O27" s="707">
        <f t="shared" ca="1" si="3"/>
        <v>34744.442805186671</v>
      </c>
      <c r="P27" s="707">
        <f t="shared" si="3"/>
        <v>211.05</v>
      </c>
      <c r="Q27" s="707">
        <f t="shared" si="3"/>
        <v>686.40000000000009</v>
      </c>
      <c r="R27" s="707">
        <f t="shared" ca="1" si="3"/>
        <v>1169936.4362004707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17739.782958480613</v>
      </c>
      <c r="D40" s="1012">
        <f ca="1">tertiair!C20</f>
        <v>55.763807717803545</v>
      </c>
      <c r="E40" s="1012">
        <f ca="1">tertiair!D20</f>
        <v>15292.379683416284</v>
      </c>
      <c r="F40" s="1012">
        <f>tertiair!E20</f>
        <v>320.97077625797795</v>
      </c>
      <c r="G40" s="1012">
        <f ca="1">tertiair!F20</f>
        <v>5936.3266685319204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39345.223894404597</v>
      </c>
    </row>
    <row r="41" spans="1:18">
      <c r="A41" s="822" t="s">
        <v>225</v>
      </c>
      <c r="B41" s="829"/>
      <c r="C41" s="1012">
        <f ca="1">huishoudens!B12</f>
        <v>12249.005899513208</v>
      </c>
      <c r="D41" s="1012">
        <f ca="1">huishoudens!C12</f>
        <v>0</v>
      </c>
      <c r="E41" s="1012">
        <f>huishoudens!D12</f>
        <v>33302.460463340205</v>
      </c>
      <c r="F41" s="1012">
        <f>huishoudens!E12</f>
        <v>1053.2283554807866</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46604.694718334198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11715.28167955501</v>
      </c>
      <c r="D43" s="1012">
        <f ca="1">industrie!C22</f>
        <v>0</v>
      </c>
      <c r="E43" s="1012">
        <f>industrie!D22</f>
        <v>6315.8234523079072</v>
      </c>
      <c r="F43" s="1012">
        <f>industrie!E22</f>
        <v>1936.9065643043612</v>
      </c>
      <c r="G43" s="1012">
        <f>industrie!F22</f>
        <v>8039.8792570187097</v>
      </c>
      <c r="H43" s="1012">
        <f>industrie!G22</f>
        <v>0</v>
      </c>
      <c r="I43" s="1012">
        <f>industrie!H22</f>
        <v>0</v>
      </c>
      <c r="J43" s="1012">
        <f>industrie!I22</f>
        <v>0</v>
      </c>
      <c r="K43" s="1012">
        <f>industrie!J22</f>
        <v>89.606213910499434</v>
      </c>
      <c r="L43" s="1012">
        <f>industrie!K22</f>
        <v>0</v>
      </c>
      <c r="M43" s="1012">
        <f>industrie!L22</f>
        <v>0</v>
      </c>
      <c r="N43" s="1012">
        <f>industrie!M22</f>
        <v>0</v>
      </c>
      <c r="O43" s="1012">
        <f>industrie!N22</f>
        <v>0</v>
      </c>
      <c r="P43" s="1012">
        <f>industrie!O22</f>
        <v>0</v>
      </c>
      <c r="Q43" s="774">
        <f>industrie!P22</f>
        <v>0</v>
      </c>
      <c r="R43" s="849">
        <f t="shared" ca="1" si="4"/>
        <v>28097.497167096488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41704.070537548832</v>
      </c>
      <c r="D46" s="732">
        <f t="shared" ref="D46:Q46" ca="1" si="5">SUM(D39:D45)</f>
        <v>55.763807717803545</v>
      </c>
      <c r="E46" s="732">
        <f t="shared" ca="1" si="5"/>
        <v>54910.663599064399</v>
      </c>
      <c r="F46" s="732">
        <f t="shared" si="5"/>
        <v>3311.105696043126</v>
      </c>
      <c r="G46" s="732">
        <f t="shared" ca="1" si="5"/>
        <v>13976.20592555063</v>
      </c>
      <c r="H46" s="732">
        <f t="shared" si="5"/>
        <v>0</v>
      </c>
      <c r="I46" s="732">
        <f t="shared" si="5"/>
        <v>0</v>
      </c>
      <c r="J46" s="732">
        <f t="shared" si="5"/>
        <v>0</v>
      </c>
      <c r="K46" s="732">
        <f t="shared" si="5"/>
        <v>89.606213910499434</v>
      </c>
      <c r="L46" s="732">
        <f t="shared" si="5"/>
        <v>0</v>
      </c>
      <c r="M46" s="732">
        <f t="shared" ca="1" si="5"/>
        <v>0</v>
      </c>
      <c r="N46" s="732">
        <f t="shared" si="5"/>
        <v>0</v>
      </c>
      <c r="O46" s="732">
        <f t="shared" ca="1" si="5"/>
        <v>0</v>
      </c>
      <c r="P46" s="732">
        <f t="shared" si="5"/>
        <v>0</v>
      </c>
      <c r="Q46" s="732">
        <f t="shared" si="5"/>
        <v>0</v>
      </c>
      <c r="R46" s="732">
        <f ca="1">SUM(R39:R45)</f>
        <v>114047.41577983528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1041.449005455594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1041.449005455594</v>
      </c>
    </row>
    <row r="50" spans="1:18">
      <c r="A50" s="825" t="s">
        <v>307</v>
      </c>
      <c r="B50" s="835"/>
      <c r="C50" s="703">
        <f ca="1">transport!B18</f>
        <v>29.304433419767523</v>
      </c>
      <c r="D50" s="703">
        <f>transport!C18</f>
        <v>0</v>
      </c>
      <c r="E50" s="703">
        <f>transport!D18</f>
        <v>71.247857140136887</v>
      </c>
      <c r="F50" s="703">
        <f>transport!E18</f>
        <v>330.59177096716257</v>
      </c>
      <c r="G50" s="703">
        <f>transport!F18</f>
        <v>0</v>
      </c>
      <c r="H50" s="703">
        <f>transport!G18</f>
        <v>118838.5698577009</v>
      </c>
      <c r="I50" s="703">
        <f>transport!H18</f>
        <v>23833.656616888184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143103.37053611616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29.304433419767523</v>
      </c>
      <c r="D52" s="732">
        <f t="shared" ref="D52:Q52" ca="1" si="6">SUM(D48:D51)</f>
        <v>0</v>
      </c>
      <c r="E52" s="732">
        <f t="shared" si="6"/>
        <v>71.247857140136887</v>
      </c>
      <c r="F52" s="732">
        <f t="shared" si="6"/>
        <v>330.59177096716257</v>
      </c>
      <c r="G52" s="732">
        <f t="shared" si="6"/>
        <v>0</v>
      </c>
      <c r="H52" s="732">
        <f t="shared" si="6"/>
        <v>119880.0188631565</v>
      </c>
      <c r="I52" s="732">
        <f t="shared" si="6"/>
        <v>23833.656616888184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144144.81954157175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137.57048560320263</v>
      </c>
      <c r="D54" s="703">
        <f ca="1">+landbouw!C12</f>
        <v>283.77442757631411</v>
      </c>
      <c r="E54" s="703">
        <f>+landbouw!D12</f>
        <v>553.17800851397089</v>
      </c>
      <c r="F54" s="703">
        <f>+landbouw!E12</f>
        <v>4.0355964425681261</v>
      </c>
      <c r="G54" s="703">
        <f>+landbouw!F12</f>
        <v>672.84722158419606</v>
      </c>
      <c r="H54" s="703">
        <f>+landbouw!G12</f>
        <v>0</v>
      </c>
      <c r="I54" s="703">
        <f>+landbouw!H12</f>
        <v>0</v>
      </c>
      <c r="J54" s="703">
        <f>+landbouw!I12</f>
        <v>0</v>
      </c>
      <c r="K54" s="703">
        <f>+landbouw!J12</f>
        <v>35.135811346402512</v>
      </c>
      <c r="L54" s="703">
        <f>+landbouw!K12</f>
        <v>0</v>
      </c>
      <c r="M54" s="703">
        <f>+landbouw!L12</f>
        <v>0</v>
      </c>
      <c r="N54" s="703">
        <f>+landbouw!M12</f>
        <v>0</v>
      </c>
      <c r="O54" s="703">
        <f>+landbouw!N12</f>
        <v>0</v>
      </c>
      <c r="P54" s="703">
        <f>+landbouw!O12</f>
        <v>0</v>
      </c>
      <c r="Q54" s="704">
        <f>+landbouw!P12</f>
        <v>0</v>
      </c>
      <c r="R54" s="731">
        <f ca="1">SUM(C54:Q54)</f>
        <v>1686.5415510666544</v>
      </c>
    </row>
    <row r="55" spans="1:18" ht="15" thickBot="1">
      <c r="A55" s="825" t="s">
        <v>848</v>
      </c>
      <c r="B55" s="835"/>
      <c r="C55" s="703">
        <f ca="1">C25*'EF ele_warmte'!B12</f>
        <v>402.73434350073239</v>
      </c>
      <c r="D55" s="703"/>
      <c r="E55" s="703">
        <f>E25*EF_CO2_aardgas</f>
        <v>1175.0549117066</v>
      </c>
      <c r="F55" s="703"/>
      <c r="G55" s="703"/>
      <c r="H55" s="703"/>
      <c r="I55" s="703"/>
      <c r="J55" s="703"/>
      <c r="K55" s="703"/>
      <c r="L55" s="703"/>
      <c r="M55" s="703"/>
      <c r="N55" s="703"/>
      <c r="O55" s="703"/>
      <c r="P55" s="703"/>
      <c r="Q55" s="704"/>
      <c r="R55" s="731">
        <f ca="1">SUM(C55:Q55)</f>
        <v>1577.7892552073324</v>
      </c>
    </row>
    <row r="56" spans="1:18" ht="15.75" thickBot="1">
      <c r="A56" s="823" t="s">
        <v>849</v>
      </c>
      <c r="B56" s="836"/>
      <c r="C56" s="732">
        <f ca="1">SUM(C54:C55)</f>
        <v>540.30482910393505</v>
      </c>
      <c r="D56" s="732">
        <f t="shared" ref="D56:Q56" ca="1" si="7">SUM(D54:D55)</f>
        <v>283.77442757631411</v>
      </c>
      <c r="E56" s="732">
        <f t="shared" si="7"/>
        <v>1728.232920220571</v>
      </c>
      <c r="F56" s="732">
        <f t="shared" si="7"/>
        <v>4.0355964425681261</v>
      </c>
      <c r="G56" s="732">
        <f t="shared" si="7"/>
        <v>672.84722158419606</v>
      </c>
      <c r="H56" s="732">
        <f t="shared" si="7"/>
        <v>0</v>
      </c>
      <c r="I56" s="732">
        <f t="shared" si="7"/>
        <v>0</v>
      </c>
      <c r="J56" s="732">
        <f t="shared" si="7"/>
        <v>0</v>
      </c>
      <c r="K56" s="732">
        <f t="shared" si="7"/>
        <v>35.135811346402512</v>
      </c>
      <c r="L56" s="732">
        <f t="shared" si="7"/>
        <v>0</v>
      </c>
      <c r="M56" s="732">
        <f t="shared" si="7"/>
        <v>0</v>
      </c>
      <c r="N56" s="732">
        <f t="shared" si="7"/>
        <v>0</v>
      </c>
      <c r="O56" s="732">
        <f t="shared" si="7"/>
        <v>0</v>
      </c>
      <c r="P56" s="732">
        <f t="shared" si="7"/>
        <v>0</v>
      </c>
      <c r="Q56" s="733">
        <f t="shared" si="7"/>
        <v>0</v>
      </c>
      <c r="R56" s="734">
        <f ca="1">SUM(R54:R55)</f>
        <v>3264.330806273987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42273.679800072539</v>
      </c>
      <c r="D61" s="740">
        <f t="shared" ref="D61:Q61" ca="1" si="8">D46+D52+D56</f>
        <v>339.53823529411767</v>
      </c>
      <c r="E61" s="740">
        <f t="shared" ca="1" si="8"/>
        <v>56710.144376425109</v>
      </c>
      <c r="F61" s="740">
        <f t="shared" si="8"/>
        <v>3645.7330634528566</v>
      </c>
      <c r="G61" s="740">
        <f t="shared" ca="1" si="8"/>
        <v>14649.053147134826</v>
      </c>
      <c r="H61" s="740">
        <f t="shared" si="8"/>
        <v>119880.0188631565</v>
      </c>
      <c r="I61" s="740">
        <f t="shared" si="8"/>
        <v>23833.656616888184</v>
      </c>
      <c r="J61" s="740">
        <f t="shared" si="8"/>
        <v>0</v>
      </c>
      <c r="K61" s="740">
        <f t="shared" si="8"/>
        <v>124.74202525690194</v>
      </c>
      <c r="L61" s="740">
        <f t="shared" si="8"/>
        <v>0</v>
      </c>
      <c r="M61" s="740">
        <f t="shared" ca="1" si="8"/>
        <v>0</v>
      </c>
      <c r="N61" s="740">
        <f t="shared" si="8"/>
        <v>0</v>
      </c>
      <c r="O61" s="740">
        <f t="shared" ca="1" si="8"/>
        <v>0</v>
      </c>
      <c r="P61" s="740">
        <f t="shared" si="8"/>
        <v>0</v>
      </c>
      <c r="Q61" s="740">
        <f t="shared" si="8"/>
        <v>0</v>
      </c>
      <c r="R61" s="740">
        <f ca="1">R46+R52+R56</f>
        <v>261456.56612768103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0.19954005036506714</v>
      </c>
      <c r="D63" s="781">
        <f t="shared" ca="1" si="9"/>
        <v>3.9029786679127591E-2</v>
      </c>
      <c r="E63" s="1023">
        <f t="shared" ca="1" si="9"/>
        <v>0.20200000000000007</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9877.5672521250053</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5680.262777746002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5089.5</v>
      </c>
      <c r="C76" s="750">
        <f>'lokale energieproductie'!B8*IFERROR(SUM(D76:H76)/SUM(D76:O76),0)</f>
        <v>1000.1249999999998</v>
      </c>
      <c r="D76" s="1033">
        <f>'lokale energieproductie'!C8</f>
        <v>1176.6176470588234</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5987.6470588235297</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237.67676470588233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20647.330029871009</v>
      </c>
      <c r="C78" s="755">
        <f>SUM(C72:C77)</f>
        <v>1000.1249999999998</v>
      </c>
      <c r="D78" s="756">
        <f t="shared" ref="D78:H78" si="10">SUM(D76:D77)</f>
        <v>1176.6176470588234</v>
      </c>
      <c r="E78" s="756">
        <f t="shared" si="10"/>
        <v>0</v>
      </c>
      <c r="F78" s="756">
        <f t="shared" si="10"/>
        <v>0</v>
      </c>
      <c r="G78" s="756">
        <f t="shared" si="10"/>
        <v>0</v>
      </c>
      <c r="H78" s="756">
        <f t="shared" si="10"/>
        <v>0</v>
      </c>
      <c r="I78" s="756">
        <f>SUM(I76:I77)</f>
        <v>0</v>
      </c>
      <c r="J78" s="756">
        <f>SUM(J76:J77)</f>
        <v>5987.6470588235297</v>
      </c>
      <c r="K78" s="756">
        <f t="shared" ref="K78:L78" si="11">SUM(K76:K77)</f>
        <v>0</v>
      </c>
      <c r="L78" s="756">
        <f t="shared" si="11"/>
        <v>0</v>
      </c>
      <c r="M78" s="756">
        <f>SUM(M76:M77)</f>
        <v>0</v>
      </c>
      <c r="N78" s="756">
        <f>SUM(N76:N77)</f>
        <v>0</v>
      </c>
      <c r="O78" s="860">
        <f>SUM(O76:O77)</f>
        <v>0</v>
      </c>
      <c r="P78" s="757">
        <v>0</v>
      </c>
      <c r="Q78" s="757">
        <f>SUM(Q76:Q77)</f>
        <v>237.67676470588233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7270.7142857142862</v>
      </c>
      <c r="C87" s="766">
        <f>'lokale energieproductie'!B17*IFERROR(SUM(D87:H87)/SUM(D87:O87),0)</f>
        <v>1428.75</v>
      </c>
      <c r="D87" s="777">
        <f>'lokale energieproductie'!C17</f>
        <v>1680.8823529411766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8553.7815126050427</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339.53823529411767</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7270.7142857142862</v>
      </c>
      <c r="C90" s="755">
        <f>SUM(C87:C89)</f>
        <v>1428.75</v>
      </c>
      <c r="D90" s="755">
        <f t="shared" ref="D90:H90" si="12">SUM(D87:D89)</f>
        <v>1680.8823529411766</v>
      </c>
      <c r="E90" s="755">
        <f t="shared" si="12"/>
        <v>0</v>
      </c>
      <c r="F90" s="755">
        <f t="shared" si="12"/>
        <v>0</v>
      </c>
      <c r="G90" s="755">
        <f t="shared" si="12"/>
        <v>0</v>
      </c>
      <c r="H90" s="755">
        <f t="shared" si="12"/>
        <v>0</v>
      </c>
      <c r="I90" s="755">
        <f>SUM(I87:I89)</f>
        <v>0</v>
      </c>
      <c r="J90" s="755">
        <f>SUM(J87:J89)</f>
        <v>8553.7815126050427</v>
      </c>
      <c r="K90" s="755">
        <f t="shared" ref="K90:L90" si="13">SUM(K87:K89)</f>
        <v>0</v>
      </c>
      <c r="L90" s="755">
        <f t="shared" si="13"/>
        <v>0</v>
      </c>
      <c r="M90" s="755">
        <f>SUM(M87:M89)</f>
        <v>0</v>
      </c>
      <c r="N90" s="755">
        <f>SUM(N87:N89)</f>
        <v>0</v>
      </c>
      <c r="O90" s="755">
        <f>SUM(O87:O89)</f>
        <v>0</v>
      </c>
      <c r="P90" s="755">
        <v>0</v>
      </c>
      <c r="Q90" s="755">
        <f>SUM(Q87:Q89)</f>
        <v>339.53823529411767</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9877.5672521250053</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5680.262777746002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6089.625</v>
      </c>
      <c r="C8" s="570">
        <f>B101</f>
        <v>1176.6176470588234</v>
      </c>
      <c r="D8" s="1043"/>
      <c r="E8" s="1043">
        <f>E101</f>
        <v>0</v>
      </c>
      <c r="F8" s="1044"/>
      <c r="G8" s="571"/>
      <c r="H8" s="1043">
        <f>I101</f>
        <v>0</v>
      </c>
      <c r="I8" s="1043">
        <f>G101+F101</f>
        <v>0</v>
      </c>
      <c r="J8" s="1043">
        <f>H101+D101+C101</f>
        <v>5987.6470588235297</v>
      </c>
      <c r="K8" s="1043"/>
      <c r="L8" s="1043"/>
      <c r="M8" s="1043"/>
      <c r="N8" s="572"/>
      <c r="O8" s="573">
        <f>C8*$C$12+D8*$D$12+E8*$E$12+F8*$F$12+G8*$G$12+H8*$H$12+I8*$I$12+J8*$J$12</f>
        <v>237.67676470588233</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21647.455029871009</v>
      </c>
      <c r="C10" s="583">
        <f t="shared" ref="C10:L10" si="0">SUM(C8:C9)</f>
        <v>1176.6176470588234</v>
      </c>
      <c r="D10" s="583">
        <f t="shared" si="0"/>
        <v>0</v>
      </c>
      <c r="E10" s="583">
        <f t="shared" si="0"/>
        <v>0</v>
      </c>
      <c r="F10" s="583">
        <f t="shared" si="0"/>
        <v>0</v>
      </c>
      <c r="G10" s="583">
        <f t="shared" si="0"/>
        <v>0</v>
      </c>
      <c r="H10" s="583">
        <f t="shared" si="0"/>
        <v>0</v>
      </c>
      <c r="I10" s="583">
        <f t="shared" si="0"/>
        <v>0</v>
      </c>
      <c r="J10" s="583">
        <f t="shared" si="0"/>
        <v>5987.6470588235297</v>
      </c>
      <c r="K10" s="583">
        <f t="shared" si="0"/>
        <v>0</v>
      </c>
      <c r="L10" s="583">
        <f t="shared" si="0"/>
        <v>0</v>
      </c>
      <c r="M10" s="1046"/>
      <c r="N10" s="1046"/>
      <c r="O10" s="584">
        <f>SUM(O4:O9)</f>
        <v>237.67676470588233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8699.4642857142862</v>
      </c>
      <c r="C17" s="595">
        <f>B102</f>
        <v>1680.8823529411766</v>
      </c>
      <c r="D17" s="596"/>
      <c r="E17" s="596">
        <f>E102</f>
        <v>0</v>
      </c>
      <c r="F17" s="1049"/>
      <c r="G17" s="597"/>
      <c r="H17" s="595">
        <f>I102</f>
        <v>0</v>
      </c>
      <c r="I17" s="596">
        <f>G102+F102</f>
        <v>0</v>
      </c>
      <c r="J17" s="596">
        <f>H102+D102+C102</f>
        <v>8553.7815126050427</v>
      </c>
      <c r="K17" s="596"/>
      <c r="L17" s="596"/>
      <c r="M17" s="596"/>
      <c r="N17" s="1050"/>
      <c r="O17" s="598">
        <f>C17*$C$22+E17*$E$22+H17*$H$22+I17*$I$22+J17*$J$22+D17*$D$22+F17*$F$22+G17*$G$22+K17*$K$22+L17*$L$22</f>
        <v>339.53823529411767</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8699.4642857142862</v>
      </c>
      <c r="C20" s="582">
        <f>SUM(C17:C19)</f>
        <v>1680.8823529411766</v>
      </c>
      <c r="D20" s="582">
        <f t="shared" ref="D20:L20" si="1">SUM(D17:D19)</f>
        <v>0</v>
      </c>
      <c r="E20" s="582">
        <f t="shared" si="1"/>
        <v>0</v>
      </c>
      <c r="F20" s="582">
        <f t="shared" si="1"/>
        <v>0</v>
      </c>
      <c r="G20" s="582">
        <f t="shared" si="1"/>
        <v>0</v>
      </c>
      <c r="H20" s="582">
        <f t="shared" si="1"/>
        <v>0</v>
      </c>
      <c r="I20" s="582">
        <f t="shared" si="1"/>
        <v>0</v>
      </c>
      <c r="J20" s="582">
        <f t="shared" si="1"/>
        <v>8553.7815126050427</v>
      </c>
      <c r="K20" s="582">
        <f t="shared" si="1"/>
        <v>0</v>
      </c>
      <c r="L20" s="582">
        <f t="shared" si="1"/>
        <v>0</v>
      </c>
      <c r="M20" s="582"/>
      <c r="N20" s="582"/>
      <c r="O20" s="601">
        <f>SUM(O17:O19)</f>
        <v>339.53823529411767</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23027</v>
      </c>
      <c r="C28" s="796">
        <v>1500</v>
      </c>
      <c r="D28" s="653" t="s">
        <v>890</v>
      </c>
      <c r="E28" s="652" t="s">
        <v>891</v>
      </c>
      <c r="F28" s="652" t="s">
        <v>892</v>
      </c>
      <c r="G28" s="652" t="s">
        <v>893</v>
      </c>
      <c r="H28" s="652" t="s">
        <v>894</v>
      </c>
      <c r="I28" s="652" t="s">
        <v>891</v>
      </c>
      <c r="J28" s="795">
        <v>40101</v>
      </c>
      <c r="K28" s="795">
        <v>40101</v>
      </c>
      <c r="L28" s="652" t="s">
        <v>895</v>
      </c>
      <c r="M28" s="652">
        <v>1131</v>
      </c>
      <c r="N28" s="652">
        <v>5089.5</v>
      </c>
      <c r="O28" s="652">
        <v>7270.7142857142862</v>
      </c>
      <c r="P28" s="652">
        <v>0</v>
      </c>
      <c r="Q28" s="652">
        <v>14541.428571428572</v>
      </c>
      <c r="R28" s="652">
        <v>0</v>
      </c>
      <c r="S28" s="652">
        <v>0</v>
      </c>
      <c r="T28" s="652">
        <v>0</v>
      </c>
      <c r="U28" s="652">
        <v>0</v>
      </c>
      <c r="V28" s="652">
        <v>0</v>
      </c>
      <c r="W28" s="652">
        <v>0</v>
      </c>
      <c r="X28" s="652">
        <v>10</v>
      </c>
      <c r="Y28" s="652" t="s">
        <v>112</v>
      </c>
      <c r="Z28" s="654" t="s">
        <v>112</v>
      </c>
    </row>
    <row r="29" spans="1:26" s="606" customFormat="1" ht="25.5">
      <c r="A29" s="605"/>
      <c r="B29" s="796">
        <v>23027</v>
      </c>
      <c r="C29" s="796">
        <v>1500</v>
      </c>
      <c r="D29" s="653"/>
      <c r="E29" s="652"/>
      <c r="F29" s="652" t="s">
        <v>896</v>
      </c>
      <c r="G29" s="652" t="s">
        <v>893</v>
      </c>
      <c r="H29" s="652" t="s">
        <v>894</v>
      </c>
      <c r="I29" s="652" t="s">
        <v>897</v>
      </c>
      <c r="J29" s="795">
        <v>42234</v>
      </c>
      <c r="K29" s="795">
        <v>42257</v>
      </c>
      <c r="L29" s="652" t="s">
        <v>895</v>
      </c>
      <c r="M29" s="652">
        <v>889</v>
      </c>
      <c r="N29" s="652">
        <v>1000.125</v>
      </c>
      <c r="O29" s="652">
        <v>1428.75</v>
      </c>
      <c r="P29" s="652">
        <v>2857.5</v>
      </c>
      <c r="Q29" s="652">
        <v>0</v>
      </c>
      <c r="R29" s="652">
        <v>0</v>
      </c>
      <c r="S29" s="652">
        <v>0</v>
      </c>
      <c r="T29" s="652">
        <v>0</v>
      </c>
      <c r="U29" s="652">
        <v>0</v>
      </c>
      <c r="V29" s="652">
        <v>0</v>
      </c>
      <c r="W29" s="652">
        <v>0</v>
      </c>
      <c r="X29" s="652">
        <v>1100</v>
      </c>
      <c r="Y29" s="652" t="s">
        <v>52</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2020</v>
      </c>
      <c r="N58" s="610">
        <f>SUM(N28:N57)</f>
        <v>6089.625</v>
      </c>
      <c r="O58" s="610">
        <f t="shared" ref="O58:W58" si="2">SUM(O28:O57)</f>
        <v>8699.4642857142862</v>
      </c>
      <c r="P58" s="610">
        <f t="shared" si="2"/>
        <v>2857.5</v>
      </c>
      <c r="Q58" s="610">
        <f t="shared" si="2"/>
        <v>14541.428571428572</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889</v>
      </c>
      <c r="N60" s="610">
        <f ca="1">SUMIF($Z$28:AD57,"tertiair",N28:N57)</f>
        <v>1000.125</v>
      </c>
      <c r="O60" s="610">
        <f ca="1">SUMIF($Z$28:AE57,"tertiair",O28:O57)</f>
        <v>1428.75</v>
      </c>
      <c r="P60" s="610">
        <f ca="1">SUMIF($Z$28:AF57,"tertiair",P28:P57)</f>
        <v>2857.5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1131</v>
      </c>
      <c r="N61" s="615">
        <f t="shared" si="4"/>
        <v>5089.5</v>
      </c>
      <c r="O61" s="615">
        <f t="shared" si="4"/>
        <v>7270.7142857142862</v>
      </c>
      <c r="P61" s="615">
        <f t="shared" si="4"/>
        <v>0</v>
      </c>
      <c r="Q61" s="615">
        <f t="shared" si="4"/>
        <v>14541.428571428572</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1176.6176470588234</v>
      </c>
      <c r="C101" s="644">
        <f t="shared" si="9"/>
        <v>5987.6470588235297</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1680.8823529411766</v>
      </c>
      <c r="C102" s="647">
        <f t="shared" si="10"/>
        <v>8553.7815126050427</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61386.202304264843</v>
      </c>
      <c r="C4" s="477">
        <f>huishoudens!C8</f>
        <v>0</v>
      </c>
      <c r="D4" s="477">
        <f>huishoudens!D8</f>
        <v>164863.6656601</v>
      </c>
      <c r="E4" s="477">
        <f>huishoudens!E8</f>
        <v>4639.7724911047872</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17070.541254529173</v>
      </c>
      <c r="O4" s="477">
        <f>huishoudens!O8</f>
        <v>211.05</v>
      </c>
      <c r="P4" s="478">
        <f>huishoudens!P8</f>
        <v>629.20000000000005</v>
      </c>
      <c r="Q4" s="479">
        <f>SUM(B4:P4)</f>
        <v>248800.43170999881</v>
      </c>
    </row>
    <row r="5" spans="1:17">
      <c r="A5" s="476" t="s">
        <v>156</v>
      </c>
      <c r="B5" s="477">
        <f ca="1">tertiair!B16</f>
        <v>86011.26915564001</v>
      </c>
      <c r="C5" s="477">
        <f ca="1">tertiair!C16</f>
        <v>1428.75</v>
      </c>
      <c r="D5" s="477">
        <f ca="1">tertiair!D16</f>
        <v>75704.849917902393</v>
      </c>
      <c r="E5" s="477">
        <f>tertiair!E16</f>
        <v>1413.9681773479203</v>
      </c>
      <c r="F5" s="477">
        <f ca="1">tertiair!F16</f>
        <v>22233.433215475357</v>
      </c>
      <c r="G5" s="477">
        <f>tertiair!G16</f>
        <v>0</v>
      </c>
      <c r="H5" s="477">
        <f>tertiair!H16</f>
        <v>0</v>
      </c>
      <c r="I5" s="477">
        <f>tertiair!I16</f>
        <v>0</v>
      </c>
      <c r="J5" s="477">
        <f>tertiair!J16</f>
        <v>0</v>
      </c>
      <c r="K5" s="477">
        <f>tertiair!K16</f>
        <v>0</v>
      </c>
      <c r="L5" s="477">
        <f ca="1">tertiair!L16</f>
        <v>0</v>
      </c>
      <c r="M5" s="477">
        <f>tertiair!M16</f>
        <v>0</v>
      </c>
      <c r="N5" s="477">
        <f ca="1">tertiair!N16</f>
        <v>2893.4615991763458</v>
      </c>
      <c r="O5" s="477">
        <f>tertiair!O16</f>
        <v>0</v>
      </c>
      <c r="P5" s="478">
        <f>tertiair!P16</f>
        <v>57.2</v>
      </c>
      <c r="Q5" s="476">
        <f t="shared" ref="Q5:Q14" ca="1" si="0">SUM(B5:P5)</f>
        <v>189742.93206554203</v>
      </c>
    </row>
    <row r="6" spans="1:17">
      <c r="A6" s="476" t="s">
        <v>194</v>
      </c>
      <c r="B6" s="477">
        <f>'openbare verlichting'!B8</f>
        <v>2892.1010000000001</v>
      </c>
      <c r="C6" s="477"/>
      <c r="D6" s="477"/>
      <c r="E6" s="477"/>
      <c r="F6" s="477"/>
      <c r="G6" s="477"/>
      <c r="H6" s="477"/>
      <c r="I6" s="477"/>
      <c r="J6" s="477"/>
      <c r="K6" s="477"/>
      <c r="L6" s="477"/>
      <c r="M6" s="477"/>
      <c r="N6" s="477"/>
      <c r="O6" s="477"/>
      <c r="P6" s="478"/>
      <c r="Q6" s="476">
        <f t="shared" si="0"/>
        <v>2892.1010000000001</v>
      </c>
    </row>
    <row r="7" spans="1:17">
      <c r="A7" s="476" t="s">
        <v>112</v>
      </c>
      <c r="B7" s="477">
        <f>landbouw!B8</f>
        <v>689.43796170999997</v>
      </c>
      <c r="C7" s="477">
        <f>landbouw!C8</f>
        <v>7270.7142857142862</v>
      </c>
      <c r="D7" s="477">
        <f>landbouw!D8</f>
        <v>2738.5049926434203</v>
      </c>
      <c r="E7" s="477">
        <f>landbouw!E8</f>
        <v>17.777957896775884</v>
      </c>
      <c r="F7" s="477">
        <f>landbouw!F8</f>
        <v>2520.0270471318204</v>
      </c>
      <c r="G7" s="477">
        <f>landbouw!G8</f>
        <v>0</v>
      </c>
      <c r="H7" s="477">
        <f>landbouw!H8</f>
        <v>0</v>
      </c>
      <c r="I7" s="477">
        <f>landbouw!I8</f>
        <v>0</v>
      </c>
      <c r="J7" s="477">
        <f>landbouw!J8</f>
        <v>99.253704368368687</v>
      </c>
      <c r="K7" s="477">
        <f>landbouw!K8</f>
        <v>0</v>
      </c>
      <c r="L7" s="477">
        <f>landbouw!L8</f>
        <v>0</v>
      </c>
      <c r="M7" s="477">
        <f>landbouw!M8</f>
        <v>0</v>
      </c>
      <c r="N7" s="477">
        <f>landbouw!N8</f>
        <v>0</v>
      </c>
      <c r="O7" s="477">
        <f>landbouw!O8</f>
        <v>0</v>
      </c>
      <c r="P7" s="478">
        <f>landbouw!P8</f>
        <v>0</v>
      </c>
      <c r="Q7" s="476">
        <f t="shared" si="0"/>
        <v>13335.715949464671</v>
      </c>
    </row>
    <row r="8" spans="1:17">
      <c r="A8" s="476" t="s">
        <v>638</v>
      </c>
      <c r="B8" s="477">
        <f>industrie!B18</f>
        <v>58711.429901523006</v>
      </c>
      <c r="C8" s="477">
        <f>industrie!C18</f>
        <v>0</v>
      </c>
      <c r="D8" s="477">
        <f>industrie!D18</f>
        <v>31266.452734197559</v>
      </c>
      <c r="E8" s="477">
        <f>industrie!E18</f>
        <v>8532.628036583088</v>
      </c>
      <c r="F8" s="477">
        <f>industrie!F18</f>
        <v>30111.907329658086</v>
      </c>
      <c r="G8" s="477">
        <f>industrie!G18</f>
        <v>0</v>
      </c>
      <c r="H8" s="477">
        <f>industrie!H18</f>
        <v>0</v>
      </c>
      <c r="I8" s="477">
        <f>industrie!I18</f>
        <v>0</v>
      </c>
      <c r="J8" s="477">
        <f>industrie!J18</f>
        <v>253.12489805225832</v>
      </c>
      <c r="K8" s="477">
        <f>industrie!K18</f>
        <v>0</v>
      </c>
      <c r="L8" s="477">
        <f>industrie!L18</f>
        <v>0</v>
      </c>
      <c r="M8" s="477">
        <f>industrie!M18</f>
        <v>0</v>
      </c>
      <c r="N8" s="477">
        <f>industrie!N18</f>
        <v>14780.439951481156</v>
      </c>
      <c r="O8" s="477">
        <f>industrie!O18</f>
        <v>0</v>
      </c>
      <c r="P8" s="478">
        <f>industrie!P18</f>
        <v>0</v>
      </c>
      <c r="Q8" s="476">
        <f t="shared" si="0"/>
        <v>143655.98285149518</v>
      </c>
    </row>
    <row r="9" spans="1:17" s="482" customFormat="1">
      <c r="A9" s="480" t="s">
        <v>564</v>
      </c>
      <c r="B9" s="481">
        <f>transport!B14</f>
        <v>146.85990790397113</v>
      </c>
      <c r="C9" s="481">
        <f>transport!C14</f>
        <v>0</v>
      </c>
      <c r="D9" s="481">
        <f>transport!D14</f>
        <v>352.71216406008358</v>
      </c>
      <c r="E9" s="481">
        <f>transport!E14</f>
        <v>1456.3514139522579</v>
      </c>
      <c r="F9" s="481">
        <f>transport!F14</f>
        <v>0</v>
      </c>
      <c r="G9" s="481">
        <f>transport!G14</f>
        <v>445088.27662060258</v>
      </c>
      <c r="H9" s="481">
        <f>transport!H14</f>
        <v>95717.496453366199</v>
      </c>
      <c r="I9" s="481">
        <f>transport!I14</f>
        <v>0</v>
      </c>
      <c r="J9" s="481">
        <f>transport!J14</f>
        <v>0</v>
      </c>
      <c r="K9" s="481">
        <f>transport!K14</f>
        <v>0</v>
      </c>
      <c r="L9" s="481">
        <f>transport!L14</f>
        <v>0</v>
      </c>
      <c r="M9" s="481">
        <f>transport!M14</f>
        <v>16890.614552855539</v>
      </c>
      <c r="N9" s="481">
        <f>transport!N14</f>
        <v>0</v>
      </c>
      <c r="O9" s="481">
        <f>transport!O14</f>
        <v>0</v>
      </c>
      <c r="P9" s="481">
        <f>transport!P14</f>
        <v>0</v>
      </c>
      <c r="Q9" s="480">
        <f>SUM(B9:P9)</f>
        <v>559652.31111274066</v>
      </c>
    </row>
    <row r="10" spans="1:17">
      <c r="A10" s="476" t="s">
        <v>554</v>
      </c>
      <c r="B10" s="477">
        <f>transport!B54</f>
        <v>0</v>
      </c>
      <c r="C10" s="477">
        <f>transport!C54</f>
        <v>0</v>
      </c>
      <c r="D10" s="477">
        <f>transport!D54</f>
        <v>0</v>
      </c>
      <c r="E10" s="477">
        <f>transport!E54</f>
        <v>0</v>
      </c>
      <c r="F10" s="477">
        <f>transport!F54</f>
        <v>0</v>
      </c>
      <c r="G10" s="477">
        <f>transport!G54</f>
        <v>3900.5580728673935</v>
      </c>
      <c r="H10" s="477">
        <f>transport!H54</f>
        <v>0</v>
      </c>
      <c r="I10" s="477">
        <f>transport!I54</f>
        <v>0</v>
      </c>
      <c r="J10" s="477">
        <f>transport!J54</f>
        <v>0</v>
      </c>
      <c r="K10" s="477">
        <f>transport!K54</f>
        <v>0</v>
      </c>
      <c r="L10" s="477">
        <f>transport!L54</f>
        <v>0</v>
      </c>
      <c r="M10" s="477">
        <f>transport!M54</f>
        <v>120.98658516169222</v>
      </c>
      <c r="N10" s="477">
        <f>transport!N54</f>
        <v>0</v>
      </c>
      <c r="O10" s="477">
        <f>transport!O54</f>
        <v>0</v>
      </c>
      <c r="P10" s="478">
        <f>transport!P54</f>
        <v>0</v>
      </c>
      <c r="Q10" s="476">
        <f t="shared" si="0"/>
        <v>4021.5446580290859</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2018.3133299000001</v>
      </c>
      <c r="C14" s="484"/>
      <c r="D14" s="484">
        <f>'SEAP template'!E25</f>
        <v>5817.1035232999993</v>
      </c>
      <c r="E14" s="484"/>
      <c r="F14" s="484"/>
      <c r="G14" s="484"/>
      <c r="H14" s="484"/>
      <c r="I14" s="484"/>
      <c r="J14" s="484"/>
      <c r="K14" s="484"/>
      <c r="L14" s="484"/>
      <c r="M14" s="484"/>
      <c r="N14" s="484"/>
      <c r="O14" s="484"/>
      <c r="P14" s="485"/>
      <c r="Q14" s="476">
        <f t="shared" si="0"/>
        <v>7835.4168531999994</v>
      </c>
    </row>
    <row r="15" spans="1:17" s="486" customFormat="1">
      <c r="A15" s="1038" t="s">
        <v>558</v>
      </c>
      <c r="B15" s="978">
        <f ca="1">SUM(B4:B14)</f>
        <v>211855.61356094183</v>
      </c>
      <c r="C15" s="978">
        <f t="shared" ref="C15:Q15" ca="1" si="1">SUM(C4:C14)</f>
        <v>8699.4642857142862</v>
      </c>
      <c r="D15" s="978">
        <f t="shared" ca="1" si="1"/>
        <v>280743.28899220342</v>
      </c>
      <c r="E15" s="978">
        <f t="shared" si="1"/>
        <v>16060.498076884829</v>
      </c>
      <c r="F15" s="978">
        <f t="shared" ca="1" si="1"/>
        <v>54865.367592265262</v>
      </c>
      <c r="G15" s="978">
        <f t="shared" si="1"/>
        <v>448988.83469346998</v>
      </c>
      <c r="H15" s="978">
        <f t="shared" si="1"/>
        <v>95717.496453366199</v>
      </c>
      <c r="I15" s="978">
        <f t="shared" si="1"/>
        <v>0</v>
      </c>
      <c r="J15" s="978">
        <f t="shared" si="1"/>
        <v>352.37860242062698</v>
      </c>
      <c r="K15" s="978">
        <f t="shared" si="1"/>
        <v>0</v>
      </c>
      <c r="L15" s="978">
        <f t="shared" ca="1" si="1"/>
        <v>0</v>
      </c>
      <c r="M15" s="978">
        <f t="shared" si="1"/>
        <v>17011.601138017231</v>
      </c>
      <c r="N15" s="978">
        <f t="shared" ca="1" si="1"/>
        <v>34744.442805186671</v>
      </c>
      <c r="O15" s="978">
        <f t="shared" si="1"/>
        <v>211.05</v>
      </c>
      <c r="P15" s="978">
        <f t="shared" si="1"/>
        <v>686.40000000000009</v>
      </c>
      <c r="Q15" s="978">
        <f t="shared" ca="1" si="1"/>
        <v>1169936.4362004704</v>
      </c>
    </row>
    <row r="17" spans="1:17">
      <c r="A17" s="487" t="s">
        <v>559</v>
      </c>
      <c r="B17" s="786">
        <f ca="1">huishoudens!B10</f>
        <v>0.19954005036506714</v>
      </c>
      <c r="C17" s="786">
        <f ca="1">huishoudens!C10</f>
        <v>3.9029786679127591E-2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12249.005899513208</v>
      </c>
      <c r="C22" s="477">
        <f t="shared" ref="C22:C32" ca="1" si="3">C4*$C$17</f>
        <v>0</v>
      </c>
      <c r="D22" s="477">
        <f t="shared" ref="D22:D32" si="4">D4*$D$17</f>
        <v>33302.460463340205</v>
      </c>
      <c r="E22" s="477">
        <f t="shared" ref="E22:E32" si="5">E4*$E$17</f>
        <v>1053.2283554807866</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46604.694718334198</v>
      </c>
    </row>
    <row r="23" spans="1:17">
      <c r="A23" s="476" t="s">
        <v>156</v>
      </c>
      <c r="B23" s="477">
        <f t="shared" ca="1" si="2"/>
        <v>17162.692979279753</v>
      </c>
      <c r="C23" s="477">
        <f t="shared" ca="1" si="3"/>
        <v>55.763807717803545</v>
      </c>
      <c r="D23" s="477">
        <f t="shared" ca="1" si="4"/>
        <v>15292.379683416284</v>
      </c>
      <c r="E23" s="477">
        <f t="shared" si="5"/>
        <v>320.97077625797795</v>
      </c>
      <c r="F23" s="477">
        <f t="shared" ca="1" si="6"/>
        <v>5936.3266685319204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38768.13391520374</v>
      </c>
    </row>
    <row r="24" spans="1:17">
      <c r="A24" s="476" t="s">
        <v>194</v>
      </c>
      <c r="B24" s="477">
        <f t="shared" ca="1" si="2"/>
        <v>577.08997920086108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577.08997920086108</v>
      </c>
    </row>
    <row r="25" spans="1:17">
      <c r="A25" s="476" t="s">
        <v>112</v>
      </c>
      <c r="B25" s="477">
        <f t="shared" ca="1" si="2"/>
        <v>137.57048560320263</v>
      </c>
      <c r="C25" s="477">
        <f t="shared" ca="1" si="3"/>
        <v>283.77442757631411</v>
      </c>
      <c r="D25" s="477">
        <f t="shared" si="4"/>
        <v>553.17800851397089</v>
      </c>
      <c r="E25" s="477">
        <f t="shared" si="5"/>
        <v>4.0355964425681261</v>
      </c>
      <c r="F25" s="477">
        <f t="shared" si="6"/>
        <v>672.84722158419606</v>
      </c>
      <c r="G25" s="477">
        <f t="shared" si="7"/>
        <v>0</v>
      </c>
      <c r="H25" s="477">
        <f t="shared" si="8"/>
        <v>0</v>
      </c>
      <c r="I25" s="477">
        <f t="shared" si="9"/>
        <v>0</v>
      </c>
      <c r="J25" s="477">
        <f t="shared" si="10"/>
        <v>35.135811346402512</v>
      </c>
      <c r="K25" s="477">
        <f t="shared" si="11"/>
        <v>0</v>
      </c>
      <c r="L25" s="477">
        <f t="shared" si="12"/>
        <v>0</v>
      </c>
      <c r="M25" s="477">
        <f t="shared" si="13"/>
        <v>0</v>
      </c>
      <c r="N25" s="477">
        <f t="shared" si="14"/>
        <v>0</v>
      </c>
      <c r="O25" s="477">
        <f t="shared" si="15"/>
        <v>0</v>
      </c>
      <c r="P25" s="478">
        <f t="shared" si="16"/>
        <v>0</v>
      </c>
      <c r="Q25" s="476">
        <f t="shared" ca="1" si="17"/>
        <v>1686.5415510666544</v>
      </c>
    </row>
    <row r="26" spans="1:17">
      <c r="A26" s="476" t="s">
        <v>638</v>
      </c>
      <c r="B26" s="477">
        <f t="shared" ca="1" si="2"/>
        <v>11715.28167955501</v>
      </c>
      <c r="C26" s="477">
        <f t="shared" ca="1" si="3"/>
        <v>0</v>
      </c>
      <c r="D26" s="477">
        <f t="shared" si="4"/>
        <v>6315.8234523079072</v>
      </c>
      <c r="E26" s="477">
        <f t="shared" si="5"/>
        <v>1936.9065643043612</v>
      </c>
      <c r="F26" s="477">
        <f t="shared" si="6"/>
        <v>8039.8792570187097</v>
      </c>
      <c r="G26" s="477">
        <f t="shared" si="7"/>
        <v>0</v>
      </c>
      <c r="H26" s="477">
        <f t="shared" si="8"/>
        <v>0</v>
      </c>
      <c r="I26" s="477">
        <f t="shared" si="9"/>
        <v>0</v>
      </c>
      <c r="J26" s="477">
        <f t="shared" si="10"/>
        <v>89.606213910499434</v>
      </c>
      <c r="K26" s="477">
        <f t="shared" si="11"/>
        <v>0</v>
      </c>
      <c r="L26" s="477">
        <f t="shared" si="12"/>
        <v>0</v>
      </c>
      <c r="M26" s="477">
        <f t="shared" si="13"/>
        <v>0</v>
      </c>
      <c r="N26" s="477">
        <f t="shared" si="14"/>
        <v>0</v>
      </c>
      <c r="O26" s="477">
        <f t="shared" si="15"/>
        <v>0</v>
      </c>
      <c r="P26" s="478">
        <f t="shared" si="16"/>
        <v>0</v>
      </c>
      <c r="Q26" s="476">
        <f t="shared" ca="1" si="17"/>
        <v>28097.497167096488</v>
      </c>
    </row>
    <row r="27" spans="1:17" s="482" customFormat="1">
      <c r="A27" s="480" t="s">
        <v>564</v>
      </c>
      <c r="B27" s="780">
        <f t="shared" ca="1" si="2"/>
        <v>29.304433419767523</v>
      </c>
      <c r="C27" s="481">
        <f t="shared" ca="1" si="3"/>
        <v>0</v>
      </c>
      <c r="D27" s="481">
        <f t="shared" si="4"/>
        <v>71.247857140136887</v>
      </c>
      <c r="E27" s="481">
        <f t="shared" si="5"/>
        <v>330.59177096716257</v>
      </c>
      <c r="F27" s="481">
        <f t="shared" si="6"/>
        <v>0</v>
      </c>
      <c r="G27" s="481">
        <f t="shared" si="7"/>
        <v>118838.5698577009</v>
      </c>
      <c r="H27" s="481">
        <f t="shared" si="8"/>
        <v>23833.656616888184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143103.37053611616</v>
      </c>
    </row>
    <row r="28" spans="1:17">
      <c r="A28" s="476" t="s">
        <v>554</v>
      </c>
      <c r="B28" s="477">
        <f t="shared" ca="1" si="2"/>
        <v>0</v>
      </c>
      <c r="C28" s="477">
        <f t="shared" ca="1" si="3"/>
        <v>0</v>
      </c>
      <c r="D28" s="477">
        <f t="shared" si="4"/>
        <v>0</v>
      </c>
      <c r="E28" s="477">
        <f t="shared" si="5"/>
        <v>0</v>
      </c>
      <c r="F28" s="477">
        <f t="shared" si="6"/>
        <v>0</v>
      </c>
      <c r="G28" s="477">
        <f t="shared" si="7"/>
        <v>1041.449005455594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1041.449005455594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402.73434350073239</v>
      </c>
      <c r="C32" s="477">
        <f t="shared" ca="1" si="3"/>
        <v>0</v>
      </c>
      <c r="D32" s="477">
        <f t="shared" si="4"/>
        <v>1175.0549117066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1577.7892552073324</v>
      </c>
    </row>
    <row r="33" spans="1:17" s="486" customFormat="1">
      <c r="A33" s="1038" t="s">
        <v>558</v>
      </c>
      <c r="B33" s="978">
        <f ca="1">SUM(B22:B32)</f>
        <v>42273.679800072532</v>
      </c>
      <c r="C33" s="978">
        <f t="shared" ref="C33:Q33" ca="1" si="18">SUM(C22:C32)</f>
        <v>339.53823529411767</v>
      </c>
      <c r="D33" s="978">
        <f t="shared" ca="1" si="18"/>
        <v>56710.144376425102</v>
      </c>
      <c r="E33" s="978">
        <f t="shared" si="18"/>
        <v>3645.7330634528566</v>
      </c>
      <c r="F33" s="978">
        <f t="shared" ca="1" si="18"/>
        <v>14649.053147134826</v>
      </c>
      <c r="G33" s="978">
        <f t="shared" si="18"/>
        <v>119880.0188631565</v>
      </c>
      <c r="H33" s="978">
        <f t="shared" si="18"/>
        <v>23833.656616888184</v>
      </c>
      <c r="I33" s="978">
        <f t="shared" si="18"/>
        <v>0</v>
      </c>
      <c r="J33" s="978">
        <f t="shared" si="18"/>
        <v>124.74202525690194</v>
      </c>
      <c r="K33" s="978">
        <f t="shared" si="18"/>
        <v>0</v>
      </c>
      <c r="L33" s="978">
        <f t="shared" ca="1" si="18"/>
        <v>0</v>
      </c>
      <c r="M33" s="978">
        <f t="shared" si="18"/>
        <v>0</v>
      </c>
      <c r="N33" s="978">
        <f t="shared" ca="1" si="18"/>
        <v>0</v>
      </c>
      <c r="O33" s="978">
        <f t="shared" si="18"/>
        <v>0</v>
      </c>
      <c r="P33" s="978">
        <f t="shared" si="18"/>
        <v>0</v>
      </c>
      <c r="Q33" s="978">
        <f t="shared" ca="1" si="18"/>
        <v>261456.56612768103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9877.5672521250053</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5680.262777746002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5089.5</v>
      </c>
      <c r="C8" s="1055">
        <f>'SEAP template'!C76</f>
        <v>1000.1249999999998</v>
      </c>
      <c r="D8" s="1055">
        <f>'SEAP template'!D76</f>
        <v>1176.6176470588234</v>
      </c>
      <c r="E8" s="1055">
        <f>'SEAP template'!E76</f>
        <v>0</v>
      </c>
      <c r="F8" s="1055">
        <f>'SEAP template'!F76</f>
        <v>0</v>
      </c>
      <c r="G8" s="1055">
        <f>'SEAP template'!G76</f>
        <v>0</v>
      </c>
      <c r="H8" s="1055">
        <f>'SEAP template'!H76</f>
        <v>0</v>
      </c>
      <c r="I8" s="1055">
        <f>'SEAP template'!I76</f>
        <v>0</v>
      </c>
      <c r="J8" s="1055">
        <f>'SEAP template'!J76</f>
        <v>5987.6470588235297</v>
      </c>
      <c r="K8" s="1055">
        <f>'SEAP template'!K76</f>
        <v>0</v>
      </c>
      <c r="L8" s="1055">
        <f>'SEAP template'!L76</f>
        <v>0</v>
      </c>
      <c r="M8" s="1055">
        <f>'SEAP template'!M76</f>
        <v>0</v>
      </c>
      <c r="N8" s="1055">
        <f>'SEAP template'!N76</f>
        <v>0</v>
      </c>
      <c r="O8" s="1055">
        <f>'SEAP template'!O76</f>
        <v>0</v>
      </c>
      <c r="P8" s="1056">
        <f>'SEAP template'!Q76</f>
        <v>237.67676470588233</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20647.330029871009</v>
      </c>
      <c r="C10" s="1059">
        <f>SUM(C4:C9)</f>
        <v>1000.1249999999998</v>
      </c>
      <c r="D10" s="1059">
        <f t="shared" ref="D10:H10" si="0">SUM(D8:D9)</f>
        <v>1176.6176470588234</v>
      </c>
      <c r="E10" s="1059">
        <f t="shared" si="0"/>
        <v>0</v>
      </c>
      <c r="F10" s="1059">
        <f t="shared" si="0"/>
        <v>0</v>
      </c>
      <c r="G10" s="1059">
        <f t="shared" si="0"/>
        <v>0</v>
      </c>
      <c r="H10" s="1059">
        <f t="shared" si="0"/>
        <v>0</v>
      </c>
      <c r="I10" s="1059">
        <f>SUM(I8:I9)</f>
        <v>0</v>
      </c>
      <c r="J10" s="1059">
        <f>SUM(J8:J9)</f>
        <v>5987.6470588235297</v>
      </c>
      <c r="K10" s="1059">
        <f t="shared" ref="K10:L10" si="1">SUM(K8:K9)</f>
        <v>0</v>
      </c>
      <c r="L10" s="1059">
        <f t="shared" si="1"/>
        <v>0</v>
      </c>
      <c r="M10" s="1059">
        <f>SUM(M8:M9)</f>
        <v>0</v>
      </c>
      <c r="N10" s="1059">
        <f>SUM(N8:N9)</f>
        <v>0</v>
      </c>
      <c r="O10" s="1059">
        <f>SUM(O8:O9)</f>
        <v>0</v>
      </c>
      <c r="P10" s="1059">
        <f>SUM(P8:P9)</f>
        <v>237.67676470588233</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0.19954005036506714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7270.7142857142862</v>
      </c>
      <c r="C17" s="1061">
        <f>'SEAP template'!C87</f>
        <v>1428.75</v>
      </c>
      <c r="D17" s="1056">
        <f>'SEAP template'!D87</f>
        <v>1680.8823529411766</v>
      </c>
      <c r="E17" s="1056">
        <f>'SEAP template'!E87</f>
        <v>0</v>
      </c>
      <c r="F17" s="1056">
        <f>'SEAP template'!F87</f>
        <v>0</v>
      </c>
      <c r="G17" s="1056">
        <f>'SEAP template'!G87</f>
        <v>0</v>
      </c>
      <c r="H17" s="1056">
        <f>'SEAP template'!H87</f>
        <v>0</v>
      </c>
      <c r="I17" s="1056">
        <f>'SEAP template'!I87</f>
        <v>0</v>
      </c>
      <c r="J17" s="1056">
        <f>'SEAP template'!J87</f>
        <v>8553.7815126050427</v>
      </c>
      <c r="K17" s="1056">
        <f>'SEAP template'!K87</f>
        <v>0</v>
      </c>
      <c r="L17" s="1056">
        <f>'SEAP template'!L87</f>
        <v>0</v>
      </c>
      <c r="M17" s="1056">
        <f>'SEAP template'!M87</f>
        <v>0</v>
      </c>
      <c r="N17" s="1056">
        <f>'SEAP template'!N87</f>
        <v>0</v>
      </c>
      <c r="O17" s="1056">
        <f>'SEAP template'!O87</f>
        <v>0</v>
      </c>
      <c r="P17" s="1056">
        <f>'SEAP template'!Q87</f>
        <v>339.53823529411767</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7270.7142857142862</v>
      </c>
      <c r="C20" s="1059">
        <f>SUM(C17:C19)</f>
        <v>1428.75</v>
      </c>
      <c r="D20" s="1059">
        <f t="shared" ref="D20:H20" si="2">SUM(D17:D19)</f>
        <v>1680.8823529411766</v>
      </c>
      <c r="E20" s="1059">
        <f t="shared" si="2"/>
        <v>0</v>
      </c>
      <c r="F20" s="1059">
        <f t="shared" si="2"/>
        <v>0</v>
      </c>
      <c r="G20" s="1059">
        <f t="shared" si="2"/>
        <v>0</v>
      </c>
      <c r="H20" s="1059">
        <f t="shared" si="2"/>
        <v>0</v>
      </c>
      <c r="I20" s="1059">
        <f>SUM(I17:I19)</f>
        <v>0</v>
      </c>
      <c r="J20" s="1059">
        <f>SUM(J17:J19)</f>
        <v>8553.7815126050427</v>
      </c>
      <c r="K20" s="1059">
        <f t="shared" ref="K20:L20" si="3">SUM(K17:K19)</f>
        <v>0</v>
      </c>
      <c r="L20" s="1059">
        <f t="shared" si="3"/>
        <v>0</v>
      </c>
      <c r="M20" s="1059">
        <f>SUM(M17:M19)</f>
        <v>0</v>
      </c>
      <c r="N20" s="1059">
        <f>SUM(N17:N19)</f>
        <v>0</v>
      </c>
      <c r="O20" s="1059">
        <f>SUM(O17:O19)</f>
        <v>0</v>
      </c>
      <c r="P20" s="1059">
        <f>SUM(P17:P19)</f>
        <v>339.53823529411767</v>
      </c>
    </row>
    <row r="22" spans="1:16">
      <c r="A22" s="487" t="s">
        <v>871</v>
      </c>
      <c r="B22" s="786" t="s">
        <v>865</v>
      </c>
      <c r="C22" s="786">
        <f ca="1">'EF ele_warmte'!B22</f>
        <v>3.9029786679127591E-2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0.19954005036506714</v>
      </c>
      <c r="C17" s="524">
        <f ca="1">'EF ele_warmte'!B22</f>
        <v>3.9029786679127591E-2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2019-08-12T08:23:13Z</dcterms:modified>
</cp:coreProperties>
</file>