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9"/>
  <c r="O20" s="1"/>
  <c r="O90" i="14"/>
  <c r="N19" i="59"/>
  <c r="N90" i="14"/>
  <c r="L18" i="59"/>
  <c r="L90" i="14"/>
  <c r="H90"/>
  <c r="H18" i="59"/>
  <c r="K10"/>
  <c r="C98" i="18"/>
  <c r="F101" s="1"/>
  <c r="H10" i="59"/>
  <c r="L10" i="18"/>
  <c r="K90" i="14"/>
  <c r="E20" i="59"/>
  <c r="P31" i="48"/>
  <c r="K10" i="18"/>
  <c r="D20"/>
  <c r="E10" i="59"/>
  <c r="N20"/>
  <c r="K20"/>
  <c r="L78" i="14"/>
  <c r="L8" i="59"/>
  <c r="L10" s="1"/>
  <c r="H78" i="14"/>
  <c r="H8" i="59"/>
  <c r="H20"/>
  <c r="P29" i="48"/>
  <c r="B10" i="18"/>
  <c r="O29" i="48"/>
  <c r="E77" i="14"/>
  <c r="E9" i="59" s="1"/>
  <c r="B17" i="18"/>
  <c r="B20" s="1"/>
  <c r="P25" i="48"/>
  <c r="R25" i="14"/>
  <c r="O10" i="59"/>
  <c r="F13" i="15"/>
  <c r="G78" i="14"/>
  <c r="N10" i="59"/>
  <c r="L20"/>
  <c r="B8" i="18"/>
  <c r="O19"/>
  <c r="L13" i="15"/>
  <c r="N13"/>
  <c r="Q77" i="14"/>
  <c r="P9" i="59" s="1"/>
  <c r="O9" i="18"/>
  <c r="O18"/>
  <c r="G88" i="14"/>
  <c r="F89"/>
  <c r="B89" s="1"/>
  <c r="B19" i="59" s="1"/>
  <c r="I101" i="18"/>
  <c r="H8" s="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E101" i="18" l="1"/>
  <c r="E8" s="1"/>
  <c r="D101"/>
  <c r="C101"/>
  <c r="C89" i="14"/>
  <c r="C19" i="59" s="1"/>
  <c r="F19"/>
  <c r="G90" i="14"/>
  <c r="G18" i="59"/>
  <c r="G20" s="1"/>
  <c r="H101" i="18"/>
  <c r="G10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5"/>
  <c r="I31"/>
  <c r="I29"/>
  <c r="I26"/>
  <c r="I24"/>
  <c r="I22"/>
  <c r="I30"/>
  <c r="I28"/>
  <c r="D4"/>
  <c r="D22" s="1"/>
  <c r="E11" i="14"/>
  <c r="H32" i="48"/>
  <c r="H25"/>
  <c r="H28"/>
  <c r="H29"/>
  <c r="H26"/>
  <c r="H30"/>
  <c r="H22"/>
  <c r="H24"/>
  <c r="H23"/>
  <c r="D11" i="14"/>
  <c r="C4" i="48"/>
  <c r="G32"/>
  <c r="G25"/>
  <c r="G29"/>
  <c r="G26"/>
  <c r="G24"/>
  <c r="G30"/>
  <c r="G22"/>
  <c r="G23"/>
  <c r="B4"/>
  <c r="C11" i="14"/>
  <c r="F32" i="48"/>
  <c r="F28"/>
  <c r="F27"/>
  <c r="F30"/>
  <c r="F24"/>
  <c r="F29"/>
  <c r="F31"/>
  <c r="N32"/>
  <c r="N27"/>
  <c r="N28"/>
  <c r="N24"/>
  <c r="N29"/>
  <c r="N31"/>
  <c r="N30"/>
  <c r="B10"/>
  <c r="C19" i="14"/>
  <c r="E28" i="48"/>
  <c r="E32"/>
  <c r="E24"/>
  <c r="E31"/>
  <c r="E30"/>
  <c r="E29"/>
  <c r="M32"/>
  <c r="M26"/>
  <c r="M22"/>
  <c r="M30"/>
  <c r="M29"/>
  <c r="M25"/>
  <c r="M24"/>
  <c r="M23"/>
  <c r="L10" i="14"/>
  <c r="L16" s="1"/>
  <c r="L27" s="1"/>
  <c r="K5" i="48"/>
  <c r="D28"/>
  <c r="D30"/>
  <c r="D32"/>
  <c r="D31"/>
  <c r="D24"/>
  <c r="D29"/>
  <c r="L32"/>
  <c r="L28"/>
  <c r="L27"/>
  <c r="L22"/>
  <c r="L29"/>
  <c r="L31"/>
  <c r="L30"/>
  <c r="L24"/>
  <c r="P5"/>
  <c r="P23" s="1"/>
  <c r="Q10" i="14"/>
  <c r="K28" i="48"/>
  <c r="K31"/>
  <c r="K25"/>
  <c r="K27"/>
  <c r="K32"/>
  <c r="K24"/>
  <c r="K22"/>
  <c r="K26"/>
  <c r="K29"/>
  <c r="K30"/>
  <c r="C24" i="14"/>
  <c r="C26" s="1"/>
  <c r="B7" i="48"/>
  <c r="J28"/>
  <c r="J27"/>
  <c r="J32"/>
  <c r="J29"/>
  <c r="J31"/>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O22"/>
  <c r="M12" i="22"/>
  <c r="M13" i="48"/>
  <c r="M31" s="1"/>
  <c r="N18" i="14"/>
  <c r="H18"/>
  <c r="G13" i="48"/>
  <c r="H13"/>
  <c r="H31" s="1"/>
  <c r="I18" i="14"/>
  <c r="K23" i="48"/>
  <c r="K15"/>
  <c r="C22" i="14"/>
  <c r="P8" i="48"/>
  <c r="P26" s="1"/>
  <c r="Q13" i="14"/>
  <c r="E9" i="48"/>
  <c r="E27" s="1"/>
  <c r="F20" i="14"/>
  <c r="F22" s="1"/>
  <c r="E20"/>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R11" s="1"/>
  <c r="E4" i="48"/>
  <c r="G31"/>
  <c r="Q13"/>
  <c r="I23"/>
  <c r="I33" s="1"/>
  <c r="I15"/>
  <c r="K11" i="14"/>
  <c r="J4" i="48"/>
  <c r="E7"/>
  <c r="E25" s="1"/>
  <c r="F24" i="14"/>
  <c r="F26" s="1"/>
  <c r="N20"/>
  <c r="M9" i="48"/>
  <c r="O22" i="16"/>
  <c r="P43" i="14" s="1"/>
  <c r="O8" i="48"/>
  <c r="P13" i="14"/>
  <c r="I20"/>
  <c r="I22" s="1"/>
  <c r="I27" s="1"/>
  <c r="H9" i="48"/>
  <c r="P16" i="14"/>
  <c r="P27" s="1"/>
  <c r="N22"/>
  <c r="N27" s="1"/>
  <c r="P46"/>
  <c r="P61" s="1"/>
  <c r="J63"/>
  <c r="P15" i="48"/>
  <c r="P3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I63"/>
  <c r="E5" i="48"/>
  <c r="E23" s="1"/>
  <c r="F10" i="14"/>
  <c r="J22" i="48"/>
  <c r="J5"/>
  <c r="J23" s="1"/>
  <c r="K10" i="14"/>
  <c r="H27" i="48"/>
  <c r="H33" s="1"/>
  <c r="H15"/>
  <c r="E22"/>
  <c r="Q4"/>
  <c r="M27"/>
  <c r="M33" s="1"/>
  <c r="M15"/>
  <c r="G28"/>
  <c r="Q10"/>
  <c r="O26"/>
  <c r="O33" s="1"/>
  <c r="O15"/>
  <c r="G9"/>
  <c r="H20" i="14"/>
  <c r="R20" s="1"/>
  <c r="P63"/>
  <c r="R24"/>
  <c r="R26" s="1"/>
  <c r="R19"/>
  <c r="H22"/>
  <c r="H27" s="1"/>
  <c r="J20" i="15"/>
  <c r="K40" i="14" s="1"/>
  <c r="R22"/>
  <c r="Q7" i="48"/>
  <c r="E20" i="15"/>
  <c r="F40" i="14" s="1"/>
  <c r="J18" i="16"/>
  <c r="E18"/>
  <c r="F18"/>
  <c r="F22" s="1"/>
  <c r="G43" i="14" s="1"/>
  <c r="N18" i="16"/>
  <c r="G18" i="22"/>
  <c r="H50" i="14" s="1"/>
  <c r="E22" i="16"/>
  <c r="F43" i="14" s="1"/>
  <c r="H18" i="22"/>
  <c r="I50" i="14" s="1"/>
  <c r="I52" s="1"/>
  <c r="I61" s="1"/>
  <c r="G27" i="48" l="1"/>
  <c r="G33" s="1"/>
  <c r="G15"/>
  <c r="Q9"/>
  <c r="J22" i="16"/>
  <c r="K43" i="14" s="1"/>
  <c r="K13"/>
  <c r="K16" s="1"/>
  <c r="K27" s="1"/>
  <c r="J8" i="48"/>
  <c r="E8"/>
  <c r="E26" s="1"/>
  <c r="F13" i="14"/>
  <c r="H63"/>
  <c r="K46"/>
  <c r="K61" s="1"/>
  <c r="E33" i="48"/>
  <c r="E15"/>
  <c r="F16" i="14"/>
  <c r="F27" s="1"/>
  <c r="F46"/>
  <c r="F61"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<sst xmlns="http://schemas.openxmlformats.org/spreadsheetml/2006/main" count="2392" uniqueCount="890">
  <si>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</si>
  <si>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</si>
  <si>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</si>
  <si>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</si>
  <si>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</si>
  <si>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</si>
  <si>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</si>
  <si>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</si>
  <si>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</si>
  <si>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</si>
  <si>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</si>
  <si>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</si>
  <si>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</si>
  <si>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</si>
  <si>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</si>
  <si>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</si>
  <si>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</si>
  <si>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</si>
  <si>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</si>
  <si>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</si>
  <si>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</si>
  <si>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</si>
  <si>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</si>
  <si>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</si>
  <si>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</si>
  <si>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</si>
  <si>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</si>
  <si>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</si>
  <si>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</si>
  <si>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</si>
  <si>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</si>
  <si>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</si>
  <si>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</si>
  <si>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</si>
  <si>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</si>
  <si>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</si>
  <si>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</si>
  <si>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</si>
  <si>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</si>
  <si>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</si>
  <si>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</si>
  <si>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</si>
  <si>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</si>
  <si>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</si>
  <si>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</si>
  <si>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</si>
  <si>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</si>
  <si>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</si>
  <si>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</si>
  <si>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</si>
  <si>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</si>
  <si>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</si>
  <si>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</si>
  <si>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</si>
  <si>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</si>
  <si>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</si>
  <si>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</si>
  <si>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</si>
  <si>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</si>
  <si>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</si>
  <si>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</si>
  <si>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</si>
  <si>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</si>
  <si>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</si>
  <si>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</si>
  <si>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</si>
  <si>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</si>
  <si>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</si>
  <si>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</si>
  <si>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</si>
  <si>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</si>
  <si>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</si>
  <si>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</si>
  <si>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</si>
  <si>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</si>
  <si>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</si>
  <si>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</si>
  <si>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</si>
  <si>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</si>
  <si>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</si>
  <si>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</si>
  <si>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</si>
  <si>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</si>
  <si>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</si>
  <si>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</si>
  <si>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</si>
  <si>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</si>
  <si>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</si>
  <si>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</si>
  <si>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</si>
  <si>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</si>
  <si>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</si>
  <si>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</si>
  <si>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</si>
  <si>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</si>
  <si>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</si>
  <si>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</si>
  <si>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</si>
  <si>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</si>
  <si>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</si>
  <si>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</si>
  <si>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</si>
  <si>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</si>
  <si>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</si>
  <si>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</si>
  <si>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</si>
  <si>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</si>
  <si>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</si>
  <si>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</si>
  <si>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</si>
  <si>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</si>
  <si>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</si>
  <si>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</si>
  <si>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</si>
  <si>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</si>
  <si>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</si>
  <si>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</si>
  <si>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</si>
  <si>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</si>
  <si>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</si>
  <si>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</si>
  <si>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</si>
  <si>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</si>
  <si>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</si>
  <si>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</si>
  <si>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</si>
  <si>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</si>
  <si>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</si>
  <si>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</si>
  <si>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</si>
  <si>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</si>
  <si>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</si>
  <si>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</si>
  <si>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</si>
  <si>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</si>
  <si>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</si>
  <si>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</si>
  <si>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</si>
  <si>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</si>
  <si>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</si>
  <si>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</si>
  <si>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</si>
  <si>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</si>
  <si>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</si>
  <si>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</si>
  <si>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</si>
  <si>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</si>
  <si>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</si>
  <si>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</si>
  <si>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</si>
  <si>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</si>
  <si>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</si>
  <si>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</si>
  <si>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</si>
  <si>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</si>
  <si>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</si>
  <si>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</si>
  <si>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</si>
  <si>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</si>
  <si>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</si>
  <si>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</si>
  <si>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</si>
  <si>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</si>
  <si>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</si>
  <si>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</si>
  <si>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</si>
  <si>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</si>
  <si>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</si>
  <si>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</si>
  <si>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</si>
  <si>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</si>
  <si>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</si>
  <si>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</si>
  <si>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</si>
  <si>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</si>
  <si>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</si>
  <si>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</si>
  <si>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</si>
  <si>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</si>
  <si>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</si>
  <si>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</si>
  <si>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</si>
  <si>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</si>
  <si>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</si>
  <si>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</si>
  <si>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</si>
  <si>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</si>
  <si>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</si>
  <si>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</si>
  <si>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</si>
  <si>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</si>
  <si>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</si>
  <si>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</si>
  <si>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</si>
  <si>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</si>
  <si>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</si>
  <si>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</si>
  <si>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</si>
  <si>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</si>
  <si>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</si>
  <si>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</si>
  <si>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</si>
  <si>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</si>
  <si>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</si>
  <si>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</si>
  <si>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</si>
  <si>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</si>
  <si>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</si>
  <si>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</si>
  <si>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</si>
  <si>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</si>
  <si>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</si>
  <si>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</si>
  <si>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</si>
  <si>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</si>
  <si>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</si>
  <si>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</si>
  <si>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</si>
  <si>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</si>
  <si>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</si>
  <si>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</si>
  <si>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</si>
  <si>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</si>
  <si>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</si>
  <si>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</si>
  <si>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</si>
  <si>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</si>
  <si>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</si>
  <si>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</si>
  <si>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</si>
  <si>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</si>
  <si>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</si>
  <si>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</si>
  <si>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</si>
  <si>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</si>
  <si>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</si>
  <si>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</si>
  <si>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</si>
  <si>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</si>
  <si>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</si>
  <si>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</si>
  <si>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</si>
  <si>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</si>
  <si>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</si>
  <si>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</si>
  <si>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</si>
  <si>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</si>
  <si>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</si>
  <si>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</si>
  <si>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</si>
  <si>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</si>
  <si>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</si>
  <si>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</si>
  <si>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</si>
  <si>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</si>
  <si>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</si>
  <si>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</si>
  <si>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</si>
  <si>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</si>
  <si>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</si>
  <si>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</si>
  <si>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</si>
  <si>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</si>
  <si>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</si>
  <si>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</si>
  <si>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</si>
  <si>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</si>
  <si>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</si>
  <si>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</si>
  <si>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</si>
  <si>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</si>
  <si>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</si>
  <si>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</si>
  <si>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</si>
  <si>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</si>
  <si>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</si>
  <si>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</si>
  <si>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</si>
  <si>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</si>
  <si>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</si>
  <si>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</si>
  <si>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</si>
  <si>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</si>
  <si>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</si>
  <si>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</si>
  <si>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</si>
  <si>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</si>
  <si>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</si>
  <si>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</si>
  <si>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</si>
  <si>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</si>
  <si>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</si>
  <si>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</si>
  <si>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</si>
  <si>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</si>
  <si>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</si>
  <si>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</si>
  <si>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</si>
  <si>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</si>
  <si>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</si>
  <si>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</si>
  <si>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</si>
  <si>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</si>
  <si>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</si>
  <si>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</si>
  <si>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</si>
  <si>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</si>
  <si>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</si>
  <si>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</si>
  <si>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</si>
  <si>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</si>
  <si>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</si>
  <si>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</si>
  <si>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</si>
  <si>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</si>
  <si>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</si>
  <si>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</si>
  <si>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</si>
  <si>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</si>
  <si>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</si>
  <si>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</si>
  <si>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</si>
  <si>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</si>
  <si>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</si>
  <si>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</si>
  <si>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</si>
  <si>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</si>
  <si>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</si>
  <si>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</si>
  <si>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</si>
  <si>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</si>
  <si>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</si>
  <si>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</si>
  <si>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</si>
  <si>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</si>
  <si>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</si>
  <si>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</si>
  <si>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</si>
  <si>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</si>
  <si>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</si>
  <si>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</si>
  <si>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</si>
  <si>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</si>
  <si>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</si>
  <si>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</si>
  <si>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</si>
  <si>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</si>
  <si>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</si>
  <si>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</si>
  <si>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</si>
  <si>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</si>
  <si>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</si>
  <si>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</si>
  <si>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</si>
  <si>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</si>
  <si>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</si>
  <si>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</si>
  <si>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</si>
  <si>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</si>
  <si>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</si>
  <si>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</si>
  <si>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</si>
  <si>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</si>
  <si>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</si>
  <si>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</si>
  <si>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</si>
  <si>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</si>
  <si>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</si>
  <si>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</si>
  <si>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</si>
  <si>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</si>
  <si>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</si>
  <si>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</si>
  <si>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</si>
  <si>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</si>
  <si>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</si>
  <si>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</si>
  <si>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</si>
  <si>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</si>
  <si>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</si>
  <si>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</si>
  <si>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</si>
  <si>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</si>
  <si>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</si>
  <si>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</si>
  <si>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</si>
  <si>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</si>
  <si>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</si>
  <si>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</si>
  <si>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</si>
  <si>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</si>
  <si>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</si>
  <si>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</si>
  <si>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</si>
  <si>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</si>
  <si>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</si>
  <si>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</si>
  <si>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</si>
  <si>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</si>
  <si>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</si>
  <si>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</si>
  <si>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</si>
  <si>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</si>
  <si>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</si>
  <si>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</si>
  <si>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</si>
  <si>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</si>
  <si>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</si>
  <si>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</si>
  <si>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</si>
  <si>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</si>
  <si>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</si>
  <si>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</si>
  <si>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</si>
  <si>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</si>
  <si>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</si>
  <si>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</si>
  <si>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</si>
  <si>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</si>
  <si>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</si>
  <si>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</si>
  <si>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</si>
  <si>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</si>
  <si>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</si>
  <si>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</si>
  <si>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</si>
  <si>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</si>
  <si>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</si>
  <si>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</si>
  <si>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</si>
  <si>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</si>
  <si>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</si>
  <si>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</si>
  <si>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</si>
  <si>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</si>
  <si>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</si>
  <si>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</si>
  <si>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</si>
  <si>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</si>
  <si>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</si>
  <si>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</si>
  <si>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</si>
  <si>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</si>
  <si>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</si>
  <si>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</si>
  <si>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</si>
  <si>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</si>
  <si>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</si>
  <si>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</si>
  <si>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</si>
  <si>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</si>
  <si>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</si>
  <si>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</si>
  <si>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</si>
  <si>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</si>
  <si>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</si>
  <si>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</si>
  <si>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</si>
  <si>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</si>
  <si>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</si>
  <si>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</si>
  <si>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</si>
  <si>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</si>
  <si>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</si>
  <si>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</si>
  <si>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</si>
  <si>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</si>
  <si>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</si>
  <si>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</si>
  <si>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</si>
  <si>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</si>
  <si>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</si>
  <si>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</si>
  <si>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</si>
  <si>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</si>
  <si>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</si>
  <si>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</si>
  <si>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</si>
  <si>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</si>
  <si>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</si>
  <si>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</si>
  <si>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</si>
  <si>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</si>
  <si>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</si>
  <si>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</si>
  <si>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</si>
  <si>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</si>
  <si>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</si>
  <si>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</si>
  <si>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</si>
  <si>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</si>
  <si>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</si>
  <si>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</si>
  <si>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</si>
  <si>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</si>
  <si>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</si>
  <si>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</si>
  <si>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</si>
  <si>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</si>
  <si>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</si>
  <si>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</si>
  <si>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</si>
  <si>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</si>
  <si>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</si>
  <si>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</si>
  <si>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</si>
  <si>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</si>
  <si>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</si>
  <si>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</si>
  <si>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</si>
  <si>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</si>
  <si>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</si>
  <si>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</si>
  <si>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</si>
  <si>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</si>
  <si>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</si>
  <si>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</si>
  <si>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</si>
  <si>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</si>
  <si>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</si>
  <si>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</si>
  <si>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</si>
  <si>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</si>
  <si>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</si>
  <si>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</si>
  <si>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</si>
  <si>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</si>
  <si>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</si>
  <si>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</si>
  <si>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</si>
  <si>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</si>
  <si>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</si>
  <si>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</si>
  <si>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</si>
  <si>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</si>
  <si>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</si>
  <si>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</si>
  <si>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</si>
  <si>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</si>
  <si>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</si>
  <si>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</si>
  <si>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</si>
  <si>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</si>
  <si>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</si>
  <si>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</si>
  <si>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</si>
  <si>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</si>
  <si>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</si>
  <si>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</si>
  <si>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</si>
  <si>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</si>
  <si>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</si>
  <si>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</si>
  <si>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</si>
  <si>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</si>
  <si>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</si>
  <si>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</si>
  <si>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</si>
  <si>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</si>
  <si>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</si>
  <si>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</si>
  <si>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</si>
  <si>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</si>
  <si>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</si>
  <si>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</si>
  <si>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</si>
  <si>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</si>
  <si>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</si>
  <si>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</si>
  <si>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</si>
  <si>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</si>
  <si>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</si>
  <si>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</si>
  <si>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</si>
  <si>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</si>
  <si>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</si>
  <si>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</si>
  <si>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</si>
  <si>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</si>
  <si>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</si>
  <si>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</si>
  <si>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</si>
  <si>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</si>
  <si>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</si>
  <si>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</si>
  <si>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</si>
  <si>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</si>
  <si>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</si>
  <si>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</si>
  <si>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</si>
  <si>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</si>
  <si>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</si>
  <si>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</si>
  <si>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</si>
  <si>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</si>
  <si>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</si>
  <si>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</si>
  <si>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</si>
  <si>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</si>
  <si>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</si>
  <si>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</si>
  <si>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</si>
  <si>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</si>
  <si>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</si>
  <si>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</si>
  <si>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</si>
  <si>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</si>
  <si>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</si>
  <si>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</si>
  <si>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</si>
  <si>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</si>
  <si>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</si>
  <si>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</si>
  <si>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</si>
  <si>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</si>
  <si>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</si>
  <si>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</si>
  <si>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</si>
  <si>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</si>
  <si>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</si>
  <si>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</si>
  <si>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</si>
  <si>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</si>
  <si>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</si>
  <si>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</si>
  <si>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</si>
  <si>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</si>
  <si>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</si>
  <si>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</si>
  <si>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</si>
  <si>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</si>
  <si>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</si>
  <si>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</si>
  <si>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</si>
  <si>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</si>
  <si>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</si>
  <si>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</si>
  <si>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</si>
  <si>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</si>
  <si>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</si>
  <si>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</si>
  <si>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</si>
  <si>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</si>
  <si>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</si>
  <si>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</si>
  <si>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</si>
  <si>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</si>
  <si>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</si>
  <si>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</si>
  <si>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</si>
  <si>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</si>
  <si>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</si>
  <si>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</si>
  <si>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</si>
  <si>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</si>
  <si>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</si>
  <si>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</si>
  <si>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</si>
  <si>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</si>
  <si>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</si>
  <si>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</si>
  <si>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</si>
  <si>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</si>
  <si>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</si>
  <si>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</si>
  <si>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</si>
  <si>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</si>
  <si>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</si>
  <si>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</si>
  <si>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</si>
  <si>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</si>
  <si>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</si>
  <si>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</si>
  <si>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</si>
  <si>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</si>
  <si>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</si>
  <si>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</si>
  <si>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</si>
  <si>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</si>
  <si>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</si>
  <si>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</si>
  <si>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</si>
  <si>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</si>
  <si>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</si>
  <si>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</si>
  <si>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</si>
  <si>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</si>
  <si>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</si>
  <si>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</si>
  <si>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</si>
  <si>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</si>
  <si>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</si>
  <si>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</si>
  <si>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</si>
  <si>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</si>
  <si>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</si>
  <si>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</si>
  <si>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</si>
  <si>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</si>
  <si>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</si>
  <si>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</si>
  <si>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</si>
  <si>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</si>
  <si>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</si>
  <si>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</si>
  <si>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</si>
  <si>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</si>
  <si>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</si>
  <si>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</si>
  <si>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</si>
  <si>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</si>
  <si>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</si>
  <si>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</si>
  <si>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</si>
  <si>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</si>
  <si>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</si>
  <si>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</si>
  <si>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</si>
  <si>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</si>
  <si>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</si>
  <si>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</si>
  <si>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</si>
  <si>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</si>
  <si>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</si>
  <si>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</si>
  <si>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</si>
  <si>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</si>
  <si>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</si>
  <si>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</si>
  <si>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</si>
  <si>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</si>
  <si>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</si>
  <si>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</si>
  <si>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</si>
  <si>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</si>
  <si>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</si>
  <si>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</si>
  <si>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</si>
  <si>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</si>
  <si>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</si>
  <si>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</si>
  <si>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</si>
  <si>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</si>
  <si>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</si>
  <si>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</si>
  <si>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</si>
  <si>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</si>
  <si>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</si>
  <si>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</si>
  <si>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</si>
  <si>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</si>
  <si>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</si>
  <si>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</si>
  <si>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</si>
  <si>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</si>
  <si>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</si>
  <si>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</si>
  <si>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</si>
  <si>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</si>
  <si>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</si>
  <si>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</si>
  <si>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</si>
  <si>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</si>
  <si>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</si>
  <si>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</si>
  <si>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</si>
  <si>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</si>
  <si>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</si>
  <si>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</si>
  <si>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</si>
  <si>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</si>
  <si>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</si>
  <si>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</si>
  <si>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</si>
  <si>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</si>
  <si>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</si>
  <si>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</si>
  <si>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</si>
  <si>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</si>
  <si>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</si>
  <si>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</si>
  <si>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</si>
  <si>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</si>
  <si>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</si>
  <si>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</si>
  <si>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</si>
  <si>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</si>
  <si>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</si>
  <si>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</si>
  <si>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</si>
  <si>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</si>
  <si>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</si>
  <si>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</si>
  <si>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</si>
  <si>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</si>
  <si>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</si>
  <si>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</si>
  <si>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</si>
  <si>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</si>
  <si>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</si>
  <si>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</si>
  <si>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</si>
  <si>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</si>
  <si>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</si>
  <si>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</si>
  <si>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</si>
  <si>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</si>
  <si>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</si>
  <si>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</si>
  <si>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</si>
  <si>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</si>
  <si>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</si>
  <si>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</si>
  <si>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</si>
  <si>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</si>
  <si>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</si>
  <si>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</si>
  <si>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</si>
  <si>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</si>
  <si>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</si>
  <si>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</si>
  <si>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</si>
  <si>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</si>
  <si>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</si>
  <si>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</si>
  <si>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</si>
  <si>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</si>
  <si>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</si>
  <si>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</si>
  <si>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</si>
  <si>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</si>
  <si>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</si>
  <si>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</si>
  <si>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</si>
  <si>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</si>
  <si>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</si>
  <si>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</si>
  <si>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</si>
  <si>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</si>
  <si>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</si>
  <si>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</si>
  <si>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</si>
  <si>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</si>
  <si>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</si>
  <si>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</si>
  <si>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</si>
  <si>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</si>
  <si>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</si>
  <si>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</si>
  <si>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</si>
  <si>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</si>
  <si>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</si>
  <si>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</si>
  <si>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</si>
  <si>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</si>
  <si>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</si>
  <si>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</si>
  <si>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</si>
  <si>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</si>
  <si>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</si>
  <si>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</si>
  <si>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</si>
  <si>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</si>
  <si>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</si>
  <si>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</si>
  <si>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</si>
  <si>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</si>
  <si>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</si>
  <si>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</si>
  <si>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</si>
  <si>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</si>
  <si>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</si>
  <si>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</si>
  <si>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</si>
  <si>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</si>
  <si>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</si>
  <si>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</si>
  <si>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</si>
  <si>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</si>
  <si>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</si>
  <si>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</si>
  <si>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</si>
  <si>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23025</t>
  </si>
  <si>
    <t>GRIMBERGEN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</si>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</sst>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263406.42753220315</c:v>
                </c:pt>
                <c:pt idx="1">
                  <c:v>150635.18747577374</c:v>
                </c:pt>
                <c:pt idx="2">
                  <c:v>3295.3310000000001</c:v>
                </c:pt>
                <c:pt idx="3">
                  <c:v>2196.5644149515351</c:v>
                </c:pt>
                <c:pt idx="4">
                  <c:v>73469.080699159022</c:v>
                </c:pt>
                <c:pt idx="5">
                  <c:v>375980.23941658967</c:v>
                </c:pt>
                <c:pt idx="6">
                  <c:v>4810.0500586395365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263406.42753220315</c:v>
                </c:pt>
                <c:pt idx="1">
                  <c:v>150635.18747577374</c:v>
                </c:pt>
                <c:pt idx="2">
                  <c:v>3295.3310000000001</c:v>
                </c:pt>
                <c:pt idx="3">
                  <c:v>2196.5644149515351</c:v>
                </c:pt>
                <c:pt idx="4">
                  <c:v>73469.080699159022</c:v>
                </c:pt>
                <c:pt idx="5">
                  <c:v>375980.23941658967</c:v>
                </c:pt>
                <c:pt idx="6">
                  <c:v>4810.0500586395365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54464.313541327079</c:v>
                </c:pt>
                <c:pt idx="2">
                  <c:v>30615.243328373374</c:v>
                </c:pt>
                <c:pt idx="3">
                  <c:v>689.39678789042387</c:v>
                </c:pt>
                <c:pt idx="4">
                  <c:v>554.07071351176808</c:v>
                </c:pt>
                <c:pt idx="5">
                  <c:v>14494.730577692826</c:v>
                </c:pt>
                <c:pt idx="6">
                  <c:v>96237.01212926174</c:v>
                </c:pt>
                <c:pt idx="7">
                  <c:v>1245.6462070514044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6816"/>
      </c:barChart>
      <c:catAx>
        <c:axId val="183991296"/>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54464.313541327079</c:v>
                </c:pt>
                <c:pt idx="2">
                  <c:v>30615.243328373374</c:v>
                </c:pt>
                <c:pt idx="3">
                  <c:v>689.39678789042387</c:v>
                </c:pt>
                <c:pt idx="4">
                  <c:v>554.07071351176808</c:v>
                </c:pt>
                <c:pt idx="5">
                  <c:v>14494.730577692826</c:v>
                </c:pt>
                <c:pt idx="6">
                  <c:v>96237.01212926174</c:v>
                </c:pt>
                <c:pt idx="7">
                  <c:v>1245.6462070514044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0.20920410966012939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0.20920410966012939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15436</v>
      </c>
      <c r="C9" s="342">
        <v>16227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1525.67</v>
      </c>
    </row>
    <row r="15" spans="1:6">
      <c r="A15" s="348" t="s">
        <v>184</v>
      </c>
      <c r="B15" s="334">
        <v>425</v>
      </c>
    </row>
    <row r="16" spans="1:6">
      <c r="A16" s="348" t="s">
        <v>6</v>
      </c>
      <c r="B16" s="334">
        <v>84</v>
      </c>
    </row>
    <row r="17" spans="1:6">
      <c r="A17" s="348" t="s">
        <v>7</v>
      </c>
      <c r="B17" s="334">
        <v>164</v>
      </c>
    </row>
    <row r="18" spans="1:6">
      <c r="A18" s="348" t="s">
        <v>8</v>
      </c>
      <c r="B18" s="334">
        <v>160</v>
      </c>
    </row>
    <row r="19" spans="1:6">
      <c r="A19" s="348" t="s">
        <v>9</v>
      </c>
      <c r="B19" s="334">
        <v>141</v>
      </c>
    </row>
    <row r="20" spans="1:6">
      <c r="A20" s="348" t="s">
        <v>10</v>
      </c>
      <c r="B20" s="334">
        <v>194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90</v>
      </c>
    </row>
    <row r="27" spans="1:6">
      <c r="A27" s="348" t="s">
        <v>17</v>
      </c>
      <c r="B27" s="334">
        <v>0</v>
      </c>
    </row>
    <row r="28" spans="1:6" s="356" customFormat="1">
      <c r="A28" s="355" t="s">
        <v>18</v>
      </c>
      <c r="B28" s="355">
        <v>2</v>
      </c>
    </row>
    <row r="29" spans="1:6">
      <c r="A29" s="355" t="s">
        <v>884</v>
      </c>
      <c r="B29" s="355">
        <v>196</v>
      </c>
      <c r="C29" s="356"/>
      <c r="D29" s="356"/>
      <c r="E29" s="356"/>
      <c r="F29" s="356"/>
    </row>
    <row r="30" spans="1:6">
      <c r="A30" s="355" t="s">
        <v>885</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55089.211855000001</v>
      </c>
    </row>
    <row r="36" spans="1:6">
      <c r="A36" s="348" t="s">
        <v>25</v>
      </c>
      <c r="B36" s="348" t="s">
        <v>27</v>
      </c>
      <c r="C36" s="334">
        <v>0</v>
      </c>
      <c r="D36" s="334">
        <v>0</v>
      </c>
      <c r="E36" s="334">
        <v>3</v>
      </c>
      <c r="F36" s="334">
        <v>26775</v>
      </c>
    </row>
    <row r="37" spans="1:6">
      <c r="A37" s="348" t="s">
        <v>25</v>
      </c>
      <c r="B37" s="348" t="s">
        <v>28</v>
      </c>
      <c r="C37" s="334">
        <v>0</v>
      </c>
      <c r="D37" s="334">
        <v>0</v>
      </c>
      <c r="E37" s="334">
        <v>0</v>
      </c>
      <c r="F37" s="334">
        <v>0</v>
      </c>
    </row>
    <row r="38" spans="1:6">
      <c r="A38" s="348" t="s">
        <v>25</v>
      </c>
      <c r="B38" s="348" t="s">
        <v>29</v>
      </c>
      <c r="C38" s="334">
        <v>1</v>
      </c>
      <c r="D38" s="334">
        <v>562857.03746000002</v>
      </c>
      <c r="E38" s="334">
        <v>6</v>
      </c>
      <c r="F38" s="334">
        <v>18529.966376</v>
      </c>
    </row>
    <row r="39" spans="1:6">
      <c r="A39" s="348" t="s">
        <v>30</v>
      </c>
      <c r="B39" s="348" t="s">
        <v>31</v>
      </c>
      <c r="C39" s="334">
        <v>10337</v>
      </c>
      <c r="D39" s="334">
        <v>162215920.88999999</v>
      </c>
      <c r="E39" s="334">
        <v>15566</v>
      </c>
      <c r="F39" s="334">
        <v>55833841.572999999</v>
      </c>
    </row>
    <row r="40" spans="1:6">
      <c r="A40" s="348" t="s">
        <v>30</v>
      </c>
      <c r="B40" s="348" t="s">
        <v>29</v>
      </c>
      <c r="C40" s="334">
        <v>0</v>
      </c>
      <c r="D40" s="334">
        <v>0</v>
      </c>
      <c r="E40" s="334">
        <v>0</v>
      </c>
      <c r="F40" s="334">
        <v>0</v>
      </c>
    </row>
    <row r="41" spans="1:6">
      <c r="A41" s="348" t="s">
        <v>32</v>
      </c>
      <c r="B41" s="348" t="s">
        <v>33</v>
      </c>
      <c r="C41" s="334">
        <v>50</v>
      </c>
      <c r="D41" s="334">
        <v>565439.14523000002</v>
      </c>
      <c r="E41" s="334">
        <v>129</v>
      </c>
      <c r="F41" s="334">
        <v>594856.00870000001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185554.40690999999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8729.3570971000008</v>
      </c>
    </row>
    <row r="48" spans="1:6">
      <c r="A48" s="348" t="s">
        <v>32</v>
      </c>
      <c r="B48" s="348" t="s">
        <v>29</v>
      </c>
      <c r="C48" s="334">
        <v>59</v>
      </c>
      <c r="D48" s="334">
        <v>45234397.240999997</v>
      </c>
      <c r="E48" s="334">
        <v>86</v>
      </c>
      <c r="F48" s="334">
        <v>19793333.908</v>
      </c>
    </row>
    <row r="49" spans="1:6">
      <c r="A49" s="348" t="s">
        <v>32</v>
      </c>
      <c r="B49" s="348" t="s">
        <v>40</v>
      </c>
      <c r="C49" s="334">
        <v>0</v>
      </c>
      <c r="D49" s="334">
        <v>0</v>
      </c>
      <c r="E49" s="334">
        <v>0</v>
      </c>
      <c r="F49" s="334">
        <v>0</v>
      </c>
    </row>
    <row r="50" spans="1:6">
      <c r="A50" s="348" t="s">
        <v>32</v>
      </c>
      <c r="B50" s="348" t="s">
        <v>41</v>
      </c>
      <c r="C50" s="334">
        <v>6</v>
      </c>
      <c r="D50" s="334">
        <v>489116.46230000001</v>
      </c>
      <c r="E50" s="334">
        <v>8</v>
      </c>
      <c r="F50" s="334">
        <v>390849.99721</v>
      </c>
    </row>
    <row r="51" spans="1:6">
      <c r="A51" s="348" t="s">
        <v>42</v>
      </c>
      <c r="B51" s="348" t="s">
        <v>43</v>
      </c>
      <c r="C51" s="334">
        <v>6</v>
      </c>
      <c r="D51" s="334">
        <v>153433.92022999999</v>
      </c>
      <c r="E51" s="334">
        <v>42</v>
      </c>
      <c r="F51" s="334">
        <v>315490.86294999998</v>
      </c>
    </row>
    <row r="52" spans="1:6">
      <c r="A52" s="348" t="s">
        <v>42</v>
      </c>
      <c r="B52" s="348" t="s">
        <v>29</v>
      </c>
      <c r="C52" s="334">
        <v>4</v>
      </c>
      <c r="D52" s="334">
        <v>73337.274543000007</v>
      </c>
      <c r="E52" s="334">
        <v>14</v>
      </c>
      <c r="F52" s="334">
        <v>97367.509141000002</v>
      </c>
    </row>
    <row r="53" spans="1:6">
      <c r="A53" s="348" t="s">
        <v>44</v>
      </c>
      <c r="B53" s="348" t="s">
        <v>45</v>
      </c>
      <c r="C53" s="334">
        <v>281</v>
      </c>
      <c r="D53" s="334">
        <v>7194637.6180999996</v>
      </c>
      <c r="E53" s="334">
        <v>626</v>
      </c>
      <c r="F53" s="334">
        <v>2555322.6260000002</v>
      </c>
    </row>
    <row r="54" spans="1:6">
      <c r="A54" s="348" t="s">
        <v>46</v>
      </c>
      <c r="B54" s="348" t="s">
        <v>47</v>
      </c>
      <c r="C54" s="334">
        <v>0</v>
      </c>
      <c r="D54" s="334">
        <v>0</v>
      </c>
      <c r="E54" s="334">
        <v>1</v>
      </c>
      <c r="F54" s="334">
        <v>3295331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110</v>
      </c>
      <c r="D57" s="334">
        <v>8667647.2989000008</v>
      </c>
      <c r="E57" s="334">
        <v>223</v>
      </c>
      <c r="F57" s="334">
        <v>6840869.6705999998</v>
      </c>
    </row>
    <row r="58" spans="1:6">
      <c r="A58" s="348" t="s">
        <v>49</v>
      </c>
      <c r="B58" s="348" t="s">
        <v>51</v>
      </c>
      <c r="C58" s="334">
        <v>43</v>
      </c>
      <c r="D58" s="334">
        <v>1273903.3817</v>
      </c>
      <c r="E58" s="334">
        <v>64</v>
      </c>
      <c r="F58" s="334">
        <v>458146.10697000002</v>
      </c>
    </row>
    <row r="59" spans="1:6">
      <c r="A59" s="348" t="s">
        <v>49</v>
      </c>
      <c r="B59" s="348" t="s">
        <v>52</v>
      </c>
      <c r="C59" s="334">
        <v>152</v>
      </c>
      <c r="D59" s="334">
        <v>19125025.250999998</v>
      </c>
      <c r="E59" s="334">
        <v>334</v>
      </c>
      <c r="F59" s="334">
        <v>18562784.079</v>
      </c>
    </row>
    <row r="60" spans="1:6">
      <c r="A60" s="348" t="s">
        <v>49</v>
      </c>
      <c r="B60" s="348" t="s">
        <v>53</v>
      </c>
      <c r="C60" s="334">
        <v>79</v>
      </c>
      <c r="D60" s="334">
        <v>5369453.4275000002</v>
      </c>
      <c r="E60" s="334">
        <v>107</v>
      </c>
      <c r="F60" s="334">
        <v>3135276.5803999999</v>
      </c>
    </row>
    <row r="61" spans="1:6">
      <c r="A61" s="348" t="s">
        <v>49</v>
      </c>
      <c r="B61" s="348" t="s">
        <v>54</v>
      </c>
      <c r="C61" s="334">
        <v>247</v>
      </c>
      <c r="D61" s="334">
        <v>18105079.166000001</v>
      </c>
      <c r="E61" s="334">
        <v>692</v>
      </c>
      <c r="F61" s="334">
        <v>21880599.952</v>
      </c>
    </row>
    <row r="62" spans="1:6">
      <c r="A62" s="348" t="s">
        <v>49</v>
      </c>
      <c r="B62" s="348" t="s">
        <v>55</v>
      </c>
      <c r="C62" s="334">
        <v>8</v>
      </c>
      <c r="D62" s="334">
        <v>878091.20201999997</v>
      </c>
      <c r="E62" s="334">
        <v>10</v>
      </c>
      <c r="F62" s="334">
        <v>478221.44588999997</v>
      </c>
    </row>
    <row r="63" spans="1:6">
      <c r="A63" s="348" t="s">
        <v>49</v>
      </c>
      <c r="B63" s="348" t="s">
        <v>29</v>
      </c>
      <c r="C63" s="334">
        <v>233</v>
      </c>
      <c r="D63" s="334">
        <v>14026288.709000001</v>
      </c>
      <c r="E63" s="334">
        <v>291</v>
      </c>
      <c r="F63" s="334">
        <v>14359135.369000001</v>
      </c>
    </row>
    <row r="64" spans="1:6">
      <c r="A64" s="348" t="s">
        <v>56</v>
      </c>
      <c r="B64" s="348" t="s">
        <v>57</v>
      </c>
      <c r="C64" s="334">
        <v>0</v>
      </c>
      <c r="D64" s="334">
        <v>0</v>
      </c>
      <c r="E64" s="334">
        <v>0</v>
      </c>
      <c r="F64" s="334">
        <v>0</v>
      </c>
    </row>
    <row r="65" spans="1:6">
      <c r="A65" s="348" t="s">
        <v>56</v>
      </c>
      <c r="B65" s="348" t="s">
        <v>29</v>
      </c>
      <c r="C65" s="334">
        <v>5</v>
      </c>
      <c r="D65" s="334">
        <v>139458.21106999999</v>
      </c>
      <c r="E65" s="334">
        <v>7</v>
      </c>
      <c r="F65" s="334">
        <v>379873.97200000001</v>
      </c>
    </row>
    <row r="66" spans="1:6">
      <c r="A66" s="348" t="s">
        <v>56</v>
      </c>
      <c r="B66" s="348" t="s">
        <v>58</v>
      </c>
      <c r="C66" s="334">
        <v>0</v>
      </c>
      <c r="D66" s="334">
        <v>0</v>
      </c>
      <c r="E66" s="334">
        <v>14</v>
      </c>
      <c r="F66" s="334">
        <v>897399</v>
      </c>
    </row>
    <row r="67" spans="1:6">
      <c r="A67" s="355" t="s">
        <v>56</v>
      </c>
      <c r="B67" s="355" t="s">
        <v>59</v>
      </c>
      <c r="C67" s="334">
        <v>0</v>
      </c>
      <c r="D67" s="334">
        <v>0</v>
      </c>
      <c r="E67" s="334">
        <v>0</v>
      </c>
      <c r="F67" s="334">
        <v>0</v>
      </c>
    </row>
    <row r="68" spans="1:6">
      <c r="A68" s="341" t="s">
        <v>56</v>
      </c>
      <c r="B68" s="341" t="s">
        <v>60</v>
      </c>
      <c r="C68" s="334">
        <v>5</v>
      </c>
      <c r="D68" s="334">
        <v>37345.376920000002</v>
      </c>
      <c r="E68" s="334">
        <v>13</v>
      </c>
      <c r="F68" s="334">
        <v>328739.20157999999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68563472</v>
      </c>
      <c r="E73" s="475">
        <v>69977041.077977821</v>
      </c>
    </row>
    <row r="74" spans="1:6">
      <c r="A74" s="348" t="s">
        <v>64</v>
      </c>
      <c r="B74" s="348" t="s">
        <v>667</v>
      </c>
      <c r="C74" s="1294" t="s">
        <v>669</v>
      </c>
      <c r="D74" s="475">
        <v>2116394.0650423942</v>
      </c>
      <c r="E74" s="475">
        <v>2122601.8071545842</v>
      </c>
    </row>
    <row r="75" spans="1:6">
      <c r="A75" s="348" t="s">
        <v>65</v>
      </c>
      <c r="B75" s="348" t="s">
        <v>666</v>
      </c>
      <c r="C75" s="1294" t="s">
        <v>670</v>
      </c>
      <c r="D75" s="475">
        <v>61857543</v>
      </c>
      <c r="E75" s="475">
        <v>63069001.761864059</v>
      </c>
    </row>
    <row r="76" spans="1:6">
      <c r="A76" s="348" t="s">
        <v>65</v>
      </c>
      <c r="B76" s="348" t="s">
        <v>667</v>
      </c>
      <c r="C76" s="1294" t="s">
        <v>671</v>
      </c>
      <c r="D76" s="475">
        <v>2217361.0650423942</v>
      </c>
      <c r="E76" s="475">
        <v>2262733.0256998977</v>
      </c>
    </row>
    <row r="77" spans="1:6">
      <c r="A77" s="348" t="s">
        <v>66</v>
      </c>
      <c r="B77" s="348" t="s">
        <v>666</v>
      </c>
      <c r="C77" s="1294" t="s">
        <v>672</v>
      </c>
      <c r="D77" s="475">
        <v>267871511</v>
      </c>
      <c r="E77" s="475">
        <v>278738457.33410323</v>
      </c>
    </row>
    <row r="78" spans="1:6">
      <c r="A78" s="341" t="s">
        <v>66</v>
      </c>
      <c r="B78" s="341" t="s">
        <v>667</v>
      </c>
      <c r="C78" s="341" t="s">
        <v>673</v>
      </c>
      <c r="D78" s="1295">
        <v>32978463</v>
      </c>
      <c r="E78" s="1295">
        <v>33034966.661157943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1291913.8699152118</v>
      </c>
      <c r="C83" s="475">
        <v>1291913.8699152118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3234.1990087073059</v>
      </c>
    </row>
    <row r="92" spans="1:6">
      <c r="A92" s="341" t="s">
        <v>69</v>
      </c>
      <c r="B92" s="342">
        <v>4884.855918119446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26</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152113.24343732407</v>
      </c>
      <c r="C3" s="43" t="s">
        <v>170</v>
      </c>
      <c r="D3" s="43"/>
      <c r="E3" s="154"/>
      <c r="F3" s="43"/>
      <c r="G3" s="43"/>
      <c r="H3" s="43"/>
      <c r="I3" s="43"/>
      <c r="J3" s="43"/>
      <c r="K3" s="96"/>
    </row>
    <row r="4" spans="1:11">
      <c r="A4" s="383" t="s">
        <v>171</v>
      </c>
      <c r="B4" s="49">
        <f>IF(ISERROR('SEAP template'!B78+'SEAP template'!C78),0,'SEAP template'!B78+'SEAP template'!C78)</f>
        <v>8119.0549268267514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0.20920410966012939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3295.3310000000001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3295.3310000000001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0.20920410966012939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689.39678789042387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55833.841572999998</v>
      </c>
      <c r="C5" s="17">
        <f>IF(ISERROR('Eigen informatie GS &amp; warmtenet'!B57),0,'Eigen informatie GS &amp; warmtenet'!B57)</f>
        <v>0</v>
      </c>
      <c r="D5" s="30">
        <f>(SUM(HH_hh_gas_kWh,HH_rest_gas_kWh)/1000)*0.902</f>
        <v>146318.76064277999</v>
      </c>
      <c r="E5" s="17">
        <f>B46*B57</f>
        <v>7299.9025421843935</v>
      </c>
      <c r="F5" s="17">
        <f>B51*B62</f>
        <v>40799.884551105592</v>
      </c>
      <c r="G5" s="18"/>
      <c r="H5" s="17"/>
      <c r="I5" s="17"/>
      <c r="J5" s="17">
        <f>B50*B61+C50*C61</f>
        <v>0</v>
      </c>
      <c r="K5" s="17"/>
      <c r="L5" s="17"/>
      <c r="M5" s="17"/>
      <c r="N5" s="17">
        <f>B48*B59+C48*C59</f>
        <v>8930.7958810925047</v>
      </c>
      <c r="O5" s="17">
        <f>B69*B70*B71</f>
        <v>245.44333333333333</v>
      </c>
      <c r="P5" s="17">
        <f>B77*B78*B79/1000-B77*B78*B79/1000/B80</f>
        <v>743.6</v>
      </c>
    </row>
    <row r="6" spans="1:16">
      <c r="A6" s="16" t="s">
        <v>624</v>
      </c>
      <c r="B6" s="788">
        <f>kWh_PV_kleiner_dan_10kW</f>
        <v>3234.1990087073059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59068.040581707304</v>
      </c>
      <c r="C8" s="21">
        <f>C5</f>
        <v>0</v>
      </c>
      <c r="D8" s="21">
        <f>D5</f>
        <v>146318.76064277999</v>
      </c>
      <c r="E8" s="21">
        <f>E5</f>
        <v>7299.9025421843935</v>
      </c>
      <c r="F8" s="21">
        <f>F5</f>
        <v>40799.884551105592</v>
      </c>
      <c r="G8" s="21"/>
      <c r="H8" s="21"/>
      <c r="I8" s="21"/>
      <c r="J8" s="21">
        <f>J5</f>
        <v>0</v>
      </c>
      <c r="K8" s="21"/>
      <c r="L8" s="21">
        <f>L5</f>
        <v>0</v>
      </c>
      <c r="M8" s="21">
        <f>M5</f>
        <v>0</v>
      </c>
      <c r="N8" s="21">
        <f>N5</f>
        <v>8930.7958810925047</v>
      </c>
      <c r="O8" s="21">
        <f>O5</f>
        <v>245.44333333333333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0.20920410966012939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12357.276839264468</v>
      </c>
      <c r="C12" s="23">
        <f ca="1">C10*C8</f>
        <v>0</v>
      </c>
      <c r="D12" s="23">
        <f>D8*D10</f>
        <v>29556.38964984156</v>
      </c>
      <c r="E12" s="23">
        <f>E10*E8</f>
        <v>1657.0778770758575</v>
      </c>
      <c r="F12" s="23">
        <f>F10*F8</f>
        <v>10893.569175145194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15436</v>
      </c>
      <c r="C28" s="36"/>
      <c r="D28" s="228"/>
    </row>
    <row r="29" spans="1:7" s="15" customFormat="1">
      <c r="A29" s="230" t="s">
        <v>699</v>
      </c>
      <c r="B29" s="37">
        <f>SUM(HH_hh_gas_aantal,HH_rest_gas_aantal)</f>
        <v>10337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10337</v>
      </c>
      <c r="C32" s="167">
        <f>IF(ISERROR(B32/SUM($B$32,$B$34,$B$35,$B$36,$B$38,$B$39)*100),0,B32/SUM($B$32,$B$34,$B$35,$B$36,$B$38,$B$39)*100)</f>
        <v>67.136455153601332</v>
      </c>
      <c r="D32" s="233"/>
      <c r="G32" s="15"/>
    </row>
    <row r="33" spans="1:7">
      <c r="A33" s="171" t="s">
        <v>72</v>
      </c>
      <c r="B33" s="34" t="s">
        <v>111</v>
      </c>
      <c r="C33" s="167"/>
      <c r="D33" s="233"/>
      <c r="G33" s="15"/>
    </row>
    <row r="34" spans="1:7">
      <c r="A34" s="171" t="s">
        <v>73</v>
      </c>
      <c r="B34" s="33">
        <f>IF((($B$28-$B$32-$B$39-$B$77-$B$38)*C20/100)&lt;0,0,($B$28-$B$32-$B$39-$B$77-$B$38)*C20/100)</f>
        <v>322.74908290535586</v>
      </c>
      <c r="C34" s="167">
        <f>IF(ISERROR(B34/SUM($B$32,$B$34,$B$35,$B$36,$B$38,$B$39)*100),0,B34/SUM($B$32,$B$34,$B$35,$B$36,$B$38,$B$39)*100)</f>
        <v>2.0961816126866002</v>
      </c>
      <c r="D34" s="233"/>
      <c r="G34" s="15"/>
    </row>
    <row r="35" spans="1:7">
      <c r="A35" s="171" t="s">
        <v>74</v>
      </c>
      <c r="B35" s="33">
        <f>IF((($B$28-$B$32-$B$39-$B$77-$B$38)*C21/100)&lt;0,0,($B$28-$B$32-$B$39-$B$77-$B$38)*C21/100)</f>
        <v>2922.120542920029</v>
      </c>
      <c r="C35" s="167">
        <f>IF(ISERROR(B35/SUM($B$32,$B$34,$B$35,$B$36,$B$38,$B$39)*100),0,B35/SUM($B$32,$B$34,$B$35,$B$36,$B$38,$B$39)*100)</f>
        <v>18.978505831785601</v>
      </c>
      <c r="D35" s="233"/>
      <c r="G35" s="15"/>
    </row>
    <row r="36" spans="1:7">
      <c r="A36" s="171" t="s">
        <v>75</v>
      </c>
      <c r="B36" s="33">
        <f>IF((($B$28-$B$32-$B$39-$B$77-$B$38)*C22/100)&lt;0,0,($B$28-$B$32-$B$39-$B$77-$B$38)*C22/100)</f>
        <v>139.03037417461482</v>
      </c>
      <c r="C36" s="167">
        <f>IF(ISERROR(B36/SUM($B$32,$B$34,$B$35,$B$36,$B$38,$B$39)*100),0,B36/SUM($B$32,$B$34,$B$35,$B$36,$B$38,$B$39)*100)</f>
        <v>0.90297054084961226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1676.1</v>
      </c>
      <c r="C39" s="167">
        <f>IF(ISERROR(B39/SUM($B$32,$B$34,$B$35,$B$36,$B$38,$B$39)*100),0,B39/SUM($B$32,$B$34,$B$35,$B$36,$B$38,$B$39)*100)</f>
        <v>10.88588686107683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10337</v>
      </c>
      <c r="C44" s="34" t="s">
        <v>111</v>
      </c>
      <c r="D44" s="174"/>
    </row>
    <row r="45" spans="1:7">
      <c r="A45" s="171" t="s">
        <v>72</v>
      </c>
      <c r="B45" s="33" t="str">
        <f t="shared" si="0"/>
        <v>-</v>
      </c>
      <c r="C45" s="34" t="s">
        <v>111</v>
      </c>
      <c r="D45" s="174"/>
    </row>
    <row r="46" spans="1:7">
      <c r="A46" s="171" t="s">
        <v>73</v>
      </c>
      <c r="B46" s="33">
        <f t="shared" si="0"/>
        <v>322.74908290535586</v>
      </c>
      <c r="C46" s="34" t="s">
        <v>111</v>
      </c>
      <c r="D46" s="174"/>
    </row>
    <row r="47" spans="1:7">
      <c r="A47" s="171" t="s">
        <v>74</v>
      </c>
      <c r="B47" s="33">
        <f t="shared" si="0"/>
        <v>2922.120542920029</v>
      </c>
      <c r="C47" s="34" t="s">
        <v>111</v>
      </c>
      <c r="D47" s="174"/>
    </row>
    <row r="48" spans="1:7">
      <c r="A48" s="171" t="s">
        <v>75</v>
      </c>
      <c r="B48" s="33">
        <f t="shared" si="0"/>
        <v>139.03037417461482</v>
      </c>
      <c r="C48" s="33">
        <f>B48*10</f>
        <v>1390.3037417461483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1676.1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65715.033203860003</v>
      </c>
      <c r="C5" s="17">
        <f>IF(ISERROR('Eigen informatie GS &amp; warmtenet'!B58),0,'Eigen informatie GS &amp; warmtenet'!B58)</f>
        <v>0</v>
      </c>
      <c r="D5" s="30">
        <f>SUM(D6:D12)</f>
        <v>60835.830569380239</v>
      </c>
      <c r="E5" s="17">
        <f>SUM(E6:E12)</f>
        <v>1240.0746054961292</v>
      </c>
      <c r="F5" s="17">
        <f>SUM(F6:F12)</f>
        <v>16093.833727384175</v>
      </c>
      <c r="G5" s="18"/>
      <c r="H5" s="17"/>
      <c r="I5" s="17"/>
      <c r="J5" s="17">
        <f>SUM(J6:J12)</f>
        <v>0</v>
      </c>
      <c r="K5" s="17"/>
      <c r="L5" s="17"/>
      <c r="M5" s="17"/>
      <c r="N5" s="17">
        <f>SUM(N6:N12)</f>
        <v>6709.1553696531773</v>
      </c>
      <c r="O5" s="17">
        <f>B38*B39*B40</f>
        <v>3.1266666666666669</v>
      </c>
      <c r="P5" s="17">
        <f>B46*B47*B48/1000-B46*B47*B48/1000/B49</f>
        <v>38.133333333333333</v>
      </c>
      <c r="R5" s="32"/>
    </row>
    <row r="6" spans="1:18">
      <c r="A6" s="32" t="s">
        <v>54</v>
      </c>
      <c r="B6" s="37">
        <f>B26</f>
        <v>21880.599952</v>
      </c>
      <c r="C6" s="33"/>
      <c r="D6" s="37">
        <f>IF(ISERROR(TER_kantoor_gas_kWh/1000),0,TER_kantoor_gas_kWh/1000)*0.902</f>
        <v>16330.781407732</v>
      </c>
      <c r="E6" s="33">
        <f>$C$26*'E Balans VL '!I12/100/3.6*1000000</f>
        <v>286.44400636252868</v>
      </c>
      <c r="F6" s="33">
        <f>$C$26*('E Balans VL '!L12+'E Balans VL '!N12)/100/3.6*1000000</f>
        <v>5579.3268820862504</v>
      </c>
      <c r="G6" s="34"/>
      <c r="H6" s="33"/>
      <c r="I6" s="33"/>
      <c r="J6" s="33">
        <f>$C$26*('E Balans VL '!D12+'E Balans VL '!E12)/100/3.6*1000000</f>
        <v>0</v>
      </c>
      <c r="K6" s="33"/>
      <c r="L6" s="33"/>
      <c r="M6" s="33"/>
      <c r="N6" s="33">
        <f>$C$26*'E Balans VL '!Y12/100/3.6*1000000</f>
        <v>21.954281700351956</v>
      </c>
      <c r="O6" s="33"/>
      <c r="P6" s="33"/>
      <c r="R6" s="32"/>
    </row>
    <row r="7" spans="1:18">
      <c r="A7" s="32" t="s">
        <v>53</v>
      </c>
      <c r="B7" s="37">
        <f t="shared" ref="B7:B12" si="0">B27</f>
        <v>3135.2765804000001</v>
      </c>
      <c r="C7" s="33"/>
      <c r="D7" s="37">
        <f>IF(ISERROR(TER_horeca_gas_kWh/1000),0,TER_horeca_gas_kWh/1000)*0.902</f>
        <v>4843.2469916050004</v>
      </c>
      <c r="E7" s="33">
        <f>$C$27*'E Balans VL '!I9/100/3.6*1000000</f>
        <v>103.75858356356439</v>
      </c>
      <c r="F7" s="33">
        <f>$C$27*('E Balans VL '!L9+'E Balans VL '!N9)/100/3.6*1000000</f>
        <v>1348.1569137366871</v>
      </c>
      <c r="G7" s="34"/>
      <c r="H7" s="33"/>
      <c r="I7" s="33"/>
      <c r="J7" s="33">
        <f>$C$27*('E Balans VL '!D9+'E Balans VL '!E9)/100/3.6*1000000</f>
        <v>0</v>
      </c>
      <c r="K7" s="33"/>
      <c r="L7" s="33"/>
      <c r="M7" s="33"/>
      <c r="N7" s="33">
        <f>$C$27*'E Balans VL '!Y9/100/3.6*1000000</f>
        <v>0.75470660211464347</v>
      </c>
      <c r="O7" s="33"/>
      <c r="P7" s="33"/>
      <c r="R7" s="32"/>
    </row>
    <row r="8" spans="1:18">
      <c r="A8" s="6" t="s">
        <v>52</v>
      </c>
      <c r="B8" s="37">
        <f t="shared" si="0"/>
        <v>18562.784079000001</v>
      </c>
      <c r="C8" s="33"/>
      <c r="D8" s="37">
        <f>IF(ISERROR(TER_handel_gas_kWh/1000),0,TER_handel_gas_kWh/1000)*0.902</f>
        <v>17250.772776401998</v>
      </c>
      <c r="E8" s="33">
        <f>$C$28*'E Balans VL '!I13/100/3.6*1000000</f>
        <v>585.86982862304035</v>
      </c>
      <c r="F8" s="33">
        <f>$C$28*('E Balans VL '!L13+'E Balans VL '!N13)/100/3.6*1000000</f>
        <v>3640.4888282256211</v>
      </c>
      <c r="G8" s="34"/>
      <c r="H8" s="33"/>
      <c r="I8" s="33"/>
      <c r="J8" s="33">
        <f>$C$28*('E Balans VL '!D13+'E Balans VL '!E13)/100/3.6*1000000</f>
        <v>0</v>
      </c>
      <c r="K8" s="33"/>
      <c r="L8" s="33"/>
      <c r="M8" s="33"/>
      <c r="N8" s="33">
        <f>$C$28*'E Balans VL '!Y13/100/3.6*1000000</f>
        <v>22.030420781487468</v>
      </c>
      <c r="O8" s="33"/>
      <c r="P8" s="33"/>
      <c r="R8" s="32"/>
    </row>
    <row r="9" spans="1:18">
      <c r="A9" s="32" t="s">
        <v>51</v>
      </c>
      <c r="B9" s="37">
        <f t="shared" si="0"/>
        <v>458.14610697000001</v>
      </c>
      <c r="C9" s="33"/>
      <c r="D9" s="37">
        <f>IF(ISERROR(TER_gezond_gas_kWh/1000),0,TER_gezond_gas_kWh/1000)*0.902</f>
        <v>1149.0608502933999</v>
      </c>
      <c r="E9" s="33">
        <f>$C$29*'E Balans VL '!I10/100/3.6*1000000</f>
        <v>5.8656104459137139E-2</v>
      </c>
      <c r="F9" s="33">
        <f>$C$29*('E Balans VL '!L10+'E Balans VL '!N10)/100/3.6*1000000</f>
        <v>95.4510367449911</v>
      </c>
      <c r="G9" s="34"/>
      <c r="H9" s="33"/>
      <c r="I9" s="33"/>
      <c r="J9" s="33">
        <f>$C$29*('E Balans VL '!D10+'E Balans VL '!E10)/100/3.6*1000000</f>
        <v>0</v>
      </c>
      <c r="K9" s="33"/>
      <c r="L9" s="33"/>
      <c r="M9" s="33"/>
      <c r="N9" s="33">
        <f>$C$29*'E Balans VL '!Y10/100/3.6*1000000</f>
        <v>5.3811425746815065</v>
      </c>
      <c r="O9" s="33"/>
      <c r="P9" s="33"/>
      <c r="R9" s="32"/>
    </row>
    <row r="10" spans="1:18">
      <c r="A10" s="32" t="s">
        <v>50</v>
      </c>
      <c r="B10" s="37">
        <f t="shared" si="0"/>
        <v>6840.8696706000001</v>
      </c>
      <c r="C10" s="33"/>
      <c r="D10" s="37">
        <f>IF(ISERROR(TER_ander_gas_kWh/1000),0,TER_ander_gas_kWh/1000)*0.902</f>
        <v>7818.2178636078015</v>
      </c>
      <c r="E10" s="33">
        <f>$C$30*'E Balans VL '!I14/100/3.6*1000000</f>
        <v>10.287059247444423</v>
      </c>
      <c r="F10" s="33">
        <f>$C$30*('E Balans VL '!L14+'E Balans VL '!N14)/100/3.6*1000000</f>
        <v>1510.2435105916038</v>
      </c>
      <c r="G10" s="34"/>
      <c r="H10" s="33"/>
      <c r="I10" s="33"/>
      <c r="J10" s="33">
        <f>$C$30*('E Balans VL '!D14+'E Balans VL '!E14)/100/3.6*1000000</f>
        <v>0</v>
      </c>
      <c r="K10" s="33"/>
      <c r="L10" s="33"/>
      <c r="M10" s="33"/>
      <c r="N10" s="33">
        <f>$C$30*'E Balans VL '!Y14/100/3.6*1000000</f>
        <v>5391.0656736038345</v>
      </c>
      <c r="O10" s="33"/>
      <c r="P10" s="33"/>
      <c r="R10" s="32"/>
    </row>
    <row r="11" spans="1:18">
      <c r="A11" s="32" t="s">
        <v>55</v>
      </c>
      <c r="B11" s="37">
        <f t="shared" si="0"/>
        <v>478.22144588999998</v>
      </c>
      <c r="C11" s="33"/>
      <c r="D11" s="37">
        <f>IF(ISERROR(TER_onderwijs_gas_kWh/1000),0,TER_onderwijs_gas_kWh/1000)*0.902</f>
        <v>792.03826422203997</v>
      </c>
      <c r="E11" s="33">
        <f>$C$31*'E Balans VL '!I11/100/3.6*1000000</f>
        <v>0.84218804103093126</v>
      </c>
      <c r="F11" s="33">
        <f>$C$31*('E Balans VL '!L11+'E Balans VL '!N11)/100/3.6*1000000</f>
        <v>220.80349497016425</v>
      </c>
      <c r="G11" s="34"/>
      <c r="H11" s="33"/>
      <c r="I11" s="33"/>
      <c r="J11" s="33">
        <f>$C$31*('E Balans VL '!D11+'E Balans VL '!E11)/100/3.6*1000000</f>
        <v>0</v>
      </c>
      <c r="K11" s="33"/>
      <c r="L11" s="33"/>
      <c r="M11" s="33"/>
      <c r="N11" s="33">
        <f>$C$31*'E Balans VL '!Y11/100/3.6*1000000</f>
        <v>0.89093316691161983</v>
      </c>
      <c r="O11" s="33"/>
      <c r="P11" s="33"/>
      <c r="R11" s="32"/>
    </row>
    <row r="12" spans="1:18">
      <c r="A12" s="32" t="s">
        <v>260</v>
      </c>
      <c r="B12" s="37">
        <f t="shared" si="0"/>
        <v>14359.135369000001</v>
      </c>
      <c r="C12" s="33"/>
      <c r="D12" s="37">
        <f>IF(ISERROR(TER_rest_gas_kWh/1000),0,TER_rest_gas_kWh/1000)*0.902</f>
        <v>12651.712415518001</v>
      </c>
      <c r="E12" s="33">
        <f>$C$32*'E Balans VL '!I8/100/3.6*1000000</f>
        <v>252.81428355406132</v>
      </c>
      <c r="F12" s="33">
        <f>$C$32*('E Balans VL '!L8+'E Balans VL '!N8)/100/3.6*1000000</f>
        <v>3699.3630610288556</v>
      </c>
      <c r="G12" s="34"/>
      <c r="H12" s="33"/>
      <c r="I12" s="33"/>
      <c r="J12" s="33">
        <f>$C$32*('E Balans VL '!D8+'E Balans VL '!E8)/100/3.6*1000000</f>
        <v>0</v>
      </c>
      <c r="K12" s="33"/>
      <c r="L12" s="33"/>
      <c r="M12" s="33"/>
      <c r="N12" s="33">
        <f>$C$32*'E Balans VL '!Y8/100/3.6*1000000</f>
        <v>1267.0782112237944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65715.033203860003</v>
      </c>
      <c r="C16" s="21">
        <f t="shared" ca="1" si="1"/>
        <v>0</v>
      </c>
      <c r="D16" s="21">
        <f t="shared" ca="1" si="1"/>
        <v>60835.830569380239</v>
      </c>
      <c r="E16" s="21">
        <f t="shared" si="1"/>
        <v>1240.0746054961292</v>
      </c>
      <c r="F16" s="21">
        <f t="shared" ca="1" si="1"/>
        <v>16093.833727384175</v>
      </c>
      <c r="G16" s="21">
        <f t="shared" si="1"/>
        <v>0</v>
      </c>
      <c r="H16" s="21">
        <f t="shared" si="1"/>
        <v>0</v>
      </c>
      <c r="I16" s="21">
        <f t="shared" si="1"/>
        <v>0</v>
      </c>
      <c r="J16" s="21">
        <f t="shared" si="1"/>
        <v>0</v>
      </c>
      <c r="K16" s="21">
        <f t="shared" si="1"/>
        <v>0</v>
      </c>
      <c r="L16" s="21">
        <f t="shared" ca="1" si="1"/>
        <v>0</v>
      </c>
      <c r="M16" s="21">
        <f t="shared" si="1"/>
        <v>0</v>
      </c>
      <c r="N16" s="21">
        <f t="shared" ca="1" si="1"/>
        <v>6709.1553696531773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0.20920410966012939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13747.855012699372</v>
      </c>
      <c r="C20" s="23">
        <f t="shared" ref="C20:P20" ca="1" si="2">C16*C18</f>
        <v>0</v>
      </c>
      <c r="D20" s="23">
        <f t="shared" ca="1" si="2"/>
        <v>12288.837775014808</v>
      </c>
      <c r="E20" s="23">
        <f t="shared" si="2"/>
        <v>281.49693544762135</v>
      </c>
      <c r="F20" s="23">
        <f t="shared" ca="1" si="2"/>
        <v>4297.0536052115749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21880.599952</v>
      </c>
      <c r="C26" s="39">
        <f>IF(ISERROR(B26*3.6/1000000/'E Balans VL '!Z12*100),0,B26*3.6/1000000/'E Balans VL '!Z12*100)</f>
        <v>0.46869944934803387</v>
      </c>
      <c r="D26" s="237" t="s">
        <v>660</v>
      </c>
      <c r="F26" s="6"/>
    </row>
    <row r="27" spans="1:18">
      <c r="A27" s="231" t="s">
        <v>53</v>
      </c>
      <c r="B27" s="33">
        <f>IF(ISERROR(TER_horeca_ele_kWh/1000),0,TER_horeca_ele_kWh/1000)</f>
        <v>3135.2765804000001</v>
      </c>
      <c r="C27" s="39">
        <f>IF(ISERROR(B27*3.6/1000000/'E Balans VL '!Z9*100),0,B27*3.6/1000000/'E Balans VL '!Z9*100)</f>
        <v>0.25159504746694539</v>
      </c>
      <c r="D27" s="237" t="s">
        <v>660</v>
      </c>
      <c r="F27" s="6"/>
    </row>
    <row r="28" spans="1:18">
      <c r="A28" s="171" t="s">
        <v>52</v>
      </c>
      <c r="B28" s="33">
        <f>IF(ISERROR(TER_handel_ele_kWh/1000),0,TER_handel_ele_kWh/1000)</f>
        <v>18562.784079000001</v>
      </c>
      <c r="C28" s="39">
        <f>IF(ISERROR(B28*3.6/1000000/'E Balans VL '!Z13*100),0,B28*3.6/1000000/'E Balans VL '!Z13*100)</f>
        <v>0.5474956584478412</v>
      </c>
      <c r="D28" s="237" t="s">
        <v>660</v>
      </c>
      <c r="F28" s="6"/>
    </row>
    <row r="29" spans="1:18">
      <c r="A29" s="231" t="s">
        <v>51</v>
      </c>
      <c r="B29" s="33">
        <f>IF(ISERROR(TER_gezond_ele_kWh/1000),0,TER_gezond_ele_kWh/1000)</f>
        <v>458.14610697000001</v>
      </c>
      <c r="C29" s="39">
        <f>IF(ISERROR(B29*3.6/1000000/'E Balans VL '!Z10*100),0,B29*3.6/1000000/'E Balans VL '!Z10*100)</f>
        <v>4.891772086664601E-2</v>
      </c>
      <c r="D29" s="237" t="s">
        <v>660</v>
      </c>
      <c r="F29" s="6"/>
    </row>
    <row r="30" spans="1:18">
      <c r="A30" s="231" t="s">
        <v>50</v>
      </c>
      <c r="B30" s="33">
        <f>IF(ISERROR(TER_ander_ele_kWh/1000),0,TER_ander_ele_kWh/1000)</f>
        <v>6840.8696706000001</v>
      </c>
      <c r="C30" s="39">
        <f>IF(ISERROR(B30*3.6/1000000/'E Balans VL '!Z14*100),0,B30*3.6/1000000/'E Balans VL '!Z14*100)</f>
        <v>0.51671774923204983</v>
      </c>
      <c r="D30" s="237" t="s">
        <v>660</v>
      </c>
      <c r="F30" s="6"/>
    </row>
    <row r="31" spans="1:18">
      <c r="A31" s="231" t="s">
        <v>55</v>
      </c>
      <c r="B31" s="33">
        <f>IF(ISERROR(TER_onderwijs_ele_kWh/1000),0,TER_onderwijs_ele_kWh/1000)</f>
        <v>478.22144588999998</v>
      </c>
      <c r="C31" s="39">
        <f>IF(ISERROR(B31*3.6/1000000/'E Balans VL '!Z11*100),0,B31*3.6/1000000/'E Balans VL '!Z11*100)</f>
        <v>9.6568874190361517E-2</v>
      </c>
      <c r="D31" s="237" t="s">
        <v>660</v>
      </c>
    </row>
    <row r="32" spans="1:18">
      <c r="A32" s="231" t="s">
        <v>260</v>
      </c>
      <c r="B32" s="33">
        <f>IF(ISERROR(TER_rest_ele_kWh/1000),0,TER_rest_ele_kWh/1000)</f>
        <v>14359.135369000001</v>
      </c>
      <c r="C32" s="39">
        <f>IF(ISERROR(B32*3.6/1000000/'E Balans VL '!Z8*100),0,B32*3.6/1000000/'E Balans VL '!Z8*100)</f>
        <v>0.11905722716076536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20973.323677917102</v>
      </c>
      <c r="C5" s="17">
        <f>IF(ISERROR('Eigen informatie GS &amp; warmtenet'!B59),0,'Eigen informatie GS &amp; warmtenet'!B59)</f>
        <v>0</v>
      </c>
      <c r="D5" s="30">
        <f>SUM(D6:D15)</f>
        <v>41752.635469374058</v>
      </c>
      <c r="E5" s="17">
        <f>SUM(E6:E15)</f>
        <v>1242.6854178162278</v>
      </c>
      <c r="F5" s="17">
        <f>SUM(F6:F15)</f>
        <v>4995.846373680266</v>
      </c>
      <c r="G5" s="18"/>
      <c r="H5" s="17"/>
      <c r="I5" s="17"/>
      <c r="J5" s="17">
        <f>SUM(J6:J15)</f>
        <v>161.0512277118502</v>
      </c>
      <c r="K5" s="17"/>
      <c r="L5" s="17"/>
      <c r="M5" s="17"/>
      <c r="N5" s="17">
        <f>SUM(N6:N15)</f>
        <v>4343.5385326595324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185.55440690999998</v>
      </c>
      <c r="C8" s="33"/>
      <c r="D8" s="37">
        <f>IF( ISERROR(IND_metaal_Gas_kWH/1000),0,IND_metaal_Gas_kWH/1000)*0.902</f>
        <v>0</v>
      </c>
      <c r="E8" s="33">
        <f>C30*'E Balans VL '!I18/100/3.6*1000000</f>
        <v>6.6768089007548301</v>
      </c>
      <c r="F8" s="33">
        <f>C30*'E Balans VL '!L18/100/3.6*1000000+C30*'E Balans VL '!N18/100/3.6*1000000</f>
        <v>81.025594470880918</v>
      </c>
      <c r="G8" s="34"/>
      <c r="H8" s="33"/>
      <c r="I8" s="33"/>
      <c r="J8" s="40">
        <f>C30*'E Balans VL '!D18/100/3.6*1000000+C30*'E Balans VL '!E18/100/3.6*1000000</f>
        <v>0</v>
      </c>
      <c r="K8" s="33"/>
      <c r="L8" s="33"/>
      <c r="M8" s="33"/>
      <c r="N8" s="33">
        <f>C30*'E Balans VL '!Y18/100/3.6*1000000</f>
        <v>9.2998607767484547</v>
      </c>
      <c r="O8" s="33"/>
      <c r="P8" s="33"/>
      <c r="R8" s="32"/>
    </row>
    <row r="9" spans="1:18">
      <c r="A9" s="6" t="s">
        <v>33</v>
      </c>
      <c r="B9" s="37">
        <f t="shared" si="0"/>
        <v>594.85600869999996</v>
      </c>
      <c r="C9" s="33"/>
      <c r="D9" s="37">
        <f>IF( ISERROR(IND_andere_gas_kWh/1000),0,IND_andere_gas_kWh/1000)*0.902</f>
        <v>510.02610899746003</v>
      </c>
      <c r="E9" s="33">
        <f>C31*'E Balans VL '!I19/100/3.6*1000000</f>
        <v>151.79379442607075</v>
      </c>
      <c r="F9" s="33">
        <f>C31*'E Balans VL '!L19/100/3.6*1000000+C31*'E Balans VL '!N19/100/3.6*1000000</f>
        <v>512.12631237486733</v>
      </c>
      <c r="G9" s="34"/>
      <c r="H9" s="33"/>
      <c r="I9" s="33"/>
      <c r="J9" s="40">
        <f>C31*'E Balans VL '!D19/100/3.6*1000000+C31*'E Balans VL '!E19/100/3.6*1000000</f>
        <v>0</v>
      </c>
      <c r="K9" s="33"/>
      <c r="L9" s="33"/>
      <c r="M9" s="33"/>
      <c r="N9" s="33">
        <f>C31*'E Balans VL '!Y19/100/3.6*1000000</f>
        <v>186.03184561119349</v>
      </c>
      <c r="O9" s="33"/>
      <c r="P9" s="33"/>
      <c r="R9" s="32"/>
    </row>
    <row r="10" spans="1:18">
      <c r="A10" s="6" t="s">
        <v>41</v>
      </c>
      <c r="B10" s="37">
        <f t="shared" si="0"/>
        <v>390.84999721000003</v>
      </c>
      <c r="C10" s="33"/>
      <c r="D10" s="37">
        <f>IF( ISERROR(IND_voed_gas_kWh/1000),0,IND_voed_gas_kWh/1000)*0.902</f>
        <v>441.18304899460003</v>
      </c>
      <c r="E10" s="33">
        <f>C32*'E Balans VL '!I20/100/3.6*1000000</f>
        <v>9.9359436101044736</v>
      </c>
      <c r="F10" s="33">
        <f>C32*'E Balans VL '!L20/100/3.6*1000000+C32*'E Balans VL '!N20/100/3.6*1000000</f>
        <v>88.4434872041803</v>
      </c>
      <c r="G10" s="34"/>
      <c r="H10" s="33"/>
      <c r="I10" s="33"/>
      <c r="J10" s="40">
        <f>C32*'E Balans VL '!D20/100/3.6*1000000+C32*'E Balans VL '!E20/100/3.6*1000000</f>
        <v>0</v>
      </c>
      <c r="K10" s="33"/>
      <c r="L10" s="33"/>
      <c r="M10" s="33"/>
      <c r="N10" s="33">
        <f>C32*'E Balans VL '!Y20/100/3.6*1000000</f>
        <v>146.57934335964117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8.7293570971000012</v>
      </c>
      <c r="C13" s="33"/>
      <c r="D13" s="37">
        <f>IF( ISERROR(IND_papier_gas_kWh/1000),0,IND_papier_gas_kWh/1000)*0.902</f>
        <v>0</v>
      </c>
      <c r="E13" s="33">
        <f>C35*'E Balans VL '!I23/100/3.6*1000000</f>
        <v>3.7437673064243213E-2</v>
      </c>
      <c r="F13" s="33">
        <f>C35*'E Balans VL '!L23/100/3.6*1000000+C35*'E Balans VL '!N23/100/3.6*1000000</f>
        <v>0.2193958380497345</v>
      </c>
      <c r="G13" s="34"/>
      <c r="H13" s="33"/>
      <c r="I13" s="33"/>
      <c r="J13" s="40">
        <f>C35*'E Balans VL '!D23/100/3.6*1000000+C35*'E Balans VL '!E23/100/3.6*1000000</f>
        <v>0.58438257909669777</v>
      </c>
      <c r="K13" s="33"/>
      <c r="L13" s="33"/>
      <c r="M13" s="33"/>
      <c r="N13" s="33">
        <f>C35*'E Balans VL '!Y23/100/3.6*1000000</f>
        <v>15.889505837040964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19793.333908000001</v>
      </c>
      <c r="C15" s="33"/>
      <c r="D15" s="37">
        <f>IF( ISERROR(IND_rest_gas_kWh/1000),0,IND_rest_gas_kWh/1000)*0.902</f>
        <v>40801.426311381998</v>
      </c>
      <c r="E15" s="33">
        <f>C37*'E Balans VL '!I15/100/3.6*1000000</f>
        <v>1074.2414332062335</v>
      </c>
      <c r="F15" s="33">
        <f>C37*'E Balans VL '!L15/100/3.6*1000000+C37*'E Balans VL '!N15/100/3.6*1000000</f>
        <v>4314.0315837922872</v>
      </c>
      <c r="G15" s="34"/>
      <c r="H15" s="33"/>
      <c r="I15" s="33"/>
      <c r="J15" s="40">
        <f>C37*'E Balans VL '!D15/100/3.6*1000000+C37*'E Balans VL '!E15/100/3.6*1000000</f>
        <v>160.46684513275349</v>
      </c>
      <c r="K15" s="33"/>
      <c r="L15" s="33"/>
      <c r="M15" s="33"/>
      <c r="N15" s="33">
        <f>C37*'E Balans VL '!Y15/100/3.6*1000000</f>
        <v>3985.7379770749085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20973.323677917102</v>
      </c>
      <c r="C18" s="21">
        <f>C5+C16</f>
        <v>0</v>
      </c>
      <c r="D18" s="21">
        <f>MAX((D5+D16),0)</f>
        <v>41752.635469374058</v>
      </c>
      <c r="E18" s="21">
        <f>MAX((E5+E16),0)</f>
        <v>1242.6854178162278</v>
      </c>
      <c r="F18" s="21">
        <f>MAX((F5+F16),0)</f>
        <v>4995.846373680266</v>
      </c>
      <c r="G18" s="21"/>
      <c r="H18" s="21"/>
      <c r="I18" s="21"/>
      <c r="J18" s="21">
        <f>MAX((J5+J16),0)</f>
        <v>161.0512277118502</v>
      </c>
      <c r="K18" s="21"/>
      <c r="L18" s="21">
        <f>MAX((L5+L16),0)</f>
        <v>0</v>
      </c>
      <c r="M18" s="21"/>
      <c r="N18" s="21">
        <f>MAX((N5+N16),0)</f>
        <v>4343.5385326595324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0.20920410966012939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4387.7055066523581</v>
      </c>
      <c r="C22" s="23">
        <f ca="1">C18*C20</f>
        <v>0</v>
      </c>
      <c r="D22" s="23">
        <f>D18*D20</f>
        <v>8434.03236481356</v>
      </c>
      <c r="E22" s="23">
        <f>E18*E20</f>
        <v>282.08958984428369</v>
      </c>
      <c r="F22" s="23">
        <f>F18*F20</f>
        <v>1333.890981772631</v>
      </c>
      <c r="G22" s="23"/>
      <c r="H22" s="23"/>
      <c r="I22" s="23"/>
      <c r="J22" s="23">
        <f>J18*J20</f>
        <v>57.012134609994966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185.55440690999998</v>
      </c>
      <c r="C30" s="39">
        <f>IF(ISERROR(B30*3.6/1000000/'E Balans VL '!Z18*100),0,B30*3.6/1000000/'E Balans VL '!Z18*100)</f>
        <v>3.9315000642591982E-2</v>
      </c>
      <c r="D30" s="237" t="s">
        <v>660</v>
      </c>
    </row>
    <row r="31" spans="1:18">
      <c r="A31" s="6" t="s">
        <v>33</v>
      </c>
      <c r="B31" s="37">
        <f>IF( ISERROR(IND_ander_ele_kWh/1000),0,IND_ander_ele_kWh/1000)</f>
        <v>594.85600869999996</v>
      </c>
      <c r="C31" s="39">
        <f>IF(ISERROR(B31*3.6/1000000/'E Balans VL '!Z19*100),0,B31*3.6/1000000/'E Balans VL '!Z19*100)</f>
        <v>2.5038840124983013E-2</v>
      </c>
      <c r="D31" s="237" t="s">
        <v>660</v>
      </c>
    </row>
    <row r="32" spans="1:18">
      <c r="A32" s="171" t="s">
        <v>41</v>
      </c>
      <c r="B32" s="37">
        <f>IF( ISERROR(IND_voed_ele_kWh/1000),0,IND_voed_ele_kWh/1000)</f>
        <v>390.84999721000003</v>
      </c>
      <c r="C32" s="39">
        <f>IF(ISERROR(B32*3.6/1000000/'E Balans VL '!Z20*100),0,B32*3.6/1000000/'E Balans VL '!Z20*100)</f>
        <v>6.5295914197507243E-2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8.7293570971000012</v>
      </c>
      <c r="C35" s="39">
        <f>IF(ISERROR(B35*3.6/1000000/'E Balans VL '!Z22*100),0,B35*3.6/1000000/'E Balans VL '!Z22*100)</f>
        <v>1.1064930893412088E-3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19793.333908000001</v>
      </c>
      <c r="C37" s="39">
        <f>IF(ISERROR(B37*3.6/1000000/'E Balans VL '!Z15*100),0,B37*3.6/1000000/'E Balans VL '!Z15*100)</f>
        <v>0.15979924896945816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412.85837209099998</v>
      </c>
      <c r="C5" s="17">
        <f>'Eigen informatie GS &amp; warmtenet'!B60</f>
        <v>0</v>
      </c>
      <c r="D5" s="30">
        <f>IF(ISERROR(SUM(LB_lb_gas_kWh,LB_rest_gas_kWh)/1000),0,SUM(LB_lb_gas_kWh,LB_rest_gas_kWh)/1000)*0.902</f>
        <v>204.547617685246</v>
      </c>
      <c r="E5" s="17">
        <f>B17*'E Balans VL '!I25/3.6*1000000/100</f>
        <v>10.646032223349753</v>
      </c>
      <c r="F5" s="17">
        <f>B17*('E Balans VL '!L25/3.6*1000000+'E Balans VL '!N25/3.6*1000000)/100</f>
        <v>1509.0759750501895</v>
      </c>
      <c r="G5" s="18"/>
      <c r="H5" s="17"/>
      <c r="I5" s="17"/>
      <c r="J5" s="17">
        <f>('E Balans VL '!D25+'E Balans VL '!E25)/3.6*1000000*landbouw!B17/100</f>
        <v>59.436417901749728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412.85837209099998</v>
      </c>
      <c r="C8" s="21">
        <f>C5+C6</f>
        <v>0</v>
      </c>
      <c r="D8" s="21">
        <f>MAX((D5+D6),0)</f>
        <v>204.547617685246</v>
      </c>
      <c r="E8" s="21">
        <f>MAX((E5+E6),0)</f>
        <v>10.646032223349753</v>
      </c>
      <c r="F8" s="21">
        <f>MAX((F5+F6),0)</f>
        <v>1509.0759750501895</v>
      </c>
      <c r="G8" s="21"/>
      <c r="H8" s="21"/>
      <c r="I8" s="21"/>
      <c r="J8" s="21">
        <f>MAX((J5+J6),0)</f>
        <v>59.436417901749728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0.20920410966012939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86.371668149028068</v>
      </c>
      <c r="C12" s="23">
        <f ca="1">C8*C10</f>
        <v>0</v>
      </c>
      <c r="D12" s="23">
        <f>D8*D10</f>
        <v>41.318618772419697</v>
      </c>
      <c r="E12" s="23">
        <f>E8*E10</f>
        <v>2.4166493147003938</v>
      </c>
      <c r="F12" s="23">
        <f>F8*F10</f>
        <v>402.9232853384006</v>
      </c>
      <c r="G12" s="23"/>
      <c r="H12" s="23"/>
      <c r="I12" s="23"/>
      <c r="J12" s="23">
        <f>J8*J10</f>
        <v>21.040491937219404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5.821576517736763E-2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55.503112540449834</v>
      </c>
      <c r="C26" s="247">
        <f>B26*'GWP N2O_CH4'!B5</f>
        <v>1165.5653633494464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7.3507730111825804</v>
      </c>
      <c r="C27" s="247">
        <f>B27*'GWP N2O_CH4'!B5</f>
        <v>154.3662332348342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1.0722279982756309</v>
      </c>
      <c r="C28" s="247">
        <f>B28*'GWP N2O_CH4'!B4</f>
        <v>332.39067946544554</v>
      </c>
      <c r="D28" s="50"/>
    </row>
    <row r="29" spans="1:4">
      <c r="A29" s="41" t="s">
        <v>277</v>
      </c>
      <c r="B29" s="247">
        <f>B34*'ha_N2O bodem landbouw'!B4</f>
        <v>10.064967983212465</v>
      </c>
      <c r="C29" s="247">
        <f>B29*'GWP N2O_CH4'!B4</f>
        <v>3120.1400747958642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2.2651647424933486E-3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3.3600231269518145E-4</v>
      </c>
      <c r="C5" s="463" t="s">
        <v>211</v>
      </c>
      <c r="D5" s="448">
        <f>SUM(D6:D11)</f>
        <v>7.6858259371166606E-4</v>
      </c>
      <c r="E5" s="448">
        <f>SUM(E6:E11)</f>
        <v>3.4255206241669833E-3</v>
      </c>
      <c r="F5" s="461" t="s">
        <v>211</v>
      </c>
      <c r="G5" s="448">
        <f>SUM(G6:G11)</f>
        <v>1.0960958982286197</v>
      </c>
      <c r="H5" s="448">
        <f>SUM(H6:H11)</f>
        <v>0.21201806790367048</v>
      </c>
      <c r="I5" s="463" t="s">
        <v>211</v>
      </c>
      <c r="J5" s="463" t="s">
        <v>211</v>
      </c>
      <c r="K5" s="463" t="s">
        <v>211</v>
      </c>
      <c r="L5" s="463" t="s">
        <v>211</v>
      </c>
      <c r="M5" s="448">
        <f>SUM(M6:M11)</f>
        <v>4.0884790236858669E-2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5.7840616267078332E-5</v>
      </c>
      <c r="C6" s="449"/>
      <c r="D6" s="892">
        <f>vkm_2011_GW_PW*SUMIFS(TableVerdeelsleutelVkm[CNG],TableVerdeelsleutelVkm[Voertuigtype],"Lichte voertuigen")*SUMIFS(TableECFTransport[EnergieConsumptieFactor (PJ per km)],TableECFTransport[Index],CONCATENATE($A6,"_CNG_CNG"))</f>
        <v>1.1493031768983275E-4</v>
      </c>
      <c r="E6" s="892">
        <f>vkm_2011_GW_PW*SUMIFS(TableVerdeelsleutelVkm[LPG],TableVerdeelsleutelVkm[Voertuigtype],"Lichte voertuigen")*SUMIFS(TableECFTransport[EnergieConsumptieFactor (PJ per km)],TableECFTransport[Index],CONCATENATE($A6,"_LPG_LPG"))</f>
        <v>4.5229199953989037E-4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0.10753951844713996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3.1115094600805124E-2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4.3206057781156803E-3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2.0279706309781091E-2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6.5512113554525831E-6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6.3898251632795507E-4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5.2183448467826966E-5</v>
      </c>
      <c r="C8" s="449"/>
      <c r="D8" s="451">
        <f>vkm_2011_NGW_PW*SUMIFS(TableVerdeelsleutelVkm[CNG],TableVerdeelsleutelVkm[Voertuigtype],"Lichte voertuigen")*SUMIFS(TableECFTransport[EnergieConsumptieFactor (PJ per km)],TableECFTransport[Index],CONCATENATE($A8,"_CNG_CNG"))</f>
        <v>1.8359614886512927E-4</v>
      </c>
      <c r="E8" s="451">
        <f>vkm_2011_NGW_PW*SUMIFS(TableVerdeelsleutelVkm[LPG],TableVerdeelsleutelVkm[Voertuigtype],"Lichte voertuigen")*SUMIFS(TableECFTransport[EnergieConsumptieFactor (PJ per km)],TableECFTransport[Index],CONCATENATE($A8,"_LPG_LPG"))</f>
        <v>6.6820026731945735E-4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0.14835924313830953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4.8196677536290748E-2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6.1187091125042177E-3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2.7119972851797149E-2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8.2853816593309832E-6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8.5449458632128809E-4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2.2597824796027617E-4</v>
      </c>
      <c r="C10" s="449"/>
      <c r="D10" s="451">
        <f>vkm_2011_SW_PW*SUMIFS(TableVerdeelsleutelVkm[CNG],TableVerdeelsleutelVkm[Voertuigtype],"Lichte voertuigen")*SUMIFS(TableECFTransport[EnergieConsumptieFactor (PJ per km)],TableECFTransport[Index],CONCATENATE($A10,"_CNG_CNG"))</f>
        <v>4.7005612715670406E-4</v>
      </c>
      <c r="E10" s="451">
        <f>vkm_2011_SW_PW*SUMIFS(TableVerdeelsleutelVkm[LPG],TableVerdeelsleutelVkm[Voertuigtype],"Lichte voertuigen")*SUMIFS(TableECFTransport[EnergieConsumptieFactor (PJ per km)],TableECFTransport[Index],CONCATENATE($A10,"_LPG_LPG"))</f>
        <v>2.3050283573076355E-3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0.49094457463821595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0.13258639671496397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1.9440849281692041E-2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0.30185288284337602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1.0506245859584135E-4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9.5111489618974875E-3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93.333975748661516</v>
      </c>
      <c r="C14" s="21"/>
      <c r="D14" s="21">
        <f t="shared" ref="D14:M14" si="0">((D5)*10^9/3600)+D12</f>
        <v>213.49516491990724</v>
      </c>
      <c r="E14" s="21">
        <f t="shared" si="0"/>
        <v>951.53350671305088</v>
      </c>
      <c r="F14" s="21"/>
      <c r="G14" s="21">
        <f t="shared" si="0"/>
        <v>304471.08284128329</v>
      </c>
      <c r="H14" s="21">
        <f t="shared" si="0"/>
        <v>58893.907751019578</v>
      </c>
      <c r="I14" s="21"/>
      <c r="J14" s="21"/>
      <c r="K14" s="21"/>
      <c r="L14" s="21"/>
      <c r="M14" s="21">
        <f t="shared" si="0"/>
        <v>11356.886176905185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0.20920410966012939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19.525851297538843</v>
      </c>
      <c r="C18" s="23"/>
      <c r="D18" s="23">
        <f t="shared" ref="D18:M18" si="1">D14*D16</f>
        <v>43.126023313821264</v>
      </c>
      <c r="E18" s="23">
        <f t="shared" si="1"/>
        <v>215.99810602386256</v>
      </c>
      <c r="F18" s="23"/>
      <c r="G18" s="23">
        <f t="shared" si="1"/>
        <v>81293.779118622639</v>
      </c>
      <c r="H18" s="23">
        <f t="shared" si="1"/>
        <v>14664.583030003874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1.6795229757996463E-2</v>
      </c>
      <c r="H50" s="321">
        <f t="shared" si="2"/>
        <v>0</v>
      </c>
      <c r="I50" s="321">
        <f t="shared" si="2"/>
        <v>0</v>
      </c>
      <c r="J50" s="321">
        <f t="shared" si="2"/>
        <v>0</v>
      </c>
      <c r="K50" s="321">
        <f t="shared" si="2"/>
        <v>0</v>
      </c>
      <c r="L50" s="321">
        <f t="shared" si="2"/>
        <v>0</v>
      </c>
      <c r="M50" s="321">
        <f t="shared" si="2"/>
        <v>5.2095045310586962E-4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1.6795229757996463E-2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5.2095045310586962E-4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4665.3415994434617</v>
      </c>
      <c r="H54" s="21">
        <f t="shared" si="3"/>
        <v>0</v>
      </c>
      <c r="I54" s="21">
        <f t="shared" si="3"/>
        <v>0</v>
      </c>
      <c r="J54" s="21">
        <f t="shared" si="3"/>
        <v>0</v>
      </c>
      <c r="K54" s="21">
        <f t="shared" si="3"/>
        <v>0</v>
      </c>
      <c r="L54" s="21">
        <f t="shared" si="3"/>
        <v>0</v>
      </c>
      <c r="M54" s="21">
        <f t="shared" si="3"/>
        <v>144.7084591960749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0.20920410966012939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1245.6462070514044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69010.364203860008</v>
      </c>
      <c r="D10" s="1012">
        <f ca="1">tertiair!C16</f>
        <v>0</v>
      </c>
      <c r="E10" s="1012">
        <f ca="1">tertiair!D16</f>
        <v>60835.830569380239</v>
      </c>
      <c r="F10" s="1012">
        <f>tertiair!E16</f>
        <v>1240.0746054961292</v>
      </c>
      <c r="G10" s="1012">
        <f ca="1">tertiair!F16</f>
        <v>16093.833727384175</v>
      </c>
      <c r="H10" s="1012">
        <f>tertiair!G16</f>
        <v>0</v>
      </c>
      <c r="I10" s="1012">
        <f>tertiair!H16</f>
        <v>0</v>
      </c>
      <c r="J10" s="1012">
        <f>tertiair!I16</f>
        <v>0</v>
      </c>
      <c r="K10" s="1012">
        <f>tertiair!J16</f>
        <v>0</v>
      </c>
      <c r="L10" s="1012">
        <f>tertiair!K16</f>
        <v>0</v>
      </c>
      <c r="M10" s="1012">
        <f ca="1">tertiair!L16</f>
        <v>0</v>
      </c>
      <c r="N10" s="1012">
        <f>tertiair!M16</f>
        <v>0</v>
      </c>
      <c r="O10" s="1012">
        <f ca="1">tertiair!N16</f>
        <v>6709.1553696531773</v>
      </c>
      <c r="P10" s="1012">
        <f>tertiair!O16</f>
        <v>3.1266666666666669</v>
      </c>
      <c r="Q10" s="1013">
        <f>tertiair!P16</f>
        <v>38.133333333333333</v>
      </c>
      <c r="R10" s="700">
        <f ca="1">SUM(C10:Q10)</f>
        <v>153930.51847577374</v>
      </c>
      <c r="S10" s="67"/>
    </row>
    <row r="11" spans="1:19" s="473" customFormat="1">
      <c r="A11" s="809" t="s">
        <v>225</v>
      </c>
      <c r="B11" s="814"/>
      <c r="C11" s="1012">
        <f>huishoudens!B8</f>
        <v>59068.040581707304</v>
      </c>
      <c r="D11" s="1012">
        <f>huishoudens!C8</f>
        <v>0</v>
      </c>
      <c r="E11" s="1012">
        <f>huishoudens!D8</f>
        <v>146318.76064277999</v>
      </c>
      <c r="F11" s="1012">
        <f>huishoudens!E8</f>
        <v>7299.9025421843935</v>
      </c>
      <c r="G11" s="1012">
        <f>huishoudens!F8</f>
        <v>40799.884551105592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8930.7958810925047</v>
      </c>
      <c r="P11" s="1012">
        <f>huishoudens!O8</f>
        <v>245.44333333333333</v>
      </c>
      <c r="Q11" s="1013">
        <f>huishoudens!P8</f>
        <v>743.6</v>
      </c>
      <c r="R11" s="700">
        <f>SUM(C11:Q11)</f>
        <v>263406.42753220315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20973.323677917102</v>
      </c>
      <c r="D13" s="1012">
        <f>industrie!C18</f>
        <v>0</v>
      </c>
      <c r="E13" s="1012">
        <f>industrie!D18</f>
        <v>41752.635469374058</v>
      </c>
      <c r="F13" s="1012">
        <f>industrie!E18</f>
        <v>1242.6854178162278</v>
      </c>
      <c r="G13" s="1012">
        <f>industrie!F18</f>
        <v>4995.846373680266</v>
      </c>
      <c r="H13" s="1012">
        <f>industrie!G18</f>
        <v>0</v>
      </c>
      <c r="I13" s="1012">
        <f>industrie!H18</f>
        <v>0</v>
      </c>
      <c r="J13" s="1012">
        <f>industrie!I18</f>
        <v>0</v>
      </c>
      <c r="K13" s="1012">
        <f>industrie!J18</f>
        <v>161.0512277118502</v>
      </c>
      <c r="L13" s="1012">
        <f>industrie!K18</f>
        <v>0</v>
      </c>
      <c r="M13" s="1012">
        <f>industrie!L18</f>
        <v>0</v>
      </c>
      <c r="N13" s="1012">
        <f>industrie!M18</f>
        <v>0</v>
      </c>
      <c r="O13" s="1012">
        <f>industrie!N18</f>
        <v>4343.5385326595324</v>
      </c>
      <c r="P13" s="1012">
        <f>industrie!O18</f>
        <v>0</v>
      </c>
      <c r="Q13" s="1013">
        <f>industrie!P18</f>
        <v>0</v>
      </c>
      <c r="R13" s="700">
        <f>SUM(C13:Q13)</f>
        <v>73469.080699159022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149051.72846348441</v>
      </c>
      <c r="D16" s="732">
        <f t="shared" ref="D16:R16" ca="1" si="0">SUM(D9:D15)</f>
        <v>0</v>
      </c>
      <c r="E16" s="732">
        <f t="shared" ca="1" si="0"/>
        <v>248907.22668153432</v>
      </c>
      <c r="F16" s="732">
        <f t="shared" si="0"/>
        <v>9782.6625654967502</v>
      </c>
      <c r="G16" s="732">
        <f t="shared" ca="1" si="0"/>
        <v>61889.564652170033</v>
      </c>
      <c r="H16" s="732">
        <f t="shared" si="0"/>
        <v>0</v>
      </c>
      <c r="I16" s="732">
        <f t="shared" si="0"/>
        <v>0</v>
      </c>
      <c r="J16" s="732">
        <f t="shared" si="0"/>
        <v>0</v>
      </c>
      <c r="K16" s="732">
        <f t="shared" si="0"/>
        <v>161.0512277118502</v>
      </c>
      <c r="L16" s="732">
        <f t="shared" si="0"/>
        <v>0</v>
      </c>
      <c r="M16" s="732">
        <f t="shared" ca="1" si="0"/>
        <v>0</v>
      </c>
      <c r="N16" s="732">
        <f t="shared" si="0"/>
        <v>0</v>
      </c>
      <c r="O16" s="732">
        <f t="shared" ca="1" si="0"/>
        <v>19983.489783405214</v>
      </c>
      <c r="P16" s="732">
        <f t="shared" si="0"/>
        <v>248.57</v>
      </c>
      <c r="Q16" s="732">
        <f t="shared" si="0"/>
        <v>781.73333333333335</v>
      </c>
      <c r="R16" s="732">
        <f t="shared" ca="1" si="0"/>
        <v>490806.0267071359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4665.3415994434617</v>
      </c>
      <c r="I19" s="1012">
        <f>transport!H54</f>
        <v>0</v>
      </c>
      <c r="J19" s="1012">
        <f>transport!I54</f>
        <v>0</v>
      </c>
      <c r="K19" s="1012">
        <f>transport!J54</f>
        <v>0</v>
      </c>
      <c r="L19" s="1012">
        <f>transport!K54</f>
        <v>0</v>
      </c>
      <c r="M19" s="1012">
        <f>transport!L54</f>
        <v>0</v>
      </c>
      <c r="N19" s="1012">
        <f>transport!M54</f>
        <v>144.7084591960749</v>
      </c>
      <c r="O19" s="1012">
        <f>transport!N54</f>
        <v>0</v>
      </c>
      <c r="P19" s="1012">
        <f>transport!O54</f>
        <v>0</v>
      </c>
      <c r="Q19" s="1013">
        <f>transport!P54</f>
        <v>0</v>
      </c>
      <c r="R19" s="700">
        <f>SUM(C19:Q19)</f>
        <v>4810.0500586395365</v>
      </c>
      <c r="S19" s="67"/>
    </row>
    <row r="20" spans="1:19" s="473" customFormat="1">
      <c r="A20" s="809" t="s">
        <v>307</v>
      </c>
      <c r="B20" s="814"/>
      <c r="C20" s="1012">
        <f>transport!B14</f>
        <v>93.333975748661516</v>
      </c>
      <c r="D20" s="1012">
        <f>transport!C14</f>
        <v>0</v>
      </c>
      <c r="E20" s="1012">
        <f>transport!D14</f>
        <v>213.49516491990724</v>
      </c>
      <c r="F20" s="1012">
        <f>transport!E14</f>
        <v>951.53350671305088</v>
      </c>
      <c r="G20" s="1012">
        <f>transport!F14</f>
        <v>0</v>
      </c>
      <c r="H20" s="1012">
        <f>transport!G14</f>
        <v>304471.08284128329</v>
      </c>
      <c r="I20" s="1012">
        <f>transport!H14</f>
        <v>58893.907751019578</v>
      </c>
      <c r="J20" s="1012">
        <f>transport!I14</f>
        <v>0</v>
      </c>
      <c r="K20" s="1012">
        <f>transport!J14</f>
        <v>0</v>
      </c>
      <c r="L20" s="1012">
        <f>transport!K14</f>
        <v>0</v>
      </c>
      <c r="M20" s="1012">
        <f>transport!L14</f>
        <v>0</v>
      </c>
      <c r="N20" s="1012">
        <f>transport!M14</f>
        <v>11356.886176905185</v>
      </c>
      <c r="O20" s="1012">
        <f>transport!N14</f>
        <v>0</v>
      </c>
      <c r="P20" s="1012">
        <f>transport!O14</f>
        <v>0</v>
      </c>
      <c r="Q20" s="1013">
        <f>transport!P14</f>
        <v>0</v>
      </c>
      <c r="R20" s="700">
        <f>SUM(C20:Q20)</f>
        <v>375980.23941658967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93.333975748661516</v>
      </c>
      <c r="D22" s="812">
        <f t="shared" ref="D22:R22" si="1">SUM(D18:D21)</f>
        <v>0</v>
      </c>
      <c r="E22" s="812">
        <f t="shared" si="1"/>
        <v>213.49516491990724</v>
      </c>
      <c r="F22" s="812">
        <f t="shared" si="1"/>
        <v>951.53350671305088</v>
      </c>
      <c r="G22" s="812">
        <f t="shared" si="1"/>
        <v>0</v>
      </c>
      <c r="H22" s="812">
        <f t="shared" si="1"/>
        <v>309136.42444072675</v>
      </c>
      <c r="I22" s="812">
        <f t="shared" si="1"/>
        <v>58893.907751019578</v>
      </c>
      <c r="J22" s="812">
        <f t="shared" si="1"/>
        <v>0</v>
      </c>
      <c r="K22" s="812">
        <f t="shared" si="1"/>
        <v>0</v>
      </c>
      <c r="L22" s="812">
        <f t="shared" si="1"/>
        <v>0</v>
      </c>
      <c r="M22" s="812">
        <f t="shared" si="1"/>
        <v>0</v>
      </c>
      <c r="N22" s="812">
        <f t="shared" si="1"/>
        <v>11501.594636101261</v>
      </c>
      <c r="O22" s="812">
        <f t="shared" si="1"/>
        <v>0</v>
      </c>
      <c r="P22" s="812">
        <f t="shared" si="1"/>
        <v>0</v>
      </c>
      <c r="Q22" s="812">
        <f t="shared" si="1"/>
        <v>0</v>
      </c>
      <c r="R22" s="812">
        <f t="shared" si="1"/>
        <v>380790.28947522922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412.85837209099998</v>
      </c>
      <c r="D24" s="1012">
        <f>+landbouw!C8</f>
        <v>0</v>
      </c>
      <c r="E24" s="1012">
        <f>+landbouw!D8</f>
        <v>204.547617685246</v>
      </c>
      <c r="F24" s="1012">
        <f>+landbouw!E8</f>
        <v>10.646032223349753</v>
      </c>
      <c r="G24" s="1012">
        <f>+landbouw!F8</f>
        <v>1509.0759750501895</v>
      </c>
      <c r="H24" s="1012">
        <f>+landbouw!G8</f>
        <v>0</v>
      </c>
      <c r="I24" s="1012">
        <f>+landbouw!H8</f>
        <v>0</v>
      </c>
      <c r="J24" s="1012">
        <f>+landbouw!I8</f>
        <v>0</v>
      </c>
      <c r="K24" s="1012">
        <f>+landbouw!J8</f>
        <v>59.436417901749728</v>
      </c>
      <c r="L24" s="1012">
        <f>+landbouw!K8</f>
        <v>0</v>
      </c>
      <c r="M24" s="1012">
        <f>+landbouw!L8</f>
        <v>0</v>
      </c>
      <c r="N24" s="1012">
        <f>+landbouw!M8</f>
        <v>0</v>
      </c>
      <c r="O24" s="1012">
        <f>+landbouw!N8</f>
        <v>0</v>
      </c>
      <c r="P24" s="1012">
        <f>+landbouw!O8</f>
        <v>0</v>
      </c>
      <c r="Q24" s="1013">
        <f>+landbouw!P8</f>
        <v>0</v>
      </c>
      <c r="R24" s="700">
        <f>SUM(C24:Q24)</f>
        <v>2196.5644149515351</v>
      </c>
      <c r="S24" s="67"/>
    </row>
    <row r="25" spans="1:19" s="473" customFormat="1" ht="15" thickBot="1">
      <c r="A25" s="831" t="s">
        <v>848</v>
      </c>
      <c r="B25" s="1015"/>
      <c r="C25" s="1016">
        <f>IF(Onbekend_ele_kWh="---",0,Onbekend_ele_kWh)/1000+IF(REST_rest_ele_kWh="---",0,REST_rest_ele_kWh)/1000</f>
        <v>2555.3226260000001</v>
      </c>
      <c r="D25" s="1016"/>
      <c r="E25" s="1016">
        <f>IF(onbekend_gas_kWh="---",0,onbekend_gas_kWh)/1000+IF(REST_rest_gas_kWh="---",0,REST_rest_gas_kWh)/1000</f>
        <v>7194.6376180999996</v>
      </c>
      <c r="F25" s="1016"/>
      <c r="G25" s="1016"/>
      <c r="H25" s="1016"/>
      <c r="I25" s="1016"/>
      <c r="J25" s="1016"/>
      <c r="K25" s="1016"/>
      <c r="L25" s="1016"/>
      <c r="M25" s="1016"/>
      <c r="N25" s="1016"/>
      <c r="O25" s="1016"/>
      <c r="P25" s="1016"/>
      <c r="Q25" s="1017"/>
      <c r="R25" s="700">
        <f>SUM(C25:Q25)</f>
        <v>9749.9602440999988</v>
      </c>
      <c r="S25" s="67"/>
    </row>
    <row r="26" spans="1:19" s="473" customFormat="1" ht="15.75" thickBot="1">
      <c r="A26" s="705" t="s">
        <v>849</v>
      </c>
      <c r="B26" s="817"/>
      <c r="C26" s="812">
        <f>SUM(C24:C25)</f>
        <v>2968.1809980910002</v>
      </c>
      <c r="D26" s="812">
        <f t="shared" ref="D26:R26" si="2">SUM(D24:D25)</f>
        <v>0</v>
      </c>
      <c r="E26" s="812">
        <f t="shared" si="2"/>
        <v>7399.1852357852458</v>
      </c>
      <c r="F26" s="812">
        <f t="shared" si="2"/>
        <v>10.646032223349753</v>
      </c>
      <c r="G26" s="812">
        <f t="shared" si="2"/>
        <v>1509.0759750501895</v>
      </c>
      <c r="H26" s="812">
        <f t="shared" si="2"/>
        <v>0</v>
      </c>
      <c r="I26" s="812">
        <f t="shared" si="2"/>
        <v>0</v>
      </c>
      <c r="J26" s="812">
        <f t="shared" si="2"/>
        <v>0</v>
      </c>
      <c r="K26" s="812">
        <f t="shared" si="2"/>
        <v>59.436417901749728</v>
      </c>
      <c r="L26" s="812">
        <f t="shared" si="2"/>
        <v>0</v>
      </c>
      <c r="M26" s="812">
        <f t="shared" si="2"/>
        <v>0</v>
      </c>
      <c r="N26" s="812">
        <f t="shared" si="2"/>
        <v>0</v>
      </c>
      <c r="O26" s="812">
        <f t="shared" si="2"/>
        <v>0</v>
      </c>
      <c r="P26" s="812">
        <f t="shared" si="2"/>
        <v>0</v>
      </c>
      <c r="Q26" s="812">
        <f t="shared" si="2"/>
        <v>0</v>
      </c>
      <c r="R26" s="812">
        <f t="shared" si="2"/>
        <v>11946.524659051534</v>
      </c>
      <c r="S26" s="67"/>
    </row>
    <row r="27" spans="1:19" s="473" customFormat="1" ht="17.25" thickTop="1" thickBot="1">
      <c r="A27" s="706" t="s">
        <v>116</v>
      </c>
      <c r="B27" s="805"/>
      <c r="C27" s="707">
        <f ca="1">C22+C16+C26</f>
        <v>152113.24343732407</v>
      </c>
      <c r="D27" s="707">
        <f t="shared" ref="D27:R27" ca="1" si="3">D22+D16+D26</f>
        <v>0</v>
      </c>
      <c r="E27" s="707">
        <f t="shared" ca="1" si="3"/>
        <v>256519.90708223946</v>
      </c>
      <c r="F27" s="707">
        <f t="shared" si="3"/>
        <v>10744.842104433152</v>
      </c>
      <c r="G27" s="707">
        <f t="shared" ca="1" si="3"/>
        <v>63398.640627220222</v>
      </c>
      <c r="H27" s="707">
        <f t="shared" si="3"/>
        <v>309136.42444072675</v>
      </c>
      <c r="I27" s="707">
        <f t="shared" si="3"/>
        <v>58893.907751019578</v>
      </c>
      <c r="J27" s="707">
        <f t="shared" si="3"/>
        <v>0</v>
      </c>
      <c r="K27" s="707">
        <f t="shared" si="3"/>
        <v>220.48764561359994</v>
      </c>
      <c r="L27" s="707">
        <f t="shared" si="3"/>
        <v>0</v>
      </c>
      <c r="M27" s="707">
        <f t="shared" ca="1" si="3"/>
        <v>0</v>
      </c>
      <c r="N27" s="707">
        <f t="shared" si="3"/>
        <v>11501.594636101261</v>
      </c>
      <c r="O27" s="707">
        <f t="shared" ca="1" si="3"/>
        <v>19983.489783405214</v>
      </c>
      <c r="P27" s="707">
        <f t="shared" si="3"/>
        <v>248.57</v>
      </c>
      <c r="Q27" s="707">
        <f t="shared" si="3"/>
        <v>781.73333333333335</v>
      </c>
      <c r="R27" s="707">
        <f t="shared" ca="1" si="3"/>
        <v>883542.84084141674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14437.251800589796</v>
      </c>
      <c r="D40" s="1012">
        <f ca="1">tertiair!C20</f>
        <v>0</v>
      </c>
      <c r="E40" s="1012">
        <f ca="1">tertiair!D20</f>
        <v>12288.837775014808</v>
      </c>
      <c r="F40" s="1012">
        <f>tertiair!E20</f>
        <v>281.49693544762135</v>
      </c>
      <c r="G40" s="1012">
        <f ca="1">tertiair!F20</f>
        <v>4297.0536052115749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31304.640116263799</v>
      </c>
    </row>
    <row r="41" spans="1:18">
      <c r="A41" s="822" t="s">
        <v>225</v>
      </c>
      <c r="B41" s="829"/>
      <c r="C41" s="1012">
        <f ca="1">huishoudens!B12</f>
        <v>12357.276839264468</v>
      </c>
      <c r="D41" s="1012">
        <f ca="1">huishoudens!C12</f>
        <v>0</v>
      </c>
      <c r="E41" s="1012">
        <f>huishoudens!D12</f>
        <v>29556.38964984156</v>
      </c>
      <c r="F41" s="1012">
        <f>huishoudens!E12</f>
        <v>1657.0778770758575</v>
      </c>
      <c r="G41" s="1012">
        <f>huishoudens!F12</f>
        <v>10893.569175145194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54464.313541327079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4387.7055066523581</v>
      </c>
      <c r="D43" s="1012">
        <f ca="1">industrie!C22</f>
        <v>0</v>
      </c>
      <c r="E43" s="1012">
        <f>industrie!D22</f>
        <v>8434.03236481356</v>
      </c>
      <c r="F43" s="1012">
        <f>industrie!E22</f>
        <v>282.08958984428369</v>
      </c>
      <c r="G43" s="1012">
        <f>industrie!F22</f>
        <v>1333.890981772631</v>
      </c>
      <c r="H43" s="1012">
        <f>industrie!G22</f>
        <v>0</v>
      </c>
      <c r="I43" s="1012">
        <f>industrie!H22</f>
        <v>0</v>
      </c>
      <c r="J43" s="1012">
        <f>industrie!I22</f>
        <v>0</v>
      </c>
      <c r="K43" s="1012">
        <f>industrie!J22</f>
        <v>57.012134609994966</v>
      </c>
      <c r="L43" s="1012">
        <f>industrie!K22</f>
        <v>0</v>
      </c>
      <c r="M43" s="1012">
        <f>industrie!L22</f>
        <v>0</v>
      </c>
      <c r="N43" s="1012">
        <f>industrie!M22</f>
        <v>0</v>
      </c>
      <c r="O43" s="1012">
        <f>industrie!N22</f>
        <v>0</v>
      </c>
      <c r="P43" s="1012">
        <f>industrie!O22</f>
        <v>0</v>
      </c>
      <c r="Q43" s="774">
        <f>industrie!P22</f>
        <v>0</v>
      </c>
      <c r="R43" s="849">
        <f t="shared" ca="1" si="4"/>
        <v>14494.730577692826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31182.234146506624</v>
      </c>
      <c r="D46" s="732">
        <f t="shared" ref="D46:Q46" ca="1" si="5">SUM(D39:D45)</f>
        <v>0</v>
      </c>
      <c r="E46" s="732">
        <f t="shared" ca="1" si="5"/>
        <v>50279.25978966993</v>
      </c>
      <c r="F46" s="732">
        <f t="shared" si="5"/>
        <v>2220.6644023677627</v>
      </c>
      <c r="G46" s="732">
        <f t="shared" ca="1" si="5"/>
        <v>16524.513762129402</v>
      </c>
      <c r="H46" s="732">
        <f t="shared" si="5"/>
        <v>0</v>
      </c>
      <c r="I46" s="732">
        <f t="shared" si="5"/>
        <v>0</v>
      </c>
      <c r="J46" s="732">
        <f t="shared" si="5"/>
        <v>0</v>
      </c>
      <c r="K46" s="732">
        <f t="shared" si="5"/>
        <v>57.012134609994966</v>
      </c>
      <c r="L46" s="732">
        <f t="shared" si="5"/>
        <v>0</v>
      </c>
      <c r="M46" s="732">
        <f t="shared" ca="1" si="5"/>
        <v>0</v>
      </c>
      <c r="N46" s="732">
        <f t="shared" si="5"/>
        <v>0</v>
      </c>
      <c r="O46" s="732">
        <f t="shared" ca="1" si="5"/>
        <v>0</v>
      </c>
      <c r="P46" s="732">
        <f t="shared" si="5"/>
        <v>0</v>
      </c>
      <c r="Q46" s="732">
        <f t="shared" si="5"/>
        <v>0</v>
      </c>
      <c r="R46" s="732">
        <f ca="1">SUM(R39:R45)</f>
        <v>100263.6842352837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1245.6462070514044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1245.6462070514044</v>
      </c>
    </row>
    <row r="50" spans="1:18">
      <c r="A50" s="825" t="s">
        <v>307</v>
      </c>
      <c r="B50" s="835"/>
      <c r="C50" s="703">
        <f ca="1">transport!B18</f>
        <v>19.525851297538843</v>
      </c>
      <c r="D50" s="703">
        <f>transport!C18</f>
        <v>0</v>
      </c>
      <c r="E50" s="703">
        <f>transport!D18</f>
        <v>43.126023313821264</v>
      </c>
      <c r="F50" s="703">
        <f>transport!E18</f>
        <v>215.99810602386256</v>
      </c>
      <c r="G50" s="703">
        <f>transport!F18</f>
        <v>0</v>
      </c>
      <c r="H50" s="703">
        <f>transport!G18</f>
        <v>81293.779118622639</v>
      </c>
      <c r="I50" s="703">
        <f>transport!H18</f>
        <v>14664.583030003874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96237.01212926174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19.525851297538843</v>
      </c>
      <c r="D52" s="732">
        <f t="shared" ref="D52:Q52" ca="1" si="6">SUM(D48:D51)</f>
        <v>0</v>
      </c>
      <c r="E52" s="732">
        <f t="shared" si="6"/>
        <v>43.126023313821264</v>
      </c>
      <c r="F52" s="732">
        <f t="shared" si="6"/>
        <v>215.99810602386256</v>
      </c>
      <c r="G52" s="732">
        <f t="shared" si="6"/>
        <v>0</v>
      </c>
      <c r="H52" s="732">
        <f t="shared" si="6"/>
        <v>82539.425325674049</v>
      </c>
      <c r="I52" s="732">
        <f t="shared" si="6"/>
        <v>14664.583030003874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97482.65833631315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86.371668149028068</v>
      </c>
      <c r="D54" s="703">
        <f ca="1">+landbouw!C12</f>
        <v>0</v>
      </c>
      <c r="E54" s="703">
        <f>+landbouw!D12</f>
        <v>41.318618772419697</v>
      </c>
      <c r="F54" s="703">
        <f>+landbouw!E12</f>
        <v>2.4166493147003938</v>
      </c>
      <c r="G54" s="703">
        <f>+landbouw!F12</f>
        <v>402.9232853384006</v>
      </c>
      <c r="H54" s="703">
        <f>+landbouw!G12</f>
        <v>0</v>
      </c>
      <c r="I54" s="703">
        <f>+landbouw!H12</f>
        <v>0</v>
      </c>
      <c r="J54" s="703">
        <f>+landbouw!I12</f>
        <v>0</v>
      </c>
      <c r="K54" s="703">
        <f>+landbouw!J12</f>
        <v>21.040491937219404</v>
      </c>
      <c r="L54" s="703">
        <f>+landbouw!K12</f>
        <v>0</v>
      </c>
      <c r="M54" s="703">
        <f>+landbouw!L12</f>
        <v>0</v>
      </c>
      <c r="N54" s="703">
        <f>+landbouw!M12</f>
        <v>0</v>
      </c>
      <c r="O54" s="703">
        <f>+landbouw!N12</f>
        <v>0</v>
      </c>
      <c r="P54" s="703">
        <f>+landbouw!O12</f>
        <v>0</v>
      </c>
      <c r="Q54" s="704">
        <f>+landbouw!P12</f>
        <v>0</v>
      </c>
      <c r="R54" s="731">
        <f ca="1">SUM(C54:Q54)</f>
        <v>554.07071351176808</v>
      </c>
    </row>
    <row r="55" spans="1:18" ht="15" thickBot="1">
      <c r="A55" s="825" t="s">
        <v>848</v>
      </c>
      <c r="B55" s="835"/>
      <c r="C55" s="703">
        <f ca="1">C25*'EF ele_warmte'!B12</f>
        <v>534.58399486671385</v>
      </c>
      <c r="D55" s="703"/>
      <c r="E55" s="703">
        <f>E25*EF_CO2_aardgas</f>
        <v>1453.3167988562</v>
      </c>
      <c r="F55" s="703"/>
      <c r="G55" s="703"/>
      <c r="H55" s="703"/>
      <c r="I55" s="703"/>
      <c r="J55" s="703"/>
      <c r="K55" s="703"/>
      <c r="L55" s="703"/>
      <c r="M55" s="703"/>
      <c r="N55" s="703"/>
      <c r="O55" s="703"/>
      <c r="P55" s="703"/>
      <c r="Q55" s="704"/>
      <c r="R55" s="731">
        <f ca="1">SUM(C55:Q55)</f>
        <v>1987.9007937229139</v>
      </c>
    </row>
    <row r="56" spans="1:18" ht="15.75" thickBot="1">
      <c r="A56" s="823" t="s">
        <v>849</v>
      </c>
      <c r="B56" s="836"/>
      <c r="C56" s="732">
        <f ca="1">SUM(C54:C55)</f>
        <v>620.95566301574195</v>
      </c>
      <c r="D56" s="732">
        <f t="shared" ref="D56:Q56" ca="1" si="7">SUM(D54:D55)</f>
        <v>0</v>
      </c>
      <c r="E56" s="732">
        <f t="shared" si="7"/>
        <v>1494.6354176286197</v>
      </c>
      <c r="F56" s="732">
        <f t="shared" si="7"/>
        <v>2.4166493147003938</v>
      </c>
      <c r="G56" s="732">
        <f t="shared" si="7"/>
        <v>402.9232853384006</v>
      </c>
      <c r="H56" s="732">
        <f t="shared" si="7"/>
        <v>0</v>
      </c>
      <c r="I56" s="732">
        <f t="shared" si="7"/>
        <v>0</v>
      </c>
      <c r="J56" s="732">
        <f t="shared" si="7"/>
        <v>0</v>
      </c>
      <c r="K56" s="732">
        <f t="shared" si="7"/>
        <v>21.040491937219404</v>
      </c>
      <c r="L56" s="732">
        <f t="shared" si="7"/>
        <v>0</v>
      </c>
      <c r="M56" s="732">
        <f t="shared" si="7"/>
        <v>0</v>
      </c>
      <c r="N56" s="732">
        <f t="shared" si="7"/>
        <v>0</v>
      </c>
      <c r="O56" s="732">
        <f t="shared" si="7"/>
        <v>0</v>
      </c>
      <c r="P56" s="732">
        <f t="shared" si="7"/>
        <v>0</v>
      </c>
      <c r="Q56" s="733">
        <f t="shared" si="7"/>
        <v>0</v>
      </c>
      <c r="R56" s="734">
        <f ca="1">SUM(R54:R55)</f>
        <v>2541.9715072346821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31822.715660819904</v>
      </c>
      <c r="D61" s="740">
        <f t="shared" ref="D61:Q61" ca="1" si="8">D46+D52+D56</f>
        <v>0</v>
      </c>
      <c r="E61" s="740">
        <f t="shared" ca="1" si="8"/>
        <v>51817.021230612372</v>
      </c>
      <c r="F61" s="740">
        <f t="shared" si="8"/>
        <v>2439.0791577063255</v>
      </c>
      <c r="G61" s="740">
        <f t="shared" ca="1" si="8"/>
        <v>16927.437047467803</v>
      </c>
      <c r="H61" s="740">
        <f t="shared" si="8"/>
        <v>82539.425325674049</v>
      </c>
      <c r="I61" s="740">
        <f t="shared" si="8"/>
        <v>14664.583030003874</v>
      </c>
      <c r="J61" s="740">
        <f t="shared" si="8"/>
        <v>0</v>
      </c>
      <c r="K61" s="740">
        <f t="shared" si="8"/>
        <v>78.052626547214373</v>
      </c>
      <c r="L61" s="740">
        <f t="shared" si="8"/>
        <v>0</v>
      </c>
      <c r="M61" s="740">
        <f t="shared" ca="1" si="8"/>
        <v>0</v>
      </c>
      <c r="N61" s="740">
        <f t="shared" si="8"/>
        <v>0</v>
      </c>
      <c r="O61" s="740">
        <f t="shared" ca="1" si="8"/>
        <v>0</v>
      </c>
      <c r="P61" s="740">
        <f t="shared" si="8"/>
        <v>0</v>
      </c>
      <c r="Q61" s="740">
        <f t="shared" si="8"/>
        <v>0</v>
      </c>
      <c r="R61" s="740">
        <f ca="1">R46+R52+R56</f>
        <v>200288.31407883152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0.20920410966012939</v>
      </c>
      <c r="D63" s="781">
        <f t="shared" ca="1" si="9"/>
        <v>0</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8119.0549268267514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8119.0549268267514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8119.0549268267514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8119.0549268267514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59068.040581707304</v>
      </c>
      <c r="C4" s="477">
        <f>huishoudens!C8</f>
        <v>0</v>
      </c>
      <c r="D4" s="477">
        <f>huishoudens!D8</f>
        <v>146318.76064277999</v>
      </c>
      <c r="E4" s="477">
        <f>huishoudens!E8</f>
        <v>7299.9025421843935</v>
      </c>
      <c r="F4" s="477">
        <f>huishoudens!F8</f>
        <v>40799.884551105592</v>
      </c>
      <c r="G4" s="477">
        <f>huishoudens!G8</f>
        <v>0</v>
      </c>
      <c r="H4" s="477">
        <f>huishoudens!H8</f>
        <v>0</v>
      </c>
      <c r="I4" s="477">
        <f>huishoudens!I8</f>
        <v>0</v>
      </c>
      <c r="J4" s="477">
        <f>huishoudens!J8</f>
        <v>0</v>
      </c>
      <c r="K4" s="477">
        <f>huishoudens!K8</f>
        <v>0</v>
      </c>
      <c r="L4" s="477">
        <f>huishoudens!L8</f>
        <v>0</v>
      </c>
      <c r="M4" s="477">
        <f>huishoudens!M8</f>
        <v>0</v>
      </c>
      <c r="N4" s="477">
        <f>huishoudens!N8</f>
        <v>8930.7958810925047</v>
      </c>
      <c r="O4" s="477">
        <f>huishoudens!O8</f>
        <v>245.44333333333333</v>
      </c>
      <c r="P4" s="478">
        <f>huishoudens!P8</f>
        <v>743.6</v>
      </c>
      <c r="Q4" s="479">
        <f>SUM(B4:P4)</f>
        <v>263406.42753220315</v>
      </c>
    </row>
    <row r="5" spans="1:17">
      <c r="A5" s="476" t="s">
        <v>156</v>
      </c>
      <c r="B5" s="477">
        <f ca="1">tertiair!B16</f>
        <v>65715.033203860003</v>
      </c>
      <c r="C5" s="477">
        <f ca="1">tertiair!C16</f>
        <v>0</v>
      </c>
      <c r="D5" s="477">
        <f ca="1">tertiair!D16</f>
        <v>60835.830569380239</v>
      </c>
      <c r="E5" s="477">
        <f>tertiair!E16</f>
        <v>1240.0746054961292</v>
      </c>
      <c r="F5" s="477">
        <f ca="1">tertiair!F16</f>
        <v>16093.833727384175</v>
      </c>
      <c r="G5" s="477">
        <f>tertiair!G16</f>
        <v>0</v>
      </c>
      <c r="H5" s="477">
        <f>tertiair!H16</f>
        <v>0</v>
      </c>
      <c r="I5" s="477">
        <f>tertiair!I16</f>
        <v>0</v>
      </c>
      <c r="J5" s="477">
        <f>tertiair!J16</f>
        <v>0</v>
      </c>
      <c r="K5" s="477">
        <f>tertiair!K16</f>
        <v>0</v>
      </c>
      <c r="L5" s="477">
        <f ca="1">tertiair!L16</f>
        <v>0</v>
      </c>
      <c r="M5" s="477">
        <f>tertiair!M16</f>
        <v>0</v>
      </c>
      <c r="N5" s="477">
        <f ca="1">tertiair!N16</f>
        <v>6709.1553696531773</v>
      </c>
      <c r="O5" s="477">
        <f>tertiair!O16</f>
        <v>3.1266666666666669</v>
      </c>
      <c r="P5" s="478">
        <f>tertiair!P16</f>
        <v>38.133333333333333</v>
      </c>
      <c r="Q5" s="476">
        <f t="shared" ref="Q5:Q14" ca="1" si="0">SUM(B5:P5)</f>
        <v>150635.18747577374</v>
      </c>
    </row>
    <row r="6" spans="1:17">
      <c r="A6" s="476" t="s">
        <v>194</v>
      </c>
      <c r="B6" s="477">
        <f>'openbare verlichting'!B8</f>
        <v>3295.3310000000001</v>
      </c>
      <c r="C6" s="477"/>
      <c r="D6" s="477"/>
      <c r="E6" s="477"/>
      <c r="F6" s="477"/>
      <c r="G6" s="477"/>
      <c r="H6" s="477"/>
      <c r="I6" s="477"/>
      <c r="J6" s="477"/>
      <c r="K6" s="477"/>
      <c r="L6" s="477"/>
      <c r="M6" s="477"/>
      <c r="N6" s="477"/>
      <c r="O6" s="477"/>
      <c r="P6" s="478"/>
      <c r="Q6" s="476">
        <f t="shared" si="0"/>
        <v>3295.3310000000001</v>
      </c>
    </row>
    <row r="7" spans="1:17">
      <c r="A7" s="476" t="s">
        <v>112</v>
      </c>
      <c r="B7" s="477">
        <f>landbouw!B8</f>
        <v>412.85837209099998</v>
      </c>
      <c r="C7" s="477">
        <f>landbouw!C8</f>
        <v>0</v>
      </c>
      <c r="D7" s="477">
        <f>landbouw!D8</f>
        <v>204.547617685246</v>
      </c>
      <c r="E7" s="477">
        <f>landbouw!E8</f>
        <v>10.646032223349753</v>
      </c>
      <c r="F7" s="477">
        <f>landbouw!F8</f>
        <v>1509.0759750501895</v>
      </c>
      <c r="G7" s="477">
        <f>landbouw!G8</f>
        <v>0</v>
      </c>
      <c r="H7" s="477">
        <f>landbouw!H8</f>
        <v>0</v>
      </c>
      <c r="I7" s="477">
        <f>landbouw!I8</f>
        <v>0</v>
      </c>
      <c r="J7" s="477">
        <f>landbouw!J8</f>
        <v>59.436417901749728</v>
      </c>
      <c r="K7" s="477">
        <f>landbouw!K8</f>
        <v>0</v>
      </c>
      <c r="L7" s="477">
        <f>landbouw!L8</f>
        <v>0</v>
      </c>
      <c r="M7" s="477">
        <f>landbouw!M8</f>
        <v>0</v>
      </c>
      <c r="N7" s="477">
        <f>landbouw!N8</f>
        <v>0</v>
      </c>
      <c r="O7" s="477">
        <f>landbouw!O8</f>
        <v>0</v>
      </c>
      <c r="P7" s="478">
        <f>landbouw!P8</f>
        <v>0</v>
      </c>
      <c r="Q7" s="476">
        <f t="shared" si="0"/>
        <v>2196.5644149515351</v>
      </c>
    </row>
    <row r="8" spans="1:17">
      <c r="A8" s="476" t="s">
        <v>638</v>
      </c>
      <c r="B8" s="477">
        <f>industrie!B18</f>
        <v>20973.323677917102</v>
      </c>
      <c r="C8" s="477">
        <f>industrie!C18</f>
        <v>0</v>
      </c>
      <c r="D8" s="477">
        <f>industrie!D18</f>
        <v>41752.635469374058</v>
      </c>
      <c r="E8" s="477">
        <f>industrie!E18</f>
        <v>1242.6854178162278</v>
      </c>
      <c r="F8" s="477">
        <f>industrie!F18</f>
        <v>4995.846373680266</v>
      </c>
      <c r="G8" s="477">
        <f>industrie!G18</f>
        <v>0</v>
      </c>
      <c r="H8" s="477">
        <f>industrie!H18</f>
        <v>0</v>
      </c>
      <c r="I8" s="477">
        <f>industrie!I18</f>
        <v>0</v>
      </c>
      <c r="J8" s="477">
        <f>industrie!J18</f>
        <v>161.0512277118502</v>
      </c>
      <c r="K8" s="477">
        <f>industrie!K18</f>
        <v>0</v>
      </c>
      <c r="L8" s="477">
        <f>industrie!L18</f>
        <v>0</v>
      </c>
      <c r="M8" s="477">
        <f>industrie!M18</f>
        <v>0</v>
      </c>
      <c r="N8" s="477">
        <f>industrie!N18</f>
        <v>4343.5385326595324</v>
      </c>
      <c r="O8" s="477">
        <f>industrie!O18</f>
        <v>0</v>
      </c>
      <c r="P8" s="478">
        <f>industrie!P18</f>
        <v>0</v>
      </c>
      <c r="Q8" s="476">
        <f t="shared" si="0"/>
        <v>73469.080699159022</v>
      </c>
    </row>
    <row r="9" spans="1:17" s="482" customFormat="1">
      <c r="A9" s="480" t="s">
        <v>564</v>
      </c>
      <c r="B9" s="481">
        <f>transport!B14</f>
        <v>93.333975748661516</v>
      </c>
      <c r="C9" s="481">
        <f>transport!C14</f>
        <v>0</v>
      </c>
      <c r="D9" s="481">
        <f>transport!D14</f>
        <v>213.49516491990724</v>
      </c>
      <c r="E9" s="481">
        <f>transport!E14</f>
        <v>951.53350671305088</v>
      </c>
      <c r="F9" s="481">
        <f>transport!F14</f>
        <v>0</v>
      </c>
      <c r="G9" s="481">
        <f>transport!G14</f>
        <v>304471.08284128329</v>
      </c>
      <c r="H9" s="481">
        <f>transport!H14</f>
        <v>58893.907751019578</v>
      </c>
      <c r="I9" s="481">
        <f>transport!I14</f>
        <v>0</v>
      </c>
      <c r="J9" s="481">
        <f>transport!J14</f>
        <v>0</v>
      </c>
      <c r="K9" s="481">
        <f>transport!K14</f>
        <v>0</v>
      </c>
      <c r="L9" s="481">
        <f>transport!L14</f>
        <v>0</v>
      </c>
      <c r="M9" s="481">
        <f>transport!M14</f>
        <v>11356.886176905185</v>
      </c>
      <c r="N9" s="481">
        <f>transport!N14</f>
        <v>0</v>
      </c>
      <c r="O9" s="481">
        <f>transport!O14</f>
        <v>0</v>
      </c>
      <c r="P9" s="481">
        <f>transport!P14</f>
        <v>0</v>
      </c>
      <c r="Q9" s="480">
        <f>SUM(B9:P9)</f>
        <v>375980.23941658967</v>
      </c>
    </row>
    <row r="10" spans="1:17">
      <c r="A10" s="476" t="s">
        <v>554</v>
      </c>
      <c r="B10" s="477">
        <f>transport!B54</f>
        <v>0</v>
      </c>
      <c r="C10" s="477">
        <f>transport!C54</f>
        <v>0</v>
      </c>
      <c r="D10" s="477">
        <f>transport!D54</f>
        <v>0</v>
      </c>
      <c r="E10" s="477">
        <f>transport!E54</f>
        <v>0</v>
      </c>
      <c r="F10" s="477">
        <f>transport!F54</f>
        <v>0</v>
      </c>
      <c r="G10" s="477">
        <f>transport!G54</f>
        <v>4665.3415994434617</v>
      </c>
      <c r="H10" s="477">
        <f>transport!H54</f>
        <v>0</v>
      </c>
      <c r="I10" s="477">
        <f>transport!I54</f>
        <v>0</v>
      </c>
      <c r="J10" s="477">
        <f>transport!J54</f>
        <v>0</v>
      </c>
      <c r="K10" s="477">
        <f>transport!K54</f>
        <v>0</v>
      </c>
      <c r="L10" s="477">
        <f>transport!L54</f>
        <v>0</v>
      </c>
      <c r="M10" s="477">
        <f>transport!M54</f>
        <v>144.7084591960749</v>
      </c>
      <c r="N10" s="477">
        <f>transport!N54</f>
        <v>0</v>
      </c>
      <c r="O10" s="477">
        <f>transport!O54</f>
        <v>0</v>
      </c>
      <c r="P10" s="478">
        <f>transport!P54</f>
        <v>0</v>
      </c>
      <c r="Q10" s="476">
        <f t="shared" si="0"/>
        <v>4810.0500586395365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2555.3226260000001</v>
      </c>
      <c r="C14" s="484"/>
      <c r="D14" s="484">
        <f>'SEAP template'!E25</f>
        <v>7194.6376180999996</v>
      </c>
      <c r="E14" s="484"/>
      <c r="F14" s="484"/>
      <c r="G14" s="484"/>
      <c r="H14" s="484"/>
      <c r="I14" s="484"/>
      <c r="J14" s="484"/>
      <c r="K14" s="484"/>
      <c r="L14" s="484"/>
      <c r="M14" s="484"/>
      <c r="N14" s="484"/>
      <c r="O14" s="484"/>
      <c r="P14" s="485"/>
      <c r="Q14" s="476">
        <f t="shared" si="0"/>
        <v>9749.9602440999988</v>
      </c>
    </row>
    <row r="15" spans="1:17" s="486" customFormat="1">
      <c r="A15" s="1038" t="s">
        <v>558</v>
      </c>
      <c r="B15" s="978">
        <f ca="1">SUM(B4:B14)</f>
        <v>152113.24343732407</v>
      </c>
      <c r="C15" s="978">
        <f t="shared" ref="C15:Q15" ca="1" si="1">SUM(C4:C14)</f>
        <v>0</v>
      </c>
      <c r="D15" s="978">
        <f t="shared" ca="1" si="1"/>
        <v>256519.90708223946</v>
      </c>
      <c r="E15" s="978">
        <f t="shared" si="1"/>
        <v>10744.842104433152</v>
      </c>
      <c r="F15" s="978">
        <f t="shared" ca="1" si="1"/>
        <v>63398.640627220222</v>
      </c>
      <c r="G15" s="978">
        <f t="shared" si="1"/>
        <v>309136.42444072675</v>
      </c>
      <c r="H15" s="978">
        <f t="shared" si="1"/>
        <v>58893.907751019578</v>
      </c>
      <c r="I15" s="978">
        <f t="shared" si="1"/>
        <v>0</v>
      </c>
      <c r="J15" s="978">
        <f t="shared" si="1"/>
        <v>220.48764561359994</v>
      </c>
      <c r="K15" s="978">
        <f t="shared" si="1"/>
        <v>0</v>
      </c>
      <c r="L15" s="978">
        <f t="shared" ca="1" si="1"/>
        <v>0</v>
      </c>
      <c r="M15" s="978">
        <f t="shared" si="1"/>
        <v>11501.594636101261</v>
      </c>
      <c r="N15" s="978">
        <f t="shared" ca="1" si="1"/>
        <v>19983.489783405214</v>
      </c>
      <c r="O15" s="978">
        <f t="shared" si="1"/>
        <v>248.57</v>
      </c>
      <c r="P15" s="978">
        <f t="shared" si="1"/>
        <v>781.73333333333335</v>
      </c>
      <c r="Q15" s="978">
        <f t="shared" ca="1" si="1"/>
        <v>883542.8408414165</v>
      </c>
    </row>
    <row r="17" spans="1:17">
      <c r="A17" s="487" t="s">
        <v>559</v>
      </c>
      <c r="B17" s="786">
        <f ca="1">huishoudens!B10</f>
        <v>0.20920410966012939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12357.276839264468</v>
      </c>
      <c r="C22" s="477">
        <f t="shared" ref="C22:C32" ca="1" si="3">C4*$C$17</f>
        <v>0</v>
      </c>
      <c r="D22" s="477">
        <f t="shared" ref="D22:D32" si="4">D4*$D$17</f>
        <v>29556.38964984156</v>
      </c>
      <c r="E22" s="477">
        <f t="shared" ref="E22:E32" si="5">E4*$E$17</f>
        <v>1657.0778770758575</v>
      </c>
      <c r="F22" s="477">
        <f t="shared" ref="F22:F32" si="6">F4*$F$17</f>
        <v>10893.569175145194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54464.313541327079</v>
      </c>
    </row>
    <row r="23" spans="1:17">
      <c r="A23" s="476" t="s">
        <v>156</v>
      </c>
      <c r="B23" s="477">
        <f t="shared" ca="1" si="2"/>
        <v>13747.855012699372</v>
      </c>
      <c r="C23" s="477">
        <f t="shared" ca="1" si="3"/>
        <v>0</v>
      </c>
      <c r="D23" s="477">
        <f t="shared" ca="1" si="4"/>
        <v>12288.837775014808</v>
      </c>
      <c r="E23" s="477">
        <f t="shared" si="5"/>
        <v>281.49693544762135</v>
      </c>
      <c r="F23" s="477">
        <f t="shared" ca="1" si="6"/>
        <v>4297.0536052115749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30615.243328373374</v>
      </c>
    </row>
    <row r="24" spans="1:17">
      <c r="A24" s="476" t="s">
        <v>194</v>
      </c>
      <c r="B24" s="477">
        <f t="shared" ca="1" si="2"/>
        <v>689.39678789042387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689.39678789042387</v>
      </c>
    </row>
    <row r="25" spans="1:17">
      <c r="A25" s="476" t="s">
        <v>112</v>
      </c>
      <c r="B25" s="477">
        <f t="shared" ca="1" si="2"/>
        <v>86.371668149028068</v>
      </c>
      <c r="C25" s="477">
        <f t="shared" ca="1" si="3"/>
        <v>0</v>
      </c>
      <c r="D25" s="477">
        <f t="shared" si="4"/>
        <v>41.318618772419697</v>
      </c>
      <c r="E25" s="477">
        <f t="shared" si="5"/>
        <v>2.4166493147003938</v>
      </c>
      <c r="F25" s="477">
        <f t="shared" si="6"/>
        <v>402.9232853384006</v>
      </c>
      <c r="G25" s="477">
        <f t="shared" si="7"/>
        <v>0</v>
      </c>
      <c r="H25" s="477">
        <f t="shared" si="8"/>
        <v>0</v>
      </c>
      <c r="I25" s="477">
        <f t="shared" si="9"/>
        <v>0</v>
      </c>
      <c r="J25" s="477">
        <f t="shared" si="10"/>
        <v>21.040491937219404</v>
      </c>
      <c r="K25" s="477">
        <f t="shared" si="11"/>
        <v>0</v>
      </c>
      <c r="L25" s="477">
        <f t="shared" si="12"/>
        <v>0</v>
      </c>
      <c r="M25" s="477">
        <f t="shared" si="13"/>
        <v>0</v>
      </c>
      <c r="N25" s="477">
        <f t="shared" si="14"/>
        <v>0</v>
      </c>
      <c r="O25" s="477">
        <f t="shared" si="15"/>
        <v>0</v>
      </c>
      <c r="P25" s="478">
        <f t="shared" si="16"/>
        <v>0</v>
      </c>
      <c r="Q25" s="476">
        <f t="shared" ca="1" si="17"/>
        <v>554.07071351176808</v>
      </c>
    </row>
    <row r="26" spans="1:17">
      <c r="A26" s="476" t="s">
        <v>638</v>
      </c>
      <c r="B26" s="477">
        <f t="shared" ca="1" si="2"/>
        <v>4387.7055066523581</v>
      </c>
      <c r="C26" s="477">
        <f t="shared" ca="1" si="3"/>
        <v>0</v>
      </c>
      <c r="D26" s="477">
        <f t="shared" si="4"/>
        <v>8434.03236481356</v>
      </c>
      <c r="E26" s="477">
        <f t="shared" si="5"/>
        <v>282.08958984428369</v>
      </c>
      <c r="F26" s="477">
        <f t="shared" si="6"/>
        <v>1333.890981772631</v>
      </c>
      <c r="G26" s="477">
        <f t="shared" si="7"/>
        <v>0</v>
      </c>
      <c r="H26" s="477">
        <f t="shared" si="8"/>
        <v>0</v>
      </c>
      <c r="I26" s="477">
        <f t="shared" si="9"/>
        <v>0</v>
      </c>
      <c r="J26" s="477">
        <f t="shared" si="10"/>
        <v>57.012134609994966</v>
      </c>
      <c r="K26" s="477">
        <f t="shared" si="11"/>
        <v>0</v>
      </c>
      <c r="L26" s="477">
        <f t="shared" si="12"/>
        <v>0</v>
      </c>
      <c r="M26" s="477">
        <f t="shared" si="13"/>
        <v>0</v>
      </c>
      <c r="N26" s="477">
        <f t="shared" si="14"/>
        <v>0</v>
      </c>
      <c r="O26" s="477">
        <f t="shared" si="15"/>
        <v>0</v>
      </c>
      <c r="P26" s="478">
        <f t="shared" si="16"/>
        <v>0</v>
      </c>
      <c r="Q26" s="476">
        <f t="shared" ca="1" si="17"/>
        <v>14494.730577692826</v>
      </c>
    </row>
    <row r="27" spans="1:17" s="482" customFormat="1">
      <c r="A27" s="480" t="s">
        <v>564</v>
      </c>
      <c r="B27" s="780">
        <f t="shared" ca="1" si="2"/>
        <v>19.525851297538843</v>
      </c>
      <c r="C27" s="481">
        <f t="shared" ca="1" si="3"/>
        <v>0</v>
      </c>
      <c r="D27" s="481">
        <f t="shared" si="4"/>
        <v>43.126023313821264</v>
      </c>
      <c r="E27" s="481">
        <f t="shared" si="5"/>
        <v>215.99810602386256</v>
      </c>
      <c r="F27" s="481">
        <f t="shared" si="6"/>
        <v>0</v>
      </c>
      <c r="G27" s="481">
        <f t="shared" si="7"/>
        <v>81293.779118622639</v>
      </c>
      <c r="H27" s="481">
        <f t="shared" si="8"/>
        <v>14664.583030003874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96237.01212926174</v>
      </c>
    </row>
    <row r="28" spans="1:17">
      <c r="A28" s="476" t="s">
        <v>554</v>
      </c>
      <c r="B28" s="477">
        <f t="shared" ca="1" si="2"/>
        <v>0</v>
      </c>
      <c r="C28" s="477">
        <f t="shared" ca="1" si="3"/>
        <v>0</v>
      </c>
      <c r="D28" s="477">
        <f t="shared" si="4"/>
        <v>0</v>
      </c>
      <c r="E28" s="477">
        <f t="shared" si="5"/>
        <v>0</v>
      </c>
      <c r="F28" s="477">
        <f t="shared" si="6"/>
        <v>0</v>
      </c>
      <c r="G28" s="477">
        <f t="shared" si="7"/>
        <v>1245.6462070514044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1245.6462070514044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534.58399486671385</v>
      </c>
      <c r="C32" s="477">
        <f t="shared" ca="1" si="3"/>
        <v>0</v>
      </c>
      <c r="D32" s="477">
        <f t="shared" si="4"/>
        <v>1453.3167988562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1987.9007937229139</v>
      </c>
    </row>
    <row r="33" spans="1:17" s="486" customFormat="1">
      <c r="A33" s="1038" t="s">
        <v>558</v>
      </c>
      <c r="B33" s="978">
        <f ca="1">SUM(B22:B32)</f>
        <v>31822.7156608199</v>
      </c>
      <c r="C33" s="978">
        <f t="shared" ref="C33:Q33" ca="1" si="18">SUM(C22:C32)</f>
        <v>0</v>
      </c>
      <c r="D33" s="978">
        <f t="shared" ca="1" si="18"/>
        <v>51817.021230612372</v>
      </c>
      <c r="E33" s="978">
        <f t="shared" si="18"/>
        <v>2439.0791577063255</v>
      </c>
      <c r="F33" s="978">
        <f t="shared" ca="1" si="18"/>
        <v>16927.4370474678</v>
      </c>
      <c r="G33" s="978">
        <f t="shared" si="18"/>
        <v>82539.425325674049</v>
      </c>
      <c r="H33" s="978">
        <f t="shared" si="18"/>
        <v>14664.583030003874</v>
      </c>
      <c r="I33" s="978">
        <f t="shared" si="18"/>
        <v>0</v>
      </c>
      <c r="J33" s="978">
        <f t="shared" si="18"/>
        <v>78.052626547214373</v>
      </c>
      <c r="K33" s="978">
        <f t="shared" si="18"/>
        <v>0</v>
      </c>
      <c r="L33" s="978">
        <f t="shared" ca="1" si="18"/>
        <v>0</v>
      </c>
      <c r="M33" s="978">
        <f t="shared" si="18"/>
        <v>0</v>
      </c>
      <c r="N33" s="978">
        <f t="shared" ca="1" si="18"/>
        <v>0</v>
      </c>
      <c r="O33" s="978">
        <f t="shared" si="18"/>
        <v>0</v>
      </c>
      <c r="P33" s="978">
        <f t="shared" si="18"/>
        <v>0</v>
      </c>
      <c r="Q33" s="978">
        <f t="shared" ca="1" si="18"/>
        <v>200288.31407883155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8119.0549268267514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8119.0549268267514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0.20920410966012939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0.20920410966012939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2019-08-12T08:23:12Z</dcterms:modified>
</cp:coreProperties>
</file>