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P31"/>
  <c r="O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N19" i="59" l="1"/>
  <c r="N20" s="1"/>
  <c r="N90" i="14"/>
  <c r="L18" i="59"/>
  <c r="L90" i="14"/>
  <c r="K18" i="59"/>
  <c r="K20" s="1"/>
  <c r="K90" i="14"/>
  <c r="H10" i="59"/>
  <c r="L78" i="14"/>
  <c r="L8" i="59"/>
  <c r="L10" s="1"/>
  <c r="H90" i="14"/>
  <c r="H18" i="59"/>
  <c r="H20" s="1"/>
  <c r="H78" i="14"/>
  <c r="H8" i="59"/>
  <c r="E20"/>
  <c r="R9" i="14"/>
  <c r="K10" i="59"/>
  <c r="C98" i="18"/>
  <c r="D13" i="15"/>
  <c r="O90" i="14"/>
  <c r="G20" i="18"/>
  <c r="C13" i="15"/>
  <c r="O78" i="14"/>
  <c r="O9" i="59"/>
  <c r="O10" s="1"/>
  <c r="P25" i="48"/>
  <c r="R25" i="14"/>
  <c r="G78"/>
  <c r="N10" i="59"/>
  <c r="L20"/>
  <c r="B8" i="18"/>
  <c r="B10" s="1"/>
  <c r="O19"/>
  <c r="L13" i="15"/>
  <c r="N13"/>
  <c r="Q77" i="14"/>
  <c r="P9" i="59" s="1"/>
  <c r="O9" i="18"/>
  <c r="O18"/>
  <c r="G88" i="14"/>
  <c r="F89"/>
  <c r="I101" i="18"/>
  <c r="H8" s="1"/>
  <c r="E101"/>
  <c r="E8" s="1"/>
  <c r="H101"/>
  <c r="D101"/>
  <c r="G101"/>
  <c r="C101"/>
  <c r="F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89" l="1"/>
  <c r="C19" i="59" s="1"/>
  <c r="F19"/>
  <c r="G90" i="14"/>
  <c r="G18" i="59"/>
  <c r="G20" s="1"/>
  <c r="B89" i="14"/>
  <c r="B19"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H10" i="14" l="1"/>
  <c r="H16" s="1"/>
  <c r="G5" i="48"/>
  <c r="O17" i="18"/>
  <c r="O20" s="1"/>
  <c r="H5" i="48"/>
  <c r="I10" i="14"/>
  <c r="I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O4" i="48"/>
  <c r="P11" i="14"/>
  <c r="C4" i="48"/>
  <c r="D11" i="14"/>
  <c r="C11"/>
  <c r="B4" i="48"/>
  <c r="B10"/>
  <c r="C19" i="14"/>
  <c r="E31" i="48"/>
  <c r="E29"/>
  <c r="E28"/>
  <c r="E32"/>
  <c r="E24"/>
  <c r="E30"/>
  <c r="M29"/>
  <c r="M32"/>
  <c r="M26"/>
  <c r="M30"/>
  <c r="M25"/>
  <c r="M22"/>
  <c r="M24"/>
  <c r="M23"/>
  <c r="J28"/>
  <c r="J27"/>
  <c r="J32"/>
  <c r="J29"/>
  <c r="J30"/>
  <c r="J24"/>
  <c r="J31"/>
  <c r="I27"/>
  <c r="I32"/>
  <c r="I24"/>
  <c r="I29"/>
  <c r="I22"/>
  <c r="I30"/>
  <c r="I28"/>
  <c r="I31"/>
  <c r="I25"/>
  <c r="I26"/>
  <c r="D4"/>
  <c r="D22" s="1"/>
  <c r="E11" i="14"/>
  <c r="H32" i="48"/>
  <c r="H28"/>
  <c r="H25"/>
  <c r="H26"/>
  <c r="H22"/>
  <c r="H30"/>
  <c r="H29"/>
  <c r="H24"/>
  <c r="H23"/>
  <c r="G32"/>
  <c r="G29"/>
  <c r="G25"/>
  <c r="G26"/>
  <c r="G24"/>
  <c r="G22"/>
  <c r="G30"/>
  <c r="G23"/>
  <c r="F32"/>
  <c r="F31"/>
  <c r="F27"/>
  <c r="F29"/>
  <c r="F28"/>
  <c r="F30"/>
  <c r="F24"/>
  <c r="N32"/>
  <c r="N31"/>
  <c r="N27"/>
  <c r="N29"/>
  <c r="N24"/>
  <c r="N28"/>
  <c r="N30"/>
  <c r="L10" i="14"/>
  <c r="L16" s="1"/>
  <c r="L27" s="1"/>
  <c r="K5" i="48"/>
  <c r="D29"/>
  <c r="D30"/>
  <c r="D28"/>
  <c r="D24"/>
  <c r="D31"/>
  <c r="D32"/>
  <c r="L29"/>
  <c r="L28"/>
  <c r="L32"/>
  <c r="L31"/>
  <c r="L22"/>
  <c r="L27"/>
  <c r="L30"/>
  <c r="L24"/>
  <c r="P5"/>
  <c r="P23" s="1"/>
  <c r="Q10" i="14"/>
  <c r="K28" i="48"/>
  <c r="K32"/>
  <c r="K25"/>
  <c r="K27"/>
  <c r="K24"/>
  <c r="K26"/>
  <c r="K22"/>
  <c r="K31"/>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J63" s="1"/>
  <c r="O22" i="48"/>
  <c r="P8"/>
  <c r="P26" s="1"/>
  <c r="Q13" i="14"/>
  <c r="J46"/>
  <c r="J61" s="1"/>
  <c r="I20" i="15"/>
  <c r="J40" i="14" s="1"/>
  <c r="K33" i="48"/>
  <c r="H18" i="14"/>
  <c r="G13" i="48"/>
  <c r="H13"/>
  <c r="H31" s="1"/>
  <c r="I18" i="14"/>
  <c r="F20"/>
  <c r="F22" s="1"/>
  <c r="E9" i="48"/>
  <c r="E27" s="1"/>
  <c r="K23"/>
  <c r="K15"/>
  <c r="E20" i="14"/>
  <c r="E22" s="1"/>
  <c r="D9" i="48"/>
  <c r="D27" s="1"/>
  <c r="O5"/>
  <c r="O23" s="1"/>
  <c r="P10" i="14"/>
  <c r="Q16"/>
  <c r="Q27" s="1"/>
  <c r="P22" i="48"/>
  <c r="P33" s="1"/>
  <c r="M12" i="22"/>
  <c r="M13" i="48"/>
  <c r="M31" s="1"/>
  <c r="N18" i="14"/>
  <c r="J7" i="48"/>
  <c r="J25" s="1"/>
  <c r="K24" i="14"/>
  <c r="K26" s="1"/>
  <c r="C20"/>
  <c r="C22" s="1"/>
  <c r="B9"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G31" i="48"/>
  <c r="Q13"/>
  <c r="O22" i="16"/>
  <c r="P43" i="14" s="1"/>
  <c r="O8" i="48"/>
  <c r="O26" s="1"/>
  <c r="O33" s="1"/>
  <c r="P13" i="14"/>
  <c r="H20"/>
  <c r="G9" i="48"/>
  <c r="M10"/>
  <c r="M28" s="1"/>
  <c r="N19" i="14"/>
  <c r="M14" i="22"/>
  <c r="M18" s="1"/>
  <c r="N50" i="14" s="1"/>
  <c r="P15" i="48"/>
  <c r="E12" i="13"/>
  <c r="F41" i="14" s="1"/>
  <c r="F11"/>
  <c r="E4" i="48"/>
  <c r="J4"/>
  <c r="K11" i="14"/>
  <c r="E7" i="48"/>
  <c r="E25" s="1"/>
  <c r="F24" i="14"/>
  <c r="F26" s="1"/>
  <c r="P46"/>
  <c r="P61" s="1"/>
  <c r="P16"/>
  <c r="P27" s="1"/>
  <c r="O15" i="48"/>
  <c r="G10"/>
  <c r="H19" i="14"/>
  <c r="H22"/>
  <c r="H27" s="1"/>
  <c r="R18"/>
  <c r="I23" i="48"/>
  <c r="I33" s="1"/>
  <c r="I15"/>
  <c r="I20" i="14"/>
  <c r="I22" s="1"/>
  <c r="I27" s="1"/>
  <c r="H9" i="48"/>
  <c r="Q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N52" l="1"/>
  <c r="N61" s="1"/>
  <c r="H27" i="48"/>
  <c r="H33" s="1"/>
  <c r="H15"/>
  <c r="E5"/>
  <c r="E23" s="1"/>
  <c r="F10" i="14"/>
  <c r="G27" i="48"/>
  <c r="G15"/>
  <c r="R24" i="14"/>
  <c r="R26" s="1"/>
  <c r="P63"/>
  <c r="R11"/>
  <c r="J5" i="48"/>
  <c r="J23" s="1"/>
  <c r="K10" i="14"/>
  <c r="E22" i="48"/>
  <c r="Q4"/>
  <c r="J22"/>
  <c r="M9"/>
  <c r="N20" i="14"/>
  <c r="G28" i="48"/>
  <c r="Q10"/>
  <c r="J20" i="15"/>
  <c r="K40" i="14" s="1"/>
  <c r="Q9" i="48"/>
  <c r="R19" i="14"/>
  <c r="Q7" i="48"/>
  <c r="E20" i="15"/>
  <c r="F40" i="14" s="1"/>
  <c r="J18" i="16"/>
  <c r="E18"/>
  <c r="F18"/>
  <c r="F22" s="1"/>
  <c r="G43" i="14" s="1"/>
  <c r="N18" i="16"/>
  <c r="G18" i="22"/>
  <c r="H50" i="14" s="1"/>
  <c r="H52" s="1"/>
  <c r="H61" s="1"/>
  <c r="H63" s="1"/>
  <c r="E22" i="16"/>
  <c r="F43" i="14" s="1"/>
  <c r="H18" i="22"/>
  <c r="I50" i="14" s="1"/>
  <c r="I52" s="1"/>
  <c r="I61" s="1"/>
  <c r="I63" s="1"/>
  <c r="R22" l="1"/>
  <c r="J22" i="16"/>
  <c r="K43" i="14" s="1"/>
  <c r="K46" s="1"/>
  <c r="K61" s="1"/>
  <c r="K63" s="1"/>
  <c r="J8" i="48"/>
  <c r="K13" i="14"/>
  <c r="K16" s="1"/>
  <c r="K27" s="1"/>
  <c r="E33" i="48"/>
  <c r="M27"/>
  <c r="M33" s="1"/>
  <c r="M15"/>
  <c r="N22" i="14"/>
  <c r="N27" s="1"/>
  <c r="N63" s="1"/>
  <c r="R20"/>
  <c r="F46"/>
  <c r="F61" s="1"/>
  <c r="E8" i="48"/>
  <c r="E26" s="1"/>
  <c r="F13" i="14"/>
  <c r="F16" s="1"/>
  <c r="F27" s="1"/>
  <c r="E15" i="48"/>
  <c r="G33"/>
  <c r="N8"/>
  <c r="N26" s="1"/>
  <c r="O13" i="14"/>
  <c r="N22" i="16"/>
  <c r="O43" i="14" s="1"/>
  <c r="G13"/>
  <c r="F8" i="48"/>
  <c r="J26" l="1"/>
  <c r="J33" s="1"/>
  <c r="J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<sst xmlns="http://schemas.openxmlformats.org/spreadsheetml/2006/main" count="2392" uniqueCount="890">
  <si>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</si>
  <si>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</si>
  <si>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</si>
  <si>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</si>
  <si>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</si>
  <si>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</si>
  <si>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</si>
  <si>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</si>
  <si>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</si>
  <si>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</si>
  <si>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</si>
  <si>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</si>
  <si>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</si>
  <si>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</si>
  <si>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</si>
  <si>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</si>
  <si>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</si>
  <si>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</si>
  <si>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</si>
  <si>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</si>
  <si>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</si>
  <si>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</si>
  <si>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</si>
  <si>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</si>
  <si>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</si>
  <si>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</si>
  <si>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</si>
  <si>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</si>
  <si>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</si>
  <si>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</si>
  <si>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</si>
  <si>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</si>
  <si>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</si>
  <si>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</si>
  <si>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</si>
  <si>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</si>
  <si>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</si>
  <si>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</si>
  <si>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</si>
  <si>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</si>
  <si>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</si>
  <si>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</si>
  <si>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</si>
  <si>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</si>
  <si>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</si>
  <si>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</si>
  <si>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</si>
  <si>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</si>
  <si>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</si>
  <si>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</si>
  <si>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</si>
  <si>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</si>
  <si>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</si>
  <si>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</si>
  <si>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</si>
  <si>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</si>
  <si>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</si>
  <si>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</si>
  <si>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</si>
  <si>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</si>
  <si>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</si>
  <si>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</si>
  <si>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</si>
  <si>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</si>
  <si>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</si>
  <si>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</si>
  <si>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</si>
  <si>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</si>
  <si>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</si>
  <si>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</si>
  <si>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</si>
  <si>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</si>
  <si>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</si>
  <si>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</si>
  <si>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</si>
  <si>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</si>
  <si>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</si>
  <si>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</si>
  <si>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</si>
  <si>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</si>
  <si>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</si>
  <si>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</si>
  <si>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</si>
  <si>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</si>
  <si>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</si>
  <si>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</si>
  <si>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</si>
  <si>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</si>
  <si>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</si>
  <si>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</si>
  <si>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</si>
  <si>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</si>
  <si>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</si>
  <si>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</si>
  <si>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</si>
  <si>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</si>
  <si>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</si>
  <si>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</si>
  <si>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</si>
  <si>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</si>
  <si>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</si>
  <si>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</si>
  <si>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</si>
  <si>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</si>
  <si>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</si>
  <si>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</si>
  <si>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</si>
  <si>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</si>
  <si>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</si>
  <si>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</si>
  <si>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</si>
  <si>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</si>
  <si>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</si>
  <si>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</si>
  <si>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</si>
  <si>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</si>
  <si>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</si>
  <si>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</si>
  <si>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</si>
  <si>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</si>
  <si>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</si>
  <si>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</si>
  <si>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</si>
  <si>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</si>
  <si>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</si>
  <si>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</si>
  <si>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</si>
  <si>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</si>
  <si>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</si>
  <si>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</si>
  <si>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</si>
  <si>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</si>
  <si>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</si>
  <si>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</si>
  <si>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</si>
  <si>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</si>
  <si>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</si>
  <si>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</si>
  <si>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</si>
  <si>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</si>
  <si>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</si>
  <si>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</si>
  <si>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</si>
  <si>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</si>
  <si>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</si>
  <si>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</si>
  <si>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</si>
  <si>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</si>
  <si>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</si>
  <si>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</si>
  <si>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</si>
  <si>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</si>
  <si>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</si>
  <si>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</si>
  <si>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</si>
  <si>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</si>
  <si>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</si>
  <si>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</si>
  <si>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</si>
  <si>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</si>
  <si>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</si>
  <si>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</si>
  <si>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</si>
  <si>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</si>
  <si>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</si>
  <si>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</si>
  <si>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</si>
  <si>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</si>
  <si>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</si>
  <si>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</si>
  <si>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</si>
  <si>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</si>
  <si>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</si>
  <si>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</si>
  <si>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</si>
  <si>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</si>
  <si>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</si>
  <si>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</si>
  <si>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</si>
  <si>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</si>
  <si>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</si>
  <si>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</si>
  <si>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</si>
  <si>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</si>
  <si>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</si>
  <si>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</si>
  <si>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</si>
  <si>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</si>
  <si>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</si>
  <si>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</si>
  <si>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</si>
  <si>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</si>
  <si>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</si>
  <si>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</si>
  <si>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</si>
  <si>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</si>
  <si>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</si>
  <si>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</si>
  <si>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</si>
  <si>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</si>
  <si>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</si>
  <si>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</si>
  <si>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</si>
  <si>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</si>
  <si>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</si>
  <si>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</si>
  <si>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</si>
  <si>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</si>
  <si>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</si>
  <si>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</si>
  <si>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</si>
  <si>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</si>
  <si>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</si>
  <si>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</si>
  <si>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</si>
  <si>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</si>
  <si>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</si>
  <si>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</si>
  <si>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</si>
  <si>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</si>
  <si>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</si>
  <si>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</si>
  <si>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</si>
  <si>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</si>
  <si>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</si>
  <si>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</si>
  <si>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</si>
  <si>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</si>
  <si>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</si>
  <si>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</si>
  <si>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</si>
  <si>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</si>
  <si>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</si>
  <si>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</si>
  <si>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</si>
  <si>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</si>
  <si>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</si>
  <si>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</si>
  <si>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</si>
  <si>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</si>
  <si>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</si>
  <si>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</si>
  <si>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</si>
  <si>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</si>
  <si>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</si>
  <si>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</si>
  <si>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</si>
  <si>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</si>
  <si>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</si>
  <si>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</si>
  <si>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</si>
  <si>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</si>
  <si>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</si>
  <si>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</si>
  <si>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</si>
  <si>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</si>
  <si>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</si>
  <si>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</si>
  <si>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</si>
  <si>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</si>
  <si>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</si>
  <si>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</si>
  <si>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</si>
  <si>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</si>
  <si>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</si>
  <si>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</si>
  <si>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</si>
  <si>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</si>
  <si>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</si>
  <si>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</si>
  <si>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</si>
  <si>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</si>
  <si>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</si>
  <si>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</si>
  <si>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</si>
  <si>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</si>
  <si>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</si>
  <si>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</si>
  <si>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</si>
  <si>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</si>
  <si>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</si>
  <si>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</si>
  <si>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</si>
  <si>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</si>
  <si>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</si>
  <si>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</si>
  <si>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</si>
  <si>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</si>
  <si>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</si>
  <si>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</si>
  <si>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</si>
  <si>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</si>
  <si>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</si>
  <si>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</si>
  <si>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</si>
  <si>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</si>
  <si>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</si>
  <si>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</si>
  <si>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</si>
  <si>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</si>
  <si>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</si>
  <si>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</si>
  <si>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</si>
  <si>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</si>
  <si>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</si>
  <si>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</si>
  <si>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</si>
  <si>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</si>
  <si>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</si>
  <si>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</si>
  <si>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</si>
  <si>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</si>
  <si>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</si>
  <si>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</si>
  <si>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</si>
  <si>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</si>
  <si>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</si>
  <si>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</si>
  <si>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</si>
  <si>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</si>
  <si>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</si>
  <si>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</si>
  <si>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</si>
  <si>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</si>
  <si>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</si>
  <si>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</si>
  <si>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</si>
  <si>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</si>
  <si>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</si>
  <si>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</si>
  <si>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</si>
  <si>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</si>
  <si>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</si>
  <si>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</si>
  <si>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</si>
  <si>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</si>
  <si>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</si>
  <si>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</si>
  <si>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</si>
  <si>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</si>
  <si>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</si>
  <si>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</si>
  <si>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</si>
  <si>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</si>
  <si>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</si>
  <si>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</si>
  <si>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</si>
  <si>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</si>
  <si>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</si>
  <si>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</si>
  <si>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</si>
  <si>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</si>
  <si>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</si>
  <si>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</si>
  <si>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</si>
  <si>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</si>
  <si>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</si>
  <si>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</si>
  <si>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</si>
  <si>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</si>
  <si>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</si>
  <si>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</si>
  <si>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</si>
  <si>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</si>
  <si>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</si>
  <si>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</si>
  <si>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</si>
  <si>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</si>
  <si>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</si>
  <si>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</si>
  <si>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</si>
  <si>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</si>
  <si>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</si>
  <si>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</si>
  <si>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</si>
  <si>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</si>
  <si>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</si>
  <si>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</si>
  <si>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</si>
  <si>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</si>
  <si>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</si>
  <si>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</si>
  <si>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</si>
  <si>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</si>
  <si>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</si>
  <si>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</si>
  <si>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</si>
  <si>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</si>
  <si>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</si>
  <si>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</si>
  <si>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</si>
  <si>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</si>
  <si>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</si>
  <si>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</si>
  <si>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</si>
  <si>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</si>
  <si>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</si>
  <si>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</si>
  <si>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</si>
  <si>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</si>
  <si>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</si>
  <si>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</si>
  <si>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</si>
  <si>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</si>
  <si>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</si>
  <si>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</si>
  <si>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</si>
  <si>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</si>
  <si>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</si>
  <si>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</si>
  <si>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</si>
  <si>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</si>
  <si>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</si>
  <si>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</si>
  <si>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</si>
  <si>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</si>
  <si>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</si>
  <si>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</si>
  <si>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</si>
  <si>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</si>
  <si>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</si>
  <si>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</si>
  <si>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</si>
  <si>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</si>
  <si>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</si>
  <si>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</si>
  <si>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</si>
  <si>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</si>
  <si>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</si>
  <si>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</si>
  <si>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</si>
  <si>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</si>
  <si>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</si>
  <si>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</si>
  <si>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</si>
  <si>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</si>
  <si>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</si>
  <si>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</si>
  <si>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</si>
  <si>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</si>
  <si>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</si>
  <si>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</si>
  <si>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</si>
  <si>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</si>
  <si>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</si>
  <si>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</si>
  <si>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</si>
  <si>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</si>
  <si>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</si>
  <si>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</si>
  <si>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</si>
  <si>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</si>
  <si>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</si>
  <si>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</si>
  <si>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</si>
  <si>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</si>
  <si>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</si>
  <si>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</si>
  <si>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</si>
  <si>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</si>
  <si>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</si>
  <si>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</si>
  <si>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</si>
  <si>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</si>
  <si>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</si>
  <si>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</si>
  <si>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</si>
  <si>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</si>
  <si>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</si>
  <si>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</si>
  <si>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</si>
  <si>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</si>
  <si>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</si>
  <si>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</si>
  <si>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</si>
  <si>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</si>
  <si>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</si>
  <si>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</si>
  <si>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</si>
  <si>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</si>
  <si>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</si>
  <si>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</si>
  <si>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</si>
  <si>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</si>
  <si>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</si>
  <si>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</si>
  <si>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</si>
  <si>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</si>
  <si>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</si>
  <si>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</si>
  <si>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</si>
  <si>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</si>
  <si>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</si>
  <si>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</si>
  <si>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</si>
  <si>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</si>
  <si>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</si>
  <si>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</si>
  <si>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</si>
  <si>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</si>
  <si>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</si>
  <si>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</si>
  <si>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</si>
  <si>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</si>
  <si>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</si>
  <si>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</si>
  <si>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</si>
  <si>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</si>
  <si>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</si>
  <si>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</si>
  <si>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</si>
  <si>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</si>
  <si>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</si>
  <si>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</si>
  <si>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</si>
  <si>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</si>
  <si>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</si>
  <si>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</si>
  <si>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</si>
  <si>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</si>
  <si>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</si>
  <si>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</si>
  <si>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</si>
  <si>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</si>
  <si>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</si>
  <si>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</si>
  <si>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</si>
  <si>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</si>
  <si>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</si>
  <si>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</si>
  <si>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</si>
  <si>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</si>
  <si>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</si>
  <si>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</si>
  <si>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</si>
  <si>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</si>
  <si>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</si>
  <si>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</si>
  <si>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</si>
  <si>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</si>
  <si>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</si>
  <si>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</si>
  <si>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</si>
  <si>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</si>
  <si>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</si>
  <si>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</si>
  <si>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</si>
  <si>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</si>
  <si>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</si>
  <si>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</si>
  <si>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</si>
  <si>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</si>
  <si>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</si>
  <si>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</si>
  <si>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</si>
  <si>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</si>
  <si>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</si>
  <si>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</si>
  <si>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</si>
  <si>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</si>
  <si>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</si>
  <si>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</si>
  <si>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</si>
  <si>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</si>
  <si>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</si>
  <si>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</si>
  <si>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</si>
  <si>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</si>
  <si>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</si>
  <si>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</si>
  <si>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</si>
  <si>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</si>
  <si>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</si>
  <si>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</si>
  <si>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</si>
  <si>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</si>
  <si>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</si>
  <si>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</si>
  <si>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</si>
  <si>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</si>
  <si>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</si>
  <si>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</si>
  <si>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</si>
  <si>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</si>
  <si>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</si>
  <si>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</si>
  <si>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</si>
  <si>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</si>
  <si>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</si>
  <si>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</si>
  <si>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</si>
  <si>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</si>
  <si>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</si>
  <si>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</si>
  <si>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</si>
  <si>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</si>
  <si>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</si>
  <si>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</si>
  <si>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</si>
  <si>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</si>
  <si>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</si>
  <si>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</si>
  <si>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</si>
  <si>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</si>
  <si>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</si>
  <si>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</si>
  <si>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</si>
  <si>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</si>
  <si>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</si>
  <si>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</si>
  <si>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</si>
  <si>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</si>
  <si>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</si>
  <si>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</si>
  <si>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</si>
  <si>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</si>
  <si>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</si>
  <si>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</si>
  <si>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</si>
  <si>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</si>
  <si>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</si>
  <si>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</si>
  <si>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</si>
  <si>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</si>
  <si>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</si>
  <si>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</si>
  <si>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</si>
  <si>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</si>
  <si>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</si>
  <si>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</si>
  <si>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</si>
  <si>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</si>
  <si>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</si>
  <si>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</si>
  <si>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</si>
  <si>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</si>
  <si>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</si>
  <si>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</si>
  <si>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</si>
  <si>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</si>
  <si>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</si>
  <si>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</si>
  <si>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</si>
  <si>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</si>
  <si>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</si>
  <si>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</si>
  <si>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</si>
  <si>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</si>
  <si>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</si>
  <si>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</si>
  <si>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</si>
  <si>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</si>
  <si>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</si>
  <si>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</si>
  <si>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</si>
  <si>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</si>
  <si>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</si>
  <si>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</si>
  <si>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</si>
  <si>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</si>
  <si>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</si>
  <si>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</si>
  <si>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</si>
  <si>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</si>
  <si>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</si>
  <si>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</si>
  <si>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</si>
  <si>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</si>
  <si>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</si>
  <si>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</si>
  <si>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</si>
  <si>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</si>
  <si>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</si>
  <si>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</si>
  <si>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</si>
  <si>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</si>
  <si>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</si>
  <si>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</si>
  <si>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</si>
  <si>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</si>
  <si>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</si>
  <si>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</si>
  <si>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</si>
  <si>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</si>
  <si>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</si>
  <si>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</si>
  <si>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</si>
  <si>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</si>
  <si>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</si>
  <si>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</si>
  <si>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</si>
  <si>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</si>
  <si>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</si>
  <si>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</si>
  <si>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</si>
  <si>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</si>
  <si>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</si>
  <si>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</si>
  <si>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</si>
  <si>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</si>
  <si>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</si>
  <si>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</si>
  <si>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</si>
  <si>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</si>
  <si>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</si>
  <si>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</si>
  <si>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</si>
  <si>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</si>
  <si>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</si>
  <si>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</si>
  <si>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</si>
  <si>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</si>
  <si>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</si>
  <si>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</si>
  <si>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</si>
  <si>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</si>
  <si>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</si>
  <si>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</si>
  <si>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</si>
  <si>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</si>
  <si>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</si>
  <si>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</si>
  <si>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</si>
  <si>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</si>
  <si>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</si>
  <si>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</si>
  <si>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</si>
  <si>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</si>
  <si>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</si>
  <si>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</si>
  <si>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</si>
  <si>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</si>
  <si>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</si>
  <si>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</si>
  <si>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</si>
  <si>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</si>
  <si>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</si>
  <si>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</si>
  <si>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</si>
  <si>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</si>
  <si>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</si>
  <si>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</si>
  <si>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</si>
  <si>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</si>
  <si>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</si>
  <si>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</si>
  <si>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</si>
  <si>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</si>
  <si>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</si>
  <si>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</si>
  <si>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</si>
  <si>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</si>
  <si>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</si>
  <si>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</si>
  <si>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</si>
  <si>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</si>
  <si>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</si>
  <si>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</si>
  <si>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</si>
  <si>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</si>
  <si>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</si>
  <si>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</si>
  <si>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</si>
  <si>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</si>
  <si>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</si>
  <si>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</si>
  <si>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</si>
  <si>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</si>
  <si>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</si>
  <si>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</si>
  <si>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</si>
  <si>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</si>
  <si>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</si>
  <si>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</si>
  <si>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</si>
  <si>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</si>
  <si>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</si>
  <si>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</si>
  <si>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</si>
  <si>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</si>
  <si>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</si>
  <si>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</si>
  <si>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</si>
  <si>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</si>
  <si>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</si>
  <si>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</si>
  <si>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</si>
  <si>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</si>
  <si>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</si>
  <si>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</si>
  <si>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</si>
  <si>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</si>
  <si>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</si>
  <si>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</si>
  <si>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</si>
  <si>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</si>
  <si>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</si>
  <si>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</si>
  <si>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</si>
  <si>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</si>
  <si>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</si>
  <si>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</si>
  <si>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</si>
  <si>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</si>
  <si>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</si>
  <si>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</si>
  <si>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</si>
  <si>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</si>
  <si>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</si>
  <si>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</si>
  <si>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</si>
  <si>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</si>
  <si>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</si>
  <si>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</si>
  <si>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</si>
  <si>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</si>
  <si>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</si>
  <si>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</si>
  <si>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</si>
  <si>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</si>
  <si>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</si>
  <si>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</si>
  <si>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</si>
  <si>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</si>
  <si>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</si>
  <si>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</si>
  <si>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</si>
  <si>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</si>
  <si>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</si>
  <si>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</si>
  <si>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</si>
  <si>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</si>
  <si>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</si>
  <si>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</si>
  <si>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</si>
  <si>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</si>
  <si>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</si>
  <si>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</si>
  <si>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</si>
  <si>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</si>
  <si>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</si>
  <si>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</si>
  <si>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</si>
  <si>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</si>
  <si>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</si>
  <si>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</si>
  <si>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</si>
  <si>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</si>
  <si>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</si>
  <si>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</si>
  <si>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</si>
  <si>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</si>
  <si>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</si>
  <si>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</si>
  <si>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</si>
  <si>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</si>
  <si>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</si>
  <si>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</si>
  <si>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</si>
  <si>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</si>
  <si>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</si>
  <si>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</si>
  <si>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</si>
  <si>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</si>
  <si>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</si>
  <si>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</si>
  <si>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</si>
  <si>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</si>
  <si>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</si>
  <si>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</si>
  <si>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</si>
  <si>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</si>
  <si>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</si>
  <si>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</si>
  <si>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</si>
  <si>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</si>
  <si>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</si>
  <si>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</si>
  <si>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</si>
  <si>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</si>
  <si>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</si>
  <si>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</si>
  <si>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23009</t>
  </si>
  <si>
    <t>BEVER</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</si>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</sst>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24594.787272050562</c:v>
                </c:pt>
                <c:pt idx="1">
                  <c:v>1801.8663982320925</c:v>
                </c:pt>
                <c:pt idx="2">
                  <c:v>170.55699999999999</c:v>
                </c:pt>
                <c:pt idx="3">
                  <c:v>2232.2365331971841</c:v>
                </c:pt>
                <c:pt idx="4">
                  <c:v>177.02690045441295</c:v>
                </c:pt>
                <c:pt idx="5">
                  <c:v>7618.6995504325932</c:v>
                </c:pt>
                <c:pt idx="6">
                  <c:v>135.6757159268339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24594.787272050562</c:v>
                </c:pt>
                <c:pt idx="1">
                  <c:v>1801.8663982320925</c:v>
                </c:pt>
                <c:pt idx="2">
                  <c:v>170.55699999999999</c:v>
                </c:pt>
                <c:pt idx="3">
                  <c:v>2232.2365331971841</c:v>
                </c:pt>
                <c:pt idx="4">
                  <c:v>177.02690045441295</c:v>
                </c:pt>
                <c:pt idx="5">
                  <c:v>7618.6995504325932</c:v>
                </c:pt>
                <c:pt idx="6">
                  <c:v>135.6757159268339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4826.5417780842627</c:v>
                </c:pt>
                <c:pt idx="2">
                  <c:v>360.30956931724103</c:v>
                </c:pt>
                <c:pt idx="3">
                  <c:v>33.39444380854205</c:v>
                </c:pt>
                <c:pt idx="4">
                  <c:v>567.26479473815391</c:v>
                </c:pt>
                <c:pt idx="5">
                  <c:v>32.160381278996397</c:v>
                </c:pt>
                <c:pt idx="6">
                  <c:v>1942.9397463702819</c:v>
                </c:pt>
                <c:pt idx="7">
                  <c:v>35.135588792821245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43840"/>
        <c:axId val="183988992"/>
      </c:barChart>
      <c:catAx>
        <c:axId val="183843840"/>
        <c:scaling>
          <c:orientation val="minMax"/>
        </c:scaling>
        <c:axPos val="b"/>
        <c:numFmt formatCode="General" sourceLinked="0"/>
        <c:tickLblPos val="nextTo"/>
        <c:crossAx val="183988992"/>
        <c:crosses val="autoZero"/>
        <c:auto val="1"/>
        <c:lblAlgn val="ctr"/>
        <c:lblOffset val="100"/>
      </c:catAx>
      <c:valAx>
        <c:axId val="183988992"/>
        <c:scaling>
          <c:orientation val="minMax"/>
        </c:scaling>
        <c:axPos val="l"/>
        <c:majorGridlines/>
        <c:numFmt formatCode="#,##0" sourceLinked="1"/>
        <c:tickLblPos val="nextTo"/>
        <c:crossAx val="18384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4826.5417780842627</c:v>
                </c:pt>
                <c:pt idx="2">
                  <c:v>360.30956931724103</c:v>
                </c:pt>
                <c:pt idx="3">
                  <c:v>33.39444380854205</c:v>
                </c:pt>
                <c:pt idx="4">
                  <c:v>567.26479473815391</c:v>
                </c:pt>
                <c:pt idx="5">
                  <c:v>32.160381278996397</c:v>
                </c:pt>
                <c:pt idx="6">
                  <c:v>1942.9397463702819</c:v>
                </c:pt>
                <c:pt idx="7">
                  <c:v>35.135588792821245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23009</v>
      </c>
      <c r="B6" s="415"/>
      <c r="C6" s="416"/>
    </row>
    <row r="7" spans="1:7" s="413" customFormat="1" ht="15.75" customHeight="1">
      <c r="A7" s="417" t="str">
        <f>txtMunicipality</f>
        <v>BEVER</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0.19579638366377256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0.19579638366377256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872</v>
      </c>
      <c r="C9" s="342">
        <v>906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1468.05</v>
      </c>
    </row>
    <row r="15" spans="1:6">
      <c r="A15" s="348" t="s">
        <v>184</v>
      </c>
      <c r="B15" s="334">
        <v>11</v>
      </c>
    </row>
    <row r="16" spans="1:6">
      <c r="A16" s="348" t="s">
        <v>6</v>
      </c>
      <c r="B16" s="334">
        <v>301</v>
      </c>
    </row>
    <row r="17" spans="1:6">
      <c r="A17" s="348" t="s">
        <v>7</v>
      </c>
      <c r="B17" s="334">
        <v>795</v>
      </c>
    </row>
    <row r="18" spans="1:6">
      <c r="A18" s="348" t="s">
        <v>8</v>
      </c>
      <c r="B18" s="334">
        <v>842</v>
      </c>
    </row>
    <row r="19" spans="1:6">
      <c r="A19" s="348" t="s">
        <v>9</v>
      </c>
      <c r="B19" s="334">
        <v>727</v>
      </c>
    </row>
    <row r="20" spans="1:6">
      <c r="A20" s="348" t="s">
        <v>10</v>
      </c>
      <c r="B20" s="334">
        <v>554</v>
      </c>
    </row>
    <row r="21" spans="1:6">
      <c r="A21" s="348" t="s">
        <v>11</v>
      </c>
      <c r="B21" s="334">
        <v>6</v>
      </c>
    </row>
    <row r="22" spans="1:6">
      <c r="A22" s="348" t="s">
        <v>12</v>
      </c>
      <c r="B22" s="334">
        <v>7</v>
      </c>
    </row>
    <row r="23" spans="1:6">
      <c r="A23" s="348" t="s">
        <v>13</v>
      </c>
      <c r="B23" s="334">
        <v>0</v>
      </c>
    </row>
    <row r="24" spans="1:6">
      <c r="A24" s="348" t="s">
        <v>14</v>
      </c>
      <c r="B24" s="334">
        <v>0</v>
      </c>
    </row>
    <row r="25" spans="1:6">
      <c r="A25" s="348" t="s">
        <v>15</v>
      </c>
      <c r="B25" s="334">
        <v>2</v>
      </c>
    </row>
    <row r="26" spans="1:6">
      <c r="A26" s="348" t="s">
        <v>16</v>
      </c>
      <c r="B26" s="334">
        <v>7</v>
      </c>
    </row>
    <row r="27" spans="1:6">
      <c r="A27" s="348" t="s">
        <v>17</v>
      </c>
      <c r="B27" s="334">
        <v>0</v>
      </c>
    </row>
    <row r="28" spans="1:6" s="356" customFormat="1">
      <c r="A28" s="355" t="s">
        <v>18</v>
      </c>
      <c r="B28" s="355">
        <v>25771</v>
      </c>
    </row>
    <row r="29" spans="1:6">
      <c r="A29" s="355" t="s">
        <v>884</v>
      </c>
      <c r="B29" s="355">
        <v>37</v>
      </c>
      <c r="C29" s="356"/>
      <c r="D29" s="356"/>
      <c r="E29" s="356"/>
      <c r="F29" s="356"/>
    </row>
    <row r="30" spans="1:6">
      <c r="A30" s="355" t="s">
        <v>885</v>
      </c>
      <c r="B30" s="341">
        <v>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141</v>
      </c>
      <c r="D39" s="334">
        <v>2237044.9652999998</v>
      </c>
      <c r="E39" s="334">
        <v>777</v>
      </c>
      <c r="F39" s="334">
        <v>3734614.0310999998</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12</v>
      </c>
      <c r="F48" s="334">
        <v>119475.41744999999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28</v>
      </c>
      <c r="F51" s="334">
        <v>380727.82747000002</v>
      </c>
    </row>
    <row r="52" spans="1:6">
      <c r="A52" s="348" t="s">
        <v>42</v>
      </c>
      <c r="B52" s="348" t="s">
        <v>29</v>
      </c>
      <c r="C52" s="334">
        <v>2</v>
      </c>
      <c r="D52" s="334">
        <v>23546.180737999999</v>
      </c>
      <c r="E52" s="334">
        <v>5</v>
      </c>
      <c r="F52" s="334">
        <v>77515.790722000005</v>
      </c>
    </row>
    <row r="53" spans="1:6">
      <c r="A53" s="348" t="s">
        <v>44</v>
      </c>
      <c r="B53" s="348" t="s">
        <v>45</v>
      </c>
      <c r="C53" s="334">
        <v>5</v>
      </c>
      <c r="D53" s="334">
        <v>39653.185767000003</v>
      </c>
      <c r="E53" s="334">
        <v>31</v>
      </c>
      <c r="F53" s="334">
        <v>225175.37437000001</v>
      </c>
    </row>
    <row r="54" spans="1:6">
      <c r="A54" s="348" t="s">
        <v>46</v>
      </c>
      <c r="B54" s="348" t="s">
        <v>47</v>
      </c>
      <c r="C54" s="334">
        <v>0</v>
      </c>
      <c r="D54" s="334">
        <v>0</v>
      </c>
      <c r="E54" s="334">
        <v>1</v>
      </c>
      <c r="F54" s="334">
        <v>170557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3</v>
      </c>
      <c r="F57" s="334">
        <v>12481.015880000001</v>
      </c>
    </row>
    <row r="58" spans="1:6">
      <c r="A58" s="348" t="s">
        <v>49</v>
      </c>
      <c r="B58" s="348" t="s">
        <v>51</v>
      </c>
      <c r="C58" s="334">
        <v>0</v>
      </c>
      <c r="D58" s="334">
        <v>0</v>
      </c>
      <c r="E58" s="334">
        <v>3</v>
      </c>
      <c r="F58" s="334">
        <v>5160.8521656000003</v>
      </c>
    </row>
    <row r="59" spans="1:6">
      <c r="A59" s="348" t="s">
        <v>49</v>
      </c>
      <c r="B59" s="348" t="s">
        <v>52</v>
      </c>
      <c r="C59" s="334">
        <v>0</v>
      </c>
      <c r="D59" s="334">
        <v>0</v>
      </c>
      <c r="E59" s="334">
        <v>0</v>
      </c>
      <c r="F59" s="334">
        <v>0</v>
      </c>
    </row>
    <row r="60" spans="1:6">
      <c r="A60" s="348" t="s">
        <v>49</v>
      </c>
      <c r="B60" s="348" t="s">
        <v>53</v>
      </c>
      <c r="C60" s="334">
        <v>0</v>
      </c>
      <c r="D60" s="334">
        <v>0</v>
      </c>
      <c r="E60" s="334">
        <v>6</v>
      </c>
      <c r="F60" s="334">
        <v>97488.173439000006</v>
      </c>
    </row>
    <row r="61" spans="1:6">
      <c r="A61" s="348" t="s">
        <v>49</v>
      </c>
      <c r="B61" s="348" t="s">
        <v>54</v>
      </c>
      <c r="C61" s="334">
        <v>11</v>
      </c>
      <c r="D61" s="334">
        <v>311994.84756000002</v>
      </c>
      <c r="E61" s="334">
        <v>4</v>
      </c>
      <c r="F61" s="334">
        <v>9148.7842603999998</v>
      </c>
    </row>
    <row r="62" spans="1:6">
      <c r="A62" s="348" t="s">
        <v>49</v>
      </c>
      <c r="B62" s="348" t="s">
        <v>55</v>
      </c>
      <c r="C62" s="334">
        <v>0</v>
      </c>
      <c r="D62" s="334">
        <v>0</v>
      </c>
      <c r="E62" s="334">
        <v>0</v>
      </c>
      <c r="F62" s="334">
        <v>0</v>
      </c>
    </row>
    <row r="63" spans="1:6">
      <c r="A63" s="348" t="s">
        <v>49</v>
      </c>
      <c r="B63" s="348" t="s">
        <v>29</v>
      </c>
      <c r="C63" s="334">
        <v>18</v>
      </c>
      <c r="D63" s="334">
        <v>573960.17773999996</v>
      </c>
      <c r="E63" s="334">
        <v>45</v>
      </c>
      <c r="F63" s="334">
        <v>599259.71936999995</v>
      </c>
    </row>
    <row r="64" spans="1:6">
      <c r="A64" s="348" t="s">
        <v>56</v>
      </c>
      <c r="B64" s="348" t="s">
        <v>57</v>
      </c>
      <c r="C64" s="334">
        <v>0</v>
      </c>
      <c r="D64" s="334">
        <v>0</v>
      </c>
      <c r="E64" s="334">
        <v>0</v>
      </c>
      <c r="F64" s="334">
        <v>0</v>
      </c>
    </row>
    <row r="65" spans="1:6">
      <c r="A65" s="348" t="s">
        <v>56</v>
      </c>
      <c r="B65" s="348" t="s">
        <v>29</v>
      </c>
      <c r="C65" s="334">
        <v>0</v>
      </c>
      <c r="D65" s="334">
        <v>0</v>
      </c>
      <c r="E65" s="334">
        <v>3</v>
      </c>
      <c r="F65" s="334">
        <v>2709.6172090999999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6216439</v>
      </c>
      <c r="E73" s="475">
        <v>6680004.063740937</v>
      </c>
    </row>
    <row r="74" spans="1:6">
      <c r="A74" s="348" t="s">
        <v>64</v>
      </c>
      <c r="B74" s="348" t="s">
        <v>667</v>
      </c>
      <c r="C74" s="1294" t="s">
        <v>669</v>
      </c>
      <c r="D74" s="475">
        <v>210463.67619050838</v>
      </c>
      <c r="E74" s="475">
        <v>218864.48434292321</v>
      </c>
    </row>
    <row r="75" spans="1:6">
      <c r="A75" s="348" t="s">
        <v>65</v>
      </c>
      <c r="B75" s="348" t="s">
        <v>666</v>
      </c>
      <c r="C75" s="1294" t="s">
        <v>670</v>
      </c>
      <c r="D75" s="475">
        <v>3707165</v>
      </c>
      <c r="E75" s="475">
        <v>3983215.8554610447</v>
      </c>
    </row>
    <row r="76" spans="1:6">
      <c r="A76" s="348" t="s">
        <v>65</v>
      </c>
      <c r="B76" s="348" t="s">
        <v>667</v>
      </c>
      <c r="C76" s="1294" t="s">
        <v>671</v>
      </c>
      <c r="D76" s="475">
        <v>9985.6761905083913</v>
      </c>
      <c r="E76" s="475">
        <v>10986.099928143452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36440.647618983217</v>
      </c>
      <c r="C83" s="475">
        <v>36440.647618983217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385.34970137039124</v>
      </c>
    </row>
    <row r="92" spans="1:6">
      <c r="A92" s="341" t="s">
        <v>69</v>
      </c>
      <c r="B92" s="342">
        <v>278.30133365786577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v>
      </c>
    </row>
    <row r="98" spans="1:6">
      <c r="A98" s="348" t="s">
        <v>72</v>
      </c>
      <c r="B98" s="334">
        <v>0</v>
      </c>
    </row>
    <row r="99" spans="1:6">
      <c r="A99" s="348" t="s">
        <v>73</v>
      </c>
      <c r="B99" s="334">
        <v>86</v>
      </c>
    </row>
    <row r="100" spans="1:6">
      <c r="A100" s="348" t="s">
        <v>74</v>
      </c>
      <c r="B100" s="334">
        <v>49</v>
      </c>
    </row>
    <row r="101" spans="1:6">
      <c r="A101" s="348" t="s">
        <v>75</v>
      </c>
      <c r="B101" s="334">
        <v>41</v>
      </c>
    </row>
    <row r="102" spans="1:6">
      <c r="A102" s="348" t="s">
        <v>76</v>
      </c>
      <c r="B102" s="334">
        <v>11</v>
      </c>
    </row>
    <row r="103" spans="1:6">
      <c r="A103" s="348" t="s">
        <v>77</v>
      </c>
      <c r="B103" s="334">
        <v>38</v>
      </c>
    </row>
    <row r="104" spans="1:6">
      <c r="A104" s="348" t="s">
        <v>78</v>
      </c>
      <c r="B104" s="334">
        <v>523</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18</v>
      </c>
    </row>
    <row r="130" spans="1:6">
      <c r="A130" s="348" t="s">
        <v>295</v>
      </c>
      <c r="B130" s="334">
        <v>0</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5819.2791377492613</v>
      </c>
      <c r="C3" s="43" t="s">
        <v>170</v>
      </c>
      <c r="D3" s="43"/>
      <c r="E3" s="154"/>
      <c r="F3" s="43"/>
      <c r="G3" s="43"/>
      <c r="H3" s="43"/>
      <c r="I3" s="43"/>
      <c r="J3" s="43"/>
      <c r="K3" s="96"/>
    </row>
    <row r="4" spans="1:11">
      <c r="A4" s="383" t="s">
        <v>171</v>
      </c>
      <c r="B4" s="49">
        <f>IF(ISERROR('SEAP template'!B78+'SEAP template'!C78),0,'SEAP template'!B78+'SEAP template'!C78)</f>
        <v>663.65103502825696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0.19579638366377256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170.55699999999999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170.55699999999999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0.19579638366377256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33.39444380854205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3734.6140310999999</v>
      </c>
      <c r="C5" s="17">
        <f>IF(ISERROR('Eigen informatie GS &amp; warmtenet'!B57),0,'Eigen informatie GS &amp; warmtenet'!B57)</f>
        <v>0</v>
      </c>
      <c r="D5" s="30">
        <f>(SUM(HH_hh_gas_kWh,HH_rest_gas_kWh)/1000)*0.902</f>
        <v>2017.8145587005997</v>
      </c>
      <c r="E5" s="17">
        <f>B46*B57</f>
        <v>3326.6286556166838</v>
      </c>
      <c r="F5" s="17">
        <f>B51*B62</f>
        <v>9707.6510703304775</v>
      </c>
      <c r="G5" s="18"/>
      <c r="H5" s="17"/>
      <c r="I5" s="17"/>
      <c r="J5" s="17">
        <f>B50*B61+C50*C61</f>
        <v>749.10083892631644</v>
      </c>
      <c r="K5" s="17"/>
      <c r="L5" s="17"/>
      <c r="M5" s="17"/>
      <c r="N5" s="17">
        <f>B48*B59+C48*C59</f>
        <v>4504.2050826727655</v>
      </c>
      <c r="O5" s="17">
        <f>B69*B70*B71</f>
        <v>35.956666666666671</v>
      </c>
      <c r="P5" s="17">
        <f>B77*B78*B79/1000-B77*B78*B79/1000/B80</f>
        <v>133.46666666666667</v>
      </c>
    </row>
    <row r="6" spans="1:16">
      <c r="A6" s="16" t="s">
        <v>624</v>
      </c>
      <c r="B6" s="788">
        <f>kWh_PV_kleiner_dan_10kW</f>
        <v>385.34970137039124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4119.9637324703908</v>
      </c>
      <c r="C8" s="21">
        <f>C5</f>
        <v>0</v>
      </c>
      <c r="D8" s="21">
        <f>D5</f>
        <v>2017.8145587005997</v>
      </c>
      <c r="E8" s="21">
        <f>E5</f>
        <v>3326.6286556166838</v>
      </c>
      <c r="F8" s="21">
        <f>F5</f>
        <v>9707.6510703304775</v>
      </c>
      <c r="G8" s="21"/>
      <c r="H8" s="21"/>
      <c r="I8" s="21"/>
      <c r="J8" s="21">
        <f>J5</f>
        <v>749.10083892631644</v>
      </c>
      <c r="K8" s="21"/>
      <c r="L8" s="21">
        <f>L5</f>
        <v>0</v>
      </c>
      <c r="M8" s="21">
        <f>M5</f>
        <v>0</v>
      </c>
      <c r="N8" s="21">
        <f>N5</f>
        <v>4504.2050826727655</v>
      </c>
      <c r="O8" s="21">
        <f>O5</f>
        <v>35.956666666666671</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0.19579638366377256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806.67399964360106</v>
      </c>
      <c r="C12" s="23">
        <f ca="1">C10*C8</f>
        <v>0</v>
      </c>
      <c r="D12" s="23">
        <f>D8*D10</f>
        <v>407.59854085752119</v>
      </c>
      <c r="E12" s="23">
        <f>E10*E8</f>
        <v>755.14470482498723</v>
      </c>
      <c r="F12" s="23">
        <f>F10*F8</f>
        <v>2591.9428357782376</v>
      </c>
      <c r="G12" s="23"/>
      <c r="H12" s="23"/>
      <c r="I12" s="23"/>
      <c r="J12" s="23">
        <f>J10*J8</f>
        <v>265.18169697991601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v>
      </c>
      <c r="C18" s="166" t="s">
        <v>111</v>
      </c>
      <c r="D18" s="228"/>
      <c r="E18" s="15"/>
    </row>
    <row r="19" spans="1:7">
      <c r="A19" s="171" t="s">
        <v>72</v>
      </c>
      <c r="B19" s="37">
        <f>aantalw2001_ander</f>
        <v>0</v>
      </c>
      <c r="C19" s="166" t="s">
        <v>111</v>
      </c>
      <c r="D19" s="229"/>
      <c r="E19" s="15"/>
    </row>
    <row r="20" spans="1:7">
      <c r="A20" s="171" t="s">
        <v>73</v>
      </c>
      <c r="B20" s="37">
        <f>aantalw2001_propaan</f>
        <v>86</v>
      </c>
      <c r="C20" s="167">
        <f>IF(ISERROR(B20/SUM($B$20,$B$21,$B$22)*100),0,B20/SUM($B$20,$B$21,$B$22)*100)</f>
        <v>48.863636363636367</v>
      </c>
      <c r="D20" s="229"/>
      <c r="E20" s="15"/>
    </row>
    <row r="21" spans="1:7">
      <c r="A21" s="171" t="s">
        <v>74</v>
      </c>
      <c r="B21" s="37">
        <f>aantalw2001_elektriciteit</f>
        <v>49</v>
      </c>
      <c r="C21" s="167">
        <f>IF(ISERROR(B21/SUM($B$20,$B$21,$B$22)*100),0,B21/SUM($B$20,$B$21,$B$22)*100)</f>
        <v>27.84090909090909</v>
      </c>
      <c r="D21" s="229"/>
      <c r="E21" s="15"/>
    </row>
    <row r="22" spans="1:7">
      <c r="A22" s="171" t="s">
        <v>75</v>
      </c>
      <c r="B22" s="37">
        <f>aantalw2001_hout</f>
        <v>41</v>
      </c>
      <c r="C22" s="167">
        <f>IF(ISERROR(B22/SUM($B$20,$B$21,$B$22)*100),0,B22/SUM($B$20,$B$21,$B$22)*100)</f>
        <v>23.295454545454543</v>
      </c>
      <c r="D22" s="229"/>
      <c r="E22" s="15"/>
    </row>
    <row r="23" spans="1:7">
      <c r="A23" s="171" t="s">
        <v>76</v>
      </c>
      <c r="B23" s="37">
        <f>aantalw2001_niet_gespec</f>
        <v>11</v>
      </c>
      <c r="C23" s="166" t="s">
        <v>111</v>
      </c>
      <c r="D23" s="228"/>
      <c r="E23" s="15"/>
    </row>
    <row r="24" spans="1:7">
      <c r="A24" s="171" t="s">
        <v>77</v>
      </c>
      <c r="B24" s="37">
        <f>aantalw2001_steenkool</f>
        <v>38</v>
      </c>
      <c r="C24" s="166" t="s">
        <v>111</v>
      </c>
      <c r="D24" s="229"/>
      <c r="E24" s="15"/>
    </row>
    <row r="25" spans="1:7">
      <c r="A25" s="171" t="s">
        <v>78</v>
      </c>
      <c r="B25" s="37">
        <f>aantalw2001_stookolie</f>
        <v>523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872</v>
      </c>
      <c r="C28" s="36"/>
      <c r="D28" s="228"/>
    </row>
    <row r="29" spans="1:7" s="15" customFormat="1">
      <c r="A29" s="230" t="s">
        <v>699</v>
      </c>
      <c r="B29" s="37">
        <f>SUM(HH_hh_gas_aantal,HH_rest_gas_aantal)</f>
        <v>141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141</v>
      </c>
      <c r="C32" s="167">
        <f>IF(ISERROR(B32/SUM($B$32,$B$34,$B$35,$B$36,$B$38,$B$39)*100),0,B32/SUM($B$32,$B$34,$B$35,$B$36,$B$38,$B$39)*100)</f>
        <v>16.300578034682083</v>
      </c>
      <c r="D32" s="233"/>
      <c r="G32" s="15"/>
    </row>
    <row r="33" spans="1:7">
      <c r="A33" s="171" t="s">
        <v>72</v>
      </c>
      <c r="B33" s="34" t="s">
        <v>111</v>
      </c>
      <c r="C33" s="167"/>
      <c r="D33" s="233"/>
      <c r="G33" s="15"/>
    </row>
    <row r="34" spans="1:7">
      <c r="A34" s="171" t="s">
        <v>73</v>
      </c>
      <c r="B34" s="33">
        <f>IF((($B$28-$B$32-$B$39-$B$77-$B$38)*C20/100)&lt;0,0,($B$28-$B$32-$B$39-$B$77-$B$38)*C20/100)</f>
        <v>147.07954545454547</v>
      </c>
      <c r="C34" s="167">
        <f>IF(ISERROR(B34/SUM($B$32,$B$34,$B$35,$B$36,$B$38,$B$39)*100),0,B34/SUM($B$32,$B$34,$B$35,$B$36,$B$38,$B$39)*100)</f>
        <v>17.003415659485025</v>
      </c>
      <c r="D34" s="233"/>
      <c r="G34" s="15"/>
    </row>
    <row r="35" spans="1:7">
      <c r="A35" s="171" t="s">
        <v>74</v>
      </c>
      <c r="B35" s="33">
        <f>IF((($B$28-$B$32-$B$39-$B$77-$B$38)*C21/100)&lt;0,0,($B$28-$B$32-$B$39-$B$77-$B$38)*C21/100)</f>
        <v>83.80113636363636</v>
      </c>
      <c r="C35" s="167">
        <f>IF(ISERROR(B35/SUM($B$32,$B$34,$B$35,$B$36,$B$38,$B$39)*100),0,B35/SUM($B$32,$B$34,$B$35,$B$36,$B$38,$B$39)*100)</f>
        <v>9.6879926431949546</v>
      </c>
      <c r="D35" s="233"/>
      <c r="G35" s="15"/>
    </row>
    <row r="36" spans="1:7">
      <c r="A36" s="171" t="s">
        <v>75</v>
      </c>
      <c r="B36" s="33">
        <f>IF((($B$28-$B$32-$B$39-$B$77-$B$38)*C22/100)&lt;0,0,($B$28-$B$32-$B$39-$B$77-$B$38)*C22/100)</f>
        <v>70.119318181818173</v>
      </c>
      <c r="C36" s="167">
        <f>IF(ISERROR(B36/SUM($B$32,$B$34,$B$35,$B$36,$B$38,$B$39)*100),0,B36/SUM($B$32,$B$34,$B$35,$B$36,$B$38,$B$39)*100)</f>
        <v>8.1062795585916962</v>
      </c>
      <c r="D36" s="233"/>
      <c r="G36" s="15"/>
    </row>
    <row r="37" spans="1:7">
      <c r="A37" s="171" t="s">
        <v>76</v>
      </c>
      <c r="B37" s="34" t="s">
        <v>111</v>
      </c>
      <c r="C37" s="167"/>
      <c r="D37" s="173"/>
      <c r="G37" s="15"/>
    </row>
    <row r="38" spans="1:7">
      <c r="A38" s="171" t="s">
        <v>77</v>
      </c>
      <c r="B38" s="33">
        <f>IF((B24-(B29-B18)*0.1)&lt;0,0,B24-(B29-B18)*0.1)</f>
        <v>24.2</v>
      </c>
      <c r="C38" s="167">
        <f>IF(ISERROR(B38/SUM($B$32,$B$34,$B$35,$B$36,$B$38,$B$39)*100),0,B38/SUM($B$32,$B$34,$B$35,$B$36,$B$38,$B$39)*100)</f>
        <v>2.7976878612716765</v>
      </c>
      <c r="D38" s="234"/>
      <c r="G38" s="15"/>
    </row>
    <row r="39" spans="1:7">
      <c r="A39" s="171" t="s">
        <v>78</v>
      </c>
      <c r="B39" s="33">
        <f>IF((B25-(B29-B18))&lt;0,0,B25-(B29-B18)*0.9)</f>
        <v>398.8</v>
      </c>
      <c r="C39" s="167">
        <f>IF(ISERROR(B39/SUM($B$32,$B$34,$B$35,$B$36,$B$38,$B$39)*100),0,B39/SUM($B$32,$B$34,$B$35,$B$36,$B$38,$B$39)*100)</f>
        <v>46.104046242774565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141</v>
      </c>
      <c r="C44" s="34" t="s">
        <v>111</v>
      </c>
      <c r="D44" s="174"/>
    </row>
    <row r="45" spans="1:7">
      <c r="A45" s="171" t="s">
        <v>72</v>
      </c>
      <c r="B45" s="33" t="str">
        <f t="shared" si="0"/>
        <v>-</v>
      </c>
      <c r="C45" s="34" t="s">
        <v>111</v>
      </c>
      <c r="D45" s="174"/>
    </row>
    <row r="46" spans="1:7">
      <c r="A46" s="171" t="s">
        <v>73</v>
      </c>
      <c r="B46" s="33">
        <f t="shared" si="0"/>
        <v>147.07954545454547</v>
      </c>
      <c r="C46" s="34" t="s">
        <v>111</v>
      </c>
      <c r="D46" s="174"/>
    </row>
    <row r="47" spans="1:7">
      <c r="A47" s="171" t="s">
        <v>74</v>
      </c>
      <c r="B47" s="33">
        <f t="shared" si="0"/>
        <v>83.80113636363636</v>
      </c>
      <c r="C47" s="34" t="s">
        <v>111</v>
      </c>
      <c r="D47" s="174"/>
    </row>
    <row r="48" spans="1:7">
      <c r="A48" s="171" t="s">
        <v>75</v>
      </c>
      <c r="B48" s="33">
        <f t="shared" si="0"/>
        <v>70.119318181818173</v>
      </c>
      <c r="C48" s="33">
        <f>B48*10</f>
        <v>701.19318181818176</v>
      </c>
      <c r="D48" s="234"/>
    </row>
    <row r="49" spans="1:6">
      <c r="A49" s="171" t="s">
        <v>76</v>
      </c>
      <c r="B49" s="33" t="str">
        <f t="shared" si="0"/>
        <v>-</v>
      </c>
      <c r="C49" s="34" t="s">
        <v>111</v>
      </c>
      <c r="D49" s="234"/>
    </row>
    <row r="50" spans="1:6">
      <c r="A50" s="171" t="s">
        <v>77</v>
      </c>
      <c r="B50" s="33">
        <f t="shared" si="0"/>
        <v>24.2</v>
      </c>
      <c r="C50" s="33">
        <f>B50*2</f>
        <v>48.4</v>
      </c>
      <c r="D50" s="234"/>
    </row>
    <row r="51" spans="1:6">
      <c r="A51" s="171" t="s">
        <v>78</v>
      </c>
      <c r="B51" s="33">
        <f t="shared" si="0"/>
        <v>398.8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723.53854511500003</v>
      </c>
      <c r="C5" s="17">
        <f>IF(ISERROR('Eigen informatie GS &amp; warmtenet'!B58),0,'Eigen informatie GS &amp; warmtenet'!B58)</f>
        <v>0</v>
      </c>
      <c r="D5" s="30">
        <f>SUM(D6:D12)</f>
        <v>799.13143282060014</v>
      </c>
      <c r="E5" s="17">
        <f>SUM(E6:E12)</f>
        <v>13.916336853883621</v>
      </c>
      <c r="F5" s="17">
        <f>SUM(F6:F12)</f>
        <v>202.47108931379728</v>
      </c>
      <c r="G5" s="18"/>
      <c r="H5" s="17"/>
      <c r="I5" s="17"/>
      <c r="J5" s="17">
        <f>SUM(J6:J12)</f>
        <v>0</v>
      </c>
      <c r="K5" s="17"/>
      <c r="L5" s="17"/>
      <c r="M5" s="17"/>
      <c r="N5" s="17">
        <f>SUM(N6:N12)</f>
        <v>62.808994128811406</v>
      </c>
      <c r="O5" s="17">
        <f>B38*B39*B40</f>
        <v>0</v>
      </c>
      <c r="P5" s="17">
        <f>B46*B47*B48/1000-B46*B47*B48/1000/B49</f>
        <v>0</v>
      </c>
      <c r="R5" s="32"/>
    </row>
    <row r="6" spans="1:18">
      <c r="A6" s="32" t="s">
        <v>54</v>
      </c>
      <c r="B6" s="37">
        <f>B26</f>
        <v>9.1487842603999994</v>
      </c>
      <c r="C6" s="33"/>
      <c r="D6" s="37">
        <f>IF(ISERROR(TER_kantoor_gas_kWh/1000),0,TER_kantoor_gas_kWh/1000)*0.902</f>
        <v>281.41935249912007</v>
      </c>
      <c r="E6" s="33">
        <f>$C$26*'E Balans VL '!I12/100/3.6*1000000</f>
        <v>0.11976885563669759</v>
      </c>
      <c r="F6" s="33">
        <f>$C$26*('E Balans VL '!L12+'E Balans VL '!N12)/100/3.6*1000000</f>
        <v>2.3328454463969854</v>
      </c>
      <c r="G6" s="34"/>
      <c r="H6" s="33"/>
      <c r="I6" s="33"/>
      <c r="J6" s="33">
        <f>$C$26*('E Balans VL '!D12+'E Balans VL '!E12)/100/3.6*1000000</f>
        <v>0</v>
      </c>
      <c r="K6" s="33"/>
      <c r="L6" s="33"/>
      <c r="M6" s="33"/>
      <c r="N6" s="33">
        <f>$C$26*'E Balans VL '!Y12/100/3.6*1000000</f>
        <v>9.1795923013623069E-3</v>
      </c>
      <c r="O6" s="33"/>
      <c r="P6" s="33"/>
      <c r="R6" s="32"/>
    </row>
    <row r="7" spans="1:18">
      <c r="A7" s="32" t="s">
        <v>53</v>
      </c>
      <c r="B7" s="37">
        <f t="shared" ref="B7:B12" si="0">B27</f>
        <v>97.488173439000008</v>
      </c>
      <c r="C7" s="33"/>
      <c r="D7" s="37">
        <f>IF(ISERROR(TER_horeca_gas_kWh/1000),0,TER_horeca_gas_kWh/1000)*0.902</f>
        <v>0</v>
      </c>
      <c r="E7" s="33">
        <f>$C$27*'E Balans VL '!I9/100/3.6*1000000</f>
        <v>3.2262655401646358</v>
      </c>
      <c r="F7" s="33">
        <f>$C$27*('E Balans VL '!L9+'E Balans VL '!N9)/100/3.6*1000000</f>
        <v>41.919540958833458</v>
      </c>
      <c r="G7" s="34"/>
      <c r="H7" s="33"/>
      <c r="I7" s="33"/>
      <c r="J7" s="33">
        <f>$C$27*('E Balans VL '!D9+'E Balans VL '!E9)/100/3.6*1000000</f>
        <v>0</v>
      </c>
      <c r="K7" s="33"/>
      <c r="L7" s="33"/>
      <c r="M7" s="33"/>
      <c r="N7" s="33">
        <f>$C$27*'E Balans VL '!Y9/100/3.6*1000000</f>
        <v>2.3466819030404006E-2</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5.1608521656000006</v>
      </c>
      <c r="C9" s="33"/>
      <c r="D9" s="37">
        <f>IF(ISERROR(TER_gezond_gas_kWh/1000),0,TER_gezond_gas_kWh/1000)*0.902</f>
        <v>0</v>
      </c>
      <c r="E9" s="33">
        <f>$C$29*'E Balans VL '!I10/100/3.6*1000000</f>
        <v>6.6074005457699976E-4</v>
      </c>
      <c r="F9" s="33">
        <f>$C$29*('E Balans VL '!L10+'E Balans VL '!N10)/100/3.6*1000000</f>
        <v>1.0752218172322248</v>
      </c>
      <c r="G9" s="34"/>
      <c r="H9" s="33"/>
      <c r="I9" s="33"/>
      <c r="J9" s="33">
        <f>$C$29*('E Balans VL '!D10+'E Balans VL '!E10)/100/3.6*1000000</f>
        <v>0</v>
      </c>
      <c r="K9" s="33"/>
      <c r="L9" s="33"/>
      <c r="M9" s="33"/>
      <c r="N9" s="33">
        <f>$C$29*'E Balans VL '!Y10/100/3.6*1000000</f>
        <v>6.0616648024395252E-2</v>
      </c>
      <c r="O9" s="33"/>
      <c r="P9" s="33"/>
      <c r="R9" s="32"/>
    </row>
    <row r="10" spans="1:18">
      <c r="A10" s="32" t="s">
        <v>50</v>
      </c>
      <c r="B10" s="37">
        <f t="shared" si="0"/>
        <v>12.481015880000001</v>
      </c>
      <c r="C10" s="33"/>
      <c r="D10" s="37">
        <f>IF(ISERROR(TER_ander_gas_kWh/1000),0,TER_ander_gas_kWh/1000)*0.902</f>
        <v>0</v>
      </c>
      <c r="E10" s="33">
        <f>$C$30*'E Balans VL '!I14/100/3.6*1000000</f>
        <v>1.8768512778082735E-2</v>
      </c>
      <c r="F10" s="33">
        <f>$C$30*('E Balans VL '!L14+'E Balans VL '!N14)/100/3.6*1000000</f>
        <v>2.7554059857871138</v>
      </c>
      <c r="G10" s="34"/>
      <c r="H10" s="33"/>
      <c r="I10" s="33"/>
      <c r="J10" s="33">
        <f>$C$30*('E Balans VL '!D14+'E Balans VL '!E14)/100/3.6*1000000</f>
        <v>0</v>
      </c>
      <c r="K10" s="33"/>
      <c r="L10" s="33"/>
      <c r="M10" s="33"/>
      <c r="N10" s="33">
        <f>$C$30*'E Balans VL '!Y14/100/3.6*1000000</f>
        <v>9.8358804541398079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599.25971936999997</v>
      </c>
      <c r="C12" s="33"/>
      <c r="D12" s="37">
        <f>IF(ISERROR(TER_rest_gas_kWh/1000),0,TER_rest_gas_kWh/1000)*0.902</f>
        <v>517.71208032148002</v>
      </c>
      <c r="E12" s="33">
        <f>$C$32*'E Balans VL '!I8/100/3.6*1000000</f>
        <v>10.550873205249628</v>
      </c>
      <c r="F12" s="33">
        <f>$C$32*('E Balans VL '!L8+'E Balans VL '!N8)/100/3.6*1000000</f>
        <v>154.3880751055475</v>
      </c>
      <c r="G12" s="34"/>
      <c r="H12" s="33"/>
      <c r="I12" s="33"/>
      <c r="J12" s="33">
        <f>$C$32*('E Balans VL '!D8+'E Balans VL '!E8)/100/3.6*1000000</f>
        <v>0</v>
      </c>
      <c r="K12" s="33"/>
      <c r="L12" s="33"/>
      <c r="M12" s="33"/>
      <c r="N12" s="33">
        <f>$C$32*'E Balans VL '!Y8/100/3.6*1000000</f>
        <v>52.879850615315434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723.53854511500003</v>
      </c>
      <c r="C16" s="21">
        <f t="shared" ca="1" si="1"/>
        <v>0</v>
      </c>
      <c r="D16" s="21">
        <f t="shared" ca="1" si="1"/>
        <v>799.13143282060014</v>
      </c>
      <c r="E16" s="21">
        <f t="shared" si="1"/>
        <v>13.916336853883621</v>
      </c>
      <c r="F16" s="21">
        <f t="shared" ca="1" si="1"/>
        <v>202.47108931379728</v>
      </c>
      <c r="G16" s="21">
        <f t="shared" si="1"/>
        <v>0</v>
      </c>
      <c r="H16" s="21">
        <f t="shared" si="1"/>
        <v>0</v>
      </c>
      <c r="I16" s="21">
        <f t="shared" si="1"/>
        <v>0</v>
      </c>
      <c r="J16" s="21">
        <f t="shared" si="1"/>
        <v>0</v>
      </c>
      <c r="K16" s="21">
        <f t="shared" si="1"/>
        <v>0</v>
      </c>
      <c r="L16" s="21">
        <f t="shared" ca="1" si="1"/>
        <v>0</v>
      </c>
      <c r="M16" s="21">
        <f t="shared" si="1"/>
        <v>0</v>
      </c>
      <c r="N16" s="21">
        <f t="shared" ca="1" si="1"/>
        <v>62.808994128811406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0.19579638366377256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141.66623057486436</v>
      </c>
      <c r="C20" s="23">
        <f t="shared" ref="C20:P20" ca="1" si="2">C16*C18</f>
        <v>0</v>
      </c>
      <c r="D20" s="23">
        <f t="shared" ca="1" si="2"/>
        <v>161.42454942976124</v>
      </c>
      <c r="E20" s="23">
        <f t="shared" si="2"/>
        <v>3.1590084658315822</v>
      </c>
      <c r="F20" s="23">
        <f t="shared" ca="1" si="2"/>
        <v>54.059780846783873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9.1487842603999994</v>
      </c>
      <c r="C26" s="39">
        <f>IF(ISERROR(B26*3.6/1000000/'E Balans VL '!Z12*100),0,B26*3.6/1000000/'E Balans VL '!Z12*100)</f>
        <v>1.9597406627150054E-4</v>
      </c>
      <c r="D26" s="237" t="s">
        <v>660</v>
      </c>
      <c r="F26" s="6"/>
    </row>
    <row r="27" spans="1:18">
      <c r="A27" s="231" t="s">
        <v>53</v>
      </c>
      <c r="B27" s="33">
        <f>IF(ISERROR(TER_horeca_ele_kWh/1000),0,TER_horeca_ele_kWh/1000)</f>
        <v>97.488173439000008</v>
      </c>
      <c r="C27" s="39">
        <f>IF(ISERROR(B27*3.6/1000000/'E Balans VL '!Z9*100),0,B27*3.6/1000000/'E Balans VL '!Z9*100)</f>
        <v>7.8230870530477323E-3</v>
      </c>
      <c r="D27" s="237" t="s">
        <v>660</v>
      </c>
      <c r="F27" s="6"/>
    </row>
    <row r="28" spans="1:18">
      <c r="A28" s="171" t="s">
        <v>52</v>
      </c>
      <c r="B28" s="33">
        <f>IF(ISERROR(TER_handel_ele_kWh/1000),0,TER_handel_ele_kWh/1000)</f>
        <v>0</v>
      </c>
      <c r="C28" s="39">
        <f>IF(ISERROR(B28*3.6/1000000/'E Balans VL '!Z13*100),0,B28*3.6/1000000/'E Balans VL '!Z13*100)</f>
        <v>0</v>
      </c>
      <c r="D28" s="237" t="s">
        <v>660</v>
      </c>
      <c r="F28" s="6"/>
    </row>
    <row r="29" spans="1:18">
      <c r="A29" s="231" t="s">
        <v>51</v>
      </c>
      <c r="B29" s="33">
        <f>IF(ISERROR(TER_gezond_ele_kWh/1000),0,TER_gezond_ele_kWh/1000)</f>
        <v>5.1608521656000006</v>
      </c>
      <c r="C29" s="39">
        <f>IF(ISERROR(B29*3.6/1000000/'E Balans VL '!Z10*100),0,B29*3.6/1000000/'E Balans VL '!Z10*100)</f>
        <v>5.5104064365077681E-4</v>
      </c>
      <c r="D29" s="237" t="s">
        <v>660</v>
      </c>
      <c r="F29" s="6"/>
    </row>
    <row r="30" spans="1:18">
      <c r="A30" s="231" t="s">
        <v>50</v>
      </c>
      <c r="B30" s="33">
        <f>IF(ISERROR(TER_ander_ele_kWh/1000),0,TER_ander_ele_kWh/1000)</f>
        <v>12.481015880000001</v>
      </c>
      <c r="C30" s="39">
        <f>IF(ISERROR(B30*3.6/1000000/'E Balans VL '!Z14*100),0,B30*3.6/1000000/'E Balans VL '!Z14*100)</f>
        <v>9.427401403888213E-4</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599.25971936999997</v>
      </c>
      <c r="C32" s="39">
        <f>IF(ISERROR(B32*3.6/1000000/'E Balans VL '!Z8*100),0,B32*3.6/1000000/'E Balans VL '!Z8*100)</f>
        <v>4.9686975367166045E-3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119.47541744999999</v>
      </c>
      <c r="C5" s="17">
        <f>IF(ISERROR('Eigen informatie GS &amp; warmtenet'!B59),0,'Eigen informatie GS &amp; warmtenet'!B59)</f>
        <v>0</v>
      </c>
      <c r="D5" s="30">
        <f>SUM(D6:D15)</f>
        <v>0</v>
      </c>
      <c r="E5" s="17">
        <f>SUM(E6:E15)</f>
        <v>6.4842761846465296</v>
      </c>
      <c r="F5" s="17">
        <f>SUM(F6:F15)</f>
        <v>26.040116675733294</v>
      </c>
      <c r="G5" s="18"/>
      <c r="H5" s="17"/>
      <c r="I5" s="17"/>
      <c r="J5" s="17">
        <f>SUM(J6:J15)</f>
        <v>0.96860101477757676</v>
      </c>
      <c r="K5" s="17"/>
      <c r="L5" s="17"/>
      <c r="M5" s="17"/>
      <c r="N5" s="17">
        <f>SUM(N6:N15)</f>
        <v>24.058489129255538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119.47541744999999</v>
      </c>
      <c r="C15" s="33"/>
      <c r="D15" s="37">
        <f>IF( ISERROR(IND_rest_gas_kWh/1000),0,IND_rest_gas_kWh/1000)*0.902</f>
        <v>0</v>
      </c>
      <c r="E15" s="33">
        <f>C37*'E Balans VL '!I15/100/3.6*1000000</f>
        <v>6.4842761846465296</v>
      </c>
      <c r="F15" s="33">
        <f>C37*'E Balans VL '!L15/100/3.6*1000000+C37*'E Balans VL '!N15/100/3.6*1000000</f>
        <v>26.040116675733294</v>
      </c>
      <c r="G15" s="34"/>
      <c r="H15" s="33"/>
      <c r="I15" s="33"/>
      <c r="J15" s="40">
        <f>C37*'E Balans VL '!D15/100/3.6*1000000+C37*'E Balans VL '!E15/100/3.6*1000000</f>
        <v>0.96860101477757676</v>
      </c>
      <c r="K15" s="33"/>
      <c r="L15" s="33"/>
      <c r="M15" s="33"/>
      <c r="N15" s="33">
        <f>C37*'E Balans VL '!Y15/100/3.6*1000000</f>
        <v>24.058489129255538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119.47541744999999</v>
      </c>
      <c r="C18" s="21">
        <f>C5+C16</f>
        <v>0</v>
      </c>
      <c r="D18" s="21">
        <f>MAX((D5+D16),0)</f>
        <v>0</v>
      </c>
      <c r="E18" s="21">
        <f>MAX((E5+E16),0)</f>
        <v>6.4842761846465296</v>
      </c>
      <c r="F18" s="21">
        <f>MAX((F5+F16),0)</f>
        <v>26.040116675733294</v>
      </c>
      <c r="G18" s="21"/>
      <c r="H18" s="21"/>
      <c r="I18" s="21"/>
      <c r="J18" s="21">
        <f>MAX((J5+J16),0)</f>
        <v>0.96860101477757676</v>
      </c>
      <c r="K18" s="21"/>
      <c r="L18" s="21">
        <f>MAX((L5+L16),0)</f>
        <v>0</v>
      </c>
      <c r="M18" s="21"/>
      <c r="N18" s="21">
        <f>MAX((N5+N16),0)</f>
        <v>24.058489129255538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0.19579638366377256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23.392854673429586</v>
      </c>
      <c r="C22" s="23">
        <f ca="1">C18*C20</f>
        <v>0</v>
      </c>
      <c r="D22" s="23">
        <f>D18*D20</f>
        <v>0</v>
      </c>
      <c r="E22" s="23">
        <f>E18*E20</f>
        <v>1.4719306939147623</v>
      </c>
      <c r="F22" s="23">
        <f>F18*F20</f>
        <v>6.9527111524207896</v>
      </c>
      <c r="G22" s="23"/>
      <c r="H22" s="23"/>
      <c r="I22" s="23"/>
      <c r="J22" s="23">
        <f>J18*J20</f>
        <v>0.34288475923126216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0</v>
      </c>
      <c r="C31" s="39">
        <f>IF(ISERROR(B31*3.6/1000000/'E Balans VL '!Z19*100),0,B31*3.6/1000000/'E Balans VL '!Z19*100)</f>
        <v>0</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119.47541744999999</v>
      </c>
      <c r="C37" s="39">
        <f>IF(ISERROR(B37*3.6/1000000/'E Balans VL '!Z15*100),0,B37*3.6/1000000/'E Balans VL '!Z15*100)</f>
        <v>9.6457130807589325E-4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458.24361819200004</v>
      </c>
      <c r="C5" s="17">
        <f>'Eigen informatie GS &amp; warmtenet'!B60</f>
        <v>0</v>
      </c>
      <c r="D5" s="30">
        <f>IF(ISERROR(SUM(LB_lb_gas_kWh,LB_rest_gas_kWh)/1000),0,SUM(LB_lb_gas_kWh,LB_rest_gas_kWh)/1000)*0.902</f>
        <v>21.238655025676</v>
      </c>
      <c r="E5" s="17">
        <f>B17*'E Balans VL '!I25/3.6*1000000/100</f>
        <v>11.816343461096448</v>
      </c>
      <c r="F5" s="17">
        <f>B17*('E Balans VL '!L25/3.6*1000000+'E Balans VL '!N25/3.6*1000000)/100</f>
        <v>1674.9676927496025</v>
      </c>
      <c r="G5" s="18"/>
      <c r="H5" s="17"/>
      <c r="I5" s="17"/>
      <c r="J5" s="17">
        <f>('E Balans VL '!D25+'E Balans VL '!E25)/3.6*1000000*landbouw!B17/100</f>
        <v>65.970223768809177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458.24361819200004</v>
      </c>
      <c r="C8" s="21">
        <f>C5+C6</f>
        <v>0</v>
      </c>
      <c r="D8" s="21">
        <f>MAX((D5+D6),0)</f>
        <v>21.238655025676</v>
      </c>
      <c r="E8" s="21">
        <f>MAX((E5+E6),0)</f>
        <v>11.816343461096448</v>
      </c>
      <c r="F8" s="21">
        <f>MAX((F5+F6),0)</f>
        <v>1674.9676927496025</v>
      </c>
      <c r="G8" s="21"/>
      <c r="H8" s="21"/>
      <c r="I8" s="21"/>
      <c r="J8" s="21">
        <f>MAX((J5+J6),0)</f>
        <v>65.970223768809177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0.19579638366377256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89.722443278996138</v>
      </c>
      <c r="C12" s="23">
        <f ca="1">C8*C10</f>
        <v>0</v>
      </c>
      <c r="D12" s="23">
        <f>D8*D10</f>
        <v>4.2902083151865522</v>
      </c>
      <c r="E12" s="23">
        <f>E8*E10</f>
        <v>2.6823099656688938</v>
      </c>
      <c r="F12" s="23">
        <f>F8*F10</f>
        <v>447.21637396414388</v>
      </c>
      <c r="G12" s="23"/>
      <c r="H12" s="23"/>
      <c r="I12" s="23"/>
      <c r="J12" s="23">
        <f>J8*J10</f>
        <v>23.353459214158448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6.4615385502737918E-2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208.77565951534771</v>
      </c>
      <c r="C26" s="247">
        <f>B26*'GWP N2O_CH4'!B5</f>
        <v>4384.2888498223019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20.8808576194122</v>
      </c>
      <c r="C27" s="247">
        <f>B27*'GWP N2O_CH4'!B5</f>
        <v>438.49801000765621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2.932339012317545</v>
      </c>
      <c r="C28" s="247">
        <f>B28*'GWP N2O_CH4'!B4</f>
        <v>909.0250938184389</v>
      </c>
      <c r="D28" s="50"/>
    </row>
    <row r="29" spans="1:4">
      <c r="A29" s="41" t="s">
        <v>277</v>
      </c>
      <c r="B29" s="247">
        <f>B34*'ha_N2O bodem landbouw'!B4</f>
        <v>9.6848441981261075</v>
      </c>
      <c r="C29" s="247">
        <f>B29*'GWP N2O_CH4'!B4</f>
        <v>3002.3017014190932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2.1796162343215505E-3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8.3716205467314081E-6</v>
      </c>
      <c r="C5" s="463" t="s">
        <v>211</v>
      </c>
      <c r="D5" s="448">
        <f>SUM(D6:D11)</f>
        <v>2.1423421392485177E-5</v>
      </c>
      <c r="E5" s="448">
        <f>SUM(E6:E11)</f>
        <v>8.1053624209650641E-5</v>
      </c>
      <c r="F5" s="461" t="s">
        <v>211</v>
      </c>
      <c r="G5" s="448">
        <f>SUM(G6:G11)</f>
        <v>2.0780385217742791E-2</v>
      </c>
      <c r="H5" s="448">
        <f>SUM(H6:H11)</f>
        <v>5.7102586222906107E-3</v>
      </c>
      <c r="I5" s="463" t="s">
        <v>211</v>
      </c>
      <c r="J5" s="463" t="s">
        <v>211</v>
      </c>
      <c r="K5" s="463" t="s">
        <v>211</v>
      </c>
      <c r="L5" s="463" t="s">
        <v>211</v>
      </c>
      <c r="M5" s="448">
        <f>SUM(M6:M11)</f>
        <v>8.2582587537506896E-4</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5.244230670621525E-6</v>
      </c>
      <c r="C6" s="449"/>
      <c r="D6" s="892">
        <f>vkm_2011_GW_PW*SUMIFS(TableVerdeelsleutelVkm[CNG],TableVerdeelsleutelVkm[Voertuigtype],"Lichte voertuigen")*SUMIFS(TableECFTransport[EnergieConsumptieFactor (PJ per km)],TableECFTransport[Index],CONCATENATE($A6,"_CNG_CNG"))</f>
        <v>1.0420378203272235E-5</v>
      </c>
      <c r="E6" s="892">
        <f>vkm_2011_GW_PW*SUMIFS(TableVerdeelsleutelVkm[LPG],TableVerdeelsleutelVkm[Voertuigtype],"Lichte voertuigen")*SUMIFS(TableECFTransport[EnergieConsumptieFactor (PJ per km)],TableECFTransport[Index],CONCATENATE($A6,"_LPG_LPG"))</f>
        <v>4.1007923655437937E-5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9.7502771813542388E-3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2.8211098697734326E-3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3.9173602910167176E-4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2.0167045506881446E-3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6.5148171039779162E-7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6.3543274680818548E-5</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3.1273898761098831E-6</v>
      </c>
      <c r="C8" s="449"/>
      <c r="D8" s="451">
        <f>vkm_2011_NGW_PW*SUMIFS(TableVerdeelsleutelVkm[CNG],TableVerdeelsleutelVkm[Voertuigtype],"Lichte voertuigen")*SUMIFS(TableECFTransport[EnergieConsumptieFactor (PJ per km)],TableECFTransport[Index],CONCATENATE($A8,"_CNG_CNG"))</f>
        <v>1.1003043189212944E-5</v>
      </c>
      <c r="E8" s="451">
        <f>vkm_2011_NGW_PW*SUMIFS(TableVerdeelsleutelVkm[LPG],TableVerdeelsleutelVkm[Voertuigtype],"Lichte voertuigen")*SUMIFS(TableECFTransport[EnergieConsumptieFactor (PJ per km)],TableECFTransport[Index],CONCATENATE($A8,"_LPG_LPG"))</f>
        <v>4.0045700554212704E-5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8.8912712486629349E-3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2.8884599583727934E-3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3.6669843590549165E-4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1.2213223703747456E-4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3.7312433987053197E-8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3.8481356870869674E-6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2.3254501518698358</v>
      </c>
      <c r="C14" s="21"/>
      <c r="D14" s="21">
        <f t="shared" ref="D14:M14" si="0">((D5)*10^9/3600)+D12</f>
        <v>5.9509503868014377</v>
      </c>
      <c r="E14" s="21">
        <f t="shared" si="0"/>
        <v>22.514895613791847</v>
      </c>
      <c r="F14" s="21"/>
      <c r="G14" s="21">
        <f t="shared" si="0"/>
        <v>5772.3292271507753</v>
      </c>
      <c r="H14" s="21">
        <f t="shared" si="0"/>
        <v>1586.1829506362806</v>
      </c>
      <c r="I14" s="21"/>
      <c r="J14" s="21"/>
      <c r="K14" s="21"/>
      <c r="L14" s="21"/>
      <c r="M14" s="21">
        <f t="shared" si="0"/>
        <v>229.39607649307473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0.19579638366377256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0.45531473012648455</v>
      </c>
      <c r="C18" s="23"/>
      <c r="D18" s="23">
        <f t="shared" ref="D18:M18" si="1">D14*D16</f>
        <v>1.2020919781338906</v>
      </c>
      <c r="E18" s="23">
        <f t="shared" si="1"/>
        <v>5.1108813043307491</v>
      </c>
      <c r="F18" s="23"/>
      <c r="G18" s="23">
        <f t="shared" si="1"/>
        <v>1541.211903649257</v>
      </c>
      <c r="H18" s="23">
        <f t="shared" si="1"/>
        <v>394.95955470843387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4.7373827585826388E-4</v>
      </c>
      <c r="H50" s="321">
        <f t="shared" si="2"/>
        <v>0</v>
      </c>
      <c r="I50" s="321">
        <f t="shared" si="2"/>
        <v>0</v>
      </c>
      <c r="J50" s="321">
        <f t="shared" si="2"/>
        <v>0</v>
      </c>
      <c r="K50" s="321">
        <f t="shared" si="2"/>
        <v>0</v>
      </c>
      <c r="L50" s="321">
        <f t="shared" si="2"/>
        <v>0</v>
      </c>
      <c r="M50" s="321">
        <f t="shared" si="2"/>
        <v>1.4694301478338134E-5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4.7373827585826388E-4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1.4694301478338134E-5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131.59396551618443</v>
      </c>
      <c r="H54" s="21">
        <f t="shared" si="3"/>
        <v>0</v>
      </c>
      <c r="I54" s="21">
        <f t="shared" si="3"/>
        <v>0</v>
      </c>
      <c r="J54" s="21">
        <f t="shared" si="3"/>
        <v>0</v>
      </c>
      <c r="K54" s="21">
        <f t="shared" si="3"/>
        <v>0</v>
      </c>
      <c r="L54" s="21">
        <f t="shared" si="3"/>
        <v>0</v>
      </c>
      <c r="M54" s="21">
        <f t="shared" si="3"/>
        <v>4.0817504106494811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0.19579638366377256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35.135588792821245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894.09554511500005</v>
      </c>
      <c r="D10" s="1012">
        <f ca="1">tertiair!C16</f>
        <v>0</v>
      </c>
      <c r="E10" s="1012">
        <f ca="1">tertiair!D16</f>
        <v>799.13143282060014</v>
      </c>
      <c r="F10" s="1012">
        <f>tertiair!E16</f>
        <v>13.916336853883621</v>
      </c>
      <c r="G10" s="1012">
        <f ca="1">tertiair!F16</f>
        <v>202.47108931379728</v>
      </c>
      <c r="H10" s="1012">
        <f>tertiair!G16</f>
        <v>0</v>
      </c>
      <c r="I10" s="1012">
        <f>tertiair!H16</f>
        <v>0</v>
      </c>
      <c r="J10" s="1012">
        <f>tertiair!I16</f>
        <v>0</v>
      </c>
      <c r="K10" s="1012">
        <f>tertiair!J16</f>
        <v>0</v>
      </c>
      <c r="L10" s="1012">
        <f>tertiair!K16</f>
        <v>0</v>
      </c>
      <c r="M10" s="1012">
        <f ca="1">tertiair!L16</f>
        <v>0</v>
      </c>
      <c r="N10" s="1012">
        <f>tertiair!M16</f>
        <v>0</v>
      </c>
      <c r="O10" s="1012">
        <f ca="1">tertiair!N16</f>
        <v>62.808994128811406</v>
      </c>
      <c r="P10" s="1012">
        <f>tertiair!O16</f>
        <v>0</v>
      </c>
      <c r="Q10" s="1013">
        <f>tertiair!P16</f>
        <v>0</v>
      </c>
      <c r="R10" s="700">
        <f ca="1">SUM(C10:Q10)</f>
        <v>1972.4233982320927</v>
      </c>
      <c r="S10" s="67"/>
    </row>
    <row r="11" spans="1:19" s="473" customFormat="1">
      <c r="A11" s="809" t="s">
        <v>225</v>
      </c>
      <c r="B11" s="814"/>
      <c r="C11" s="1012">
        <f>huishoudens!B8</f>
        <v>4119.9637324703908</v>
      </c>
      <c r="D11" s="1012">
        <f>huishoudens!C8</f>
        <v>0</v>
      </c>
      <c r="E11" s="1012">
        <f>huishoudens!D8</f>
        <v>2017.8145587005997</v>
      </c>
      <c r="F11" s="1012">
        <f>huishoudens!E8</f>
        <v>3326.6286556166838</v>
      </c>
      <c r="G11" s="1012">
        <f>huishoudens!F8</f>
        <v>9707.6510703304775</v>
      </c>
      <c r="H11" s="1012">
        <f>huishoudens!G8</f>
        <v>0</v>
      </c>
      <c r="I11" s="1012">
        <f>huishoudens!H8</f>
        <v>0</v>
      </c>
      <c r="J11" s="1012">
        <f>huishoudens!I8</f>
        <v>0</v>
      </c>
      <c r="K11" s="1012">
        <f>huishoudens!J8</f>
        <v>749.10083892631644</v>
      </c>
      <c r="L11" s="1012">
        <f>huishoudens!K8</f>
        <v>0</v>
      </c>
      <c r="M11" s="1012">
        <f>huishoudens!L8</f>
        <v>0</v>
      </c>
      <c r="N11" s="1012">
        <f>huishoudens!M8</f>
        <v>0</v>
      </c>
      <c r="O11" s="1012">
        <f>huishoudens!N8</f>
        <v>4504.2050826727655</v>
      </c>
      <c r="P11" s="1012">
        <f>huishoudens!O8</f>
        <v>35.956666666666671</v>
      </c>
      <c r="Q11" s="1013">
        <f>huishoudens!P8</f>
        <v>133.46666666666667</v>
      </c>
      <c r="R11" s="700">
        <f>SUM(C11:Q11)</f>
        <v>24594.787272050562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119.47541744999999</v>
      </c>
      <c r="D13" s="1012">
        <f>industrie!C18</f>
        <v>0</v>
      </c>
      <c r="E13" s="1012">
        <f>industrie!D18</f>
        <v>0</v>
      </c>
      <c r="F13" s="1012">
        <f>industrie!E18</f>
        <v>6.4842761846465296</v>
      </c>
      <c r="G13" s="1012">
        <f>industrie!F18</f>
        <v>26.040116675733294</v>
      </c>
      <c r="H13" s="1012">
        <f>industrie!G18</f>
        <v>0</v>
      </c>
      <c r="I13" s="1012">
        <f>industrie!H18</f>
        <v>0</v>
      </c>
      <c r="J13" s="1012">
        <f>industrie!I18</f>
        <v>0</v>
      </c>
      <c r="K13" s="1012">
        <f>industrie!J18</f>
        <v>0.96860101477757676</v>
      </c>
      <c r="L13" s="1012">
        <f>industrie!K18</f>
        <v>0</v>
      </c>
      <c r="M13" s="1012">
        <f>industrie!L18</f>
        <v>0</v>
      </c>
      <c r="N13" s="1012">
        <f>industrie!M18</f>
        <v>0</v>
      </c>
      <c r="O13" s="1012">
        <f>industrie!N18</f>
        <v>24.058489129255538</v>
      </c>
      <c r="P13" s="1012">
        <f>industrie!O18</f>
        <v>0</v>
      </c>
      <c r="Q13" s="1013">
        <f>industrie!P18</f>
        <v>0</v>
      </c>
      <c r="R13" s="700">
        <f>SUM(C13:Q13)</f>
        <v>177.02690045441295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5133.5346950353915</v>
      </c>
      <c r="D16" s="732">
        <f t="shared" ref="D16:R16" ca="1" si="0">SUM(D9:D15)</f>
        <v>0</v>
      </c>
      <c r="E16" s="732">
        <f t="shared" ca="1" si="0"/>
        <v>2816.9459915212001</v>
      </c>
      <c r="F16" s="732">
        <f t="shared" si="0"/>
        <v>3347.0292686552139</v>
      </c>
      <c r="G16" s="732">
        <f t="shared" ca="1" si="0"/>
        <v>9936.1622763200085</v>
      </c>
      <c r="H16" s="732">
        <f t="shared" si="0"/>
        <v>0</v>
      </c>
      <c r="I16" s="732">
        <f t="shared" si="0"/>
        <v>0</v>
      </c>
      <c r="J16" s="732">
        <f t="shared" si="0"/>
        <v>0</v>
      </c>
      <c r="K16" s="732">
        <f t="shared" si="0"/>
        <v>750.06943994109406</v>
      </c>
      <c r="L16" s="732">
        <f t="shared" si="0"/>
        <v>0</v>
      </c>
      <c r="M16" s="732">
        <f t="shared" ca="1" si="0"/>
        <v>0</v>
      </c>
      <c r="N16" s="732">
        <f t="shared" si="0"/>
        <v>0</v>
      </c>
      <c r="O16" s="732">
        <f t="shared" ca="1" si="0"/>
        <v>4591.0725659308328</v>
      </c>
      <c r="P16" s="732">
        <f t="shared" si="0"/>
        <v>35.956666666666671</v>
      </c>
      <c r="Q16" s="732">
        <f t="shared" si="0"/>
        <v>133.46666666666667</v>
      </c>
      <c r="R16" s="732">
        <f t="shared" ca="1" si="0"/>
        <v>26744.237570737067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131.59396551618443</v>
      </c>
      <c r="I19" s="1012">
        <f>transport!H54</f>
        <v>0</v>
      </c>
      <c r="J19" s="1012">
        <f>transport!I54</f>
        <v>0</v>
      </c>
      <c r="K19" s="1012">
        <f>transport!J54</f>
        <v>0</v>
      </c>
      <c r="L19" s="1012">
        <f>transport!K54</f>
        <v>0</v>
      </c>
      <c r="M19" s="1012">
        <f>transport!L54</f>
        <v>0</v>
      </c>
      <c r="N19" s="1012">
        <f>transport!M54</f>
        <v>4.0817504106494811</v>
      </c>
      <c r="O19" s="1012">
        <f>transport!N54</f>
        <v>0</v>
      </c>
      <c r="P19" s="1012">
        <f>transport!O54</f>
        <v>0</v>
      </c>
      <c r="Q19" s="1013">
        <f>transport!P54</f>
        <v>0</v>
      </c>
      <c r="R19" s="700">
        <f>SUM(C19:Q19)</f>
        <v>135.6757159268339</v>
      </c>
      <c r="S19" s="67"/>
    </row>
    <row r="20" spans="1:19" s="473" customFormat="1">
      <c r="A20" s="809" t="s">
        <v>307</v>
      </c>
      <c r="B20" s="814"/>
      <c r="C20" s="1012">
        <f>transport!B14</f>
        <v>2.3254501518698358</v>
      </c>
      <c r="D20" s="1012">
        <f>transport!C14</f>
        <v>0</v>
      </c>
      <c r="E20" s="1012">
        <f>transport!D14</f>
        <v>5.9509503868014377</v>
      </c>
      <c r="F20" s="1012">
        <f>transport!E14</f>
        <v>22.514895613791847</v>
      </c>
      <c r="G20" s="1012">
        <f>transport!F14</f>
        <v>0</v>
      </c>
      <c r="H20" s="1012">
        <f>transport!G14</f>
        <v>5772.3292271507753</v>
      </c>
      <c r="I20" s="1012">
        <f>transport!H14</f>
        <v>1586.1829506362806</v>
      </c>
      <c r="J20" s="1012">
        <f>transport!I14</f>
        <v>0</v>
      </c>
      <c r="K20" s="1012">
        <f>transport!J14</f>
        <v>0</v>
      </c>
      <c r="L20" s="1012">
        <f>transport!K14</f>
        <v>0</v>
      </c>
      <c r="M20" s="1012">
        <f>transport!L14</f>
        <v>0</v>
      </c>
      <c r="N20" s="1012">
        <f>transport!M14</f>
        <v>229.39607649307473</v>
      </c>
      <c r="O20" s="1012">
        <f>transport!N14</f>
        <v>0</v>
      </c>
      <c r="P20" s="1012">
        <f>transport!O14</f>
        <v>0</v>
      </c>
      <c r="Q20" s="1013">
        <f>transport!P14</f>
        <v>0</v>
      </c>
      <c r="R20" s="700">
        <f>SUM(C20:Q20)</f>
        <v>7618.6995504325932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2.3254501518698358</v>
      </c>
      <c r="D22" s="812">
        <f t="shared" ref="D22:R22" si="1">SUM(D18:D21)</f>
        <v>0</v>
      </c>
      <c r="E22" s="812">
        <f t="shared" si="1"/>
        <v>5.9509503868014377</v>
      </c>
      <c r="F22" s="812">
        <f t="shared" si="1"/>
        <v>22.514895613791847</v>
      </c>
      <c r="G22" s="812">
        <f t="shared" si="1"/>
        <v>0</v>
      </c>
      <c r="H22" s="812">
        <f t="shared" si="1"/>
        <v>5903.9231926669599</v>
      </c>
      <c r="I22" s="812">
        <f t="shared" si="1"/>
        <v>1586.1829506362806</v>
      </c>
      <c r="J22" s="812">
        <f t="shared" si="1"/>
        <v>0</v>
      </c>
      <c r="K22" s="812">
        <f t="shared" si="1"/>
        <v>0</v>
      </c>
      <c r="L22" s="812">
        <f t="shared" si="1"/>
        <v>0</v>
      </c>
      <c r="M22" s="812">
        <f t="shared" si="1"/>
        <v>0</v>
      </c>
      <c r="N22" s="812">
        <f t="shared" si="1"/>
        <v>233.47782690372421</v>
      </c>
      <c r="O22" s="812">
        <f t="shared" si="1"/>
        <v>0</v>
      </c>
      <c r="P22" s="812">
        <f t="shared" si="1"/>
        <v>0</v>
      </c>
      <c r="Q22" s="812">
        <f t="shared" si="1"/>
        <v>0</v>
      </c>
      <c r="R22" s="812">
        <f t="shared" si="1"/>
        <v>7754.3752663594269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458.24361819200004</v>
      </c>
      <c r="D24" s="1012">
        <f>+landbouw!C8</f>
        <v>0</v>
      </c>
      <c r="E24" s="1012">
        <f>+landbouw!D8</f>
        <v>21.238655025676</v>
      </c>
      <c r="F24" s="1012">
        <f>+landbouw!E8</f>
        <v>11.816343461096448</v>
      </c>
      <c r="G24" s="1012">
        <f>+landbouw!F8</f>
        <v>1674.9676927496025</v>
      </c>
      <c r="H24" s="1012">
        <f>+landbouw!G8</f>
        <v>0</v>
      </c>
      <c r="I24" s="1012">
        <f>+landbouw!H8</f>
        <v>0</v>
      </c>
      <c r="J24" s="1012">
        <f>+landbouw!I8</f>
        <v>0</v>
      </c>
      <c r="K24" s="1012">
        <f>+landbouw!J8</f>
        <v>65.970223768809177</v>
      </c>
      <c r="L24" s="1012">
        <f>+landbouw!K8</f>
        <v>0</v>
      </c>
      <c r="M24" s="1012">
        <f>+landbouw!L8</f>
        <v>0</v>
      </c>
      <c r="N24" s="1012">
        <f>+landbouw!M8</f>
        <v>0</v>
      </c>
      <c r="O24" s="1012">
        <f>+landbouw!N8</f>
        <v>0</v>
      </c>
      <c r="P24" s="1012">
        <f>+landbouw!O8</f>
        <v>0</v>
      </c>
      <c r="Q24" s="1013">
        <f>+landbouw!P8</f>
        <v>0</v>
      </c>
      <c r="R24" s="700">
        <f>SUM(C24:Q24)</f>
        <v>2232.2365331971841</v>
      </c>
      <c r="S24" s="67"/>
    </row>
    <row r="25" spans="1:19" s="473" customFormat="1" ht="15" thickBot="1">
      <c r="A25" s="831" t="s">
        <v>848</v>
      </c>
      <c r="B25" s="1015"/>
      <c r="C25" s="1016">
        <f>IF(Onbekend_ele_kWh="---",0,Onbekend_ele_kWh)/1000+IF(REST_rest_ele_kWh="---",0,REST_rest_ele_kWh)/1000</f>
        <v>225.17537437000001</v>
      </c>
      <c r="D25" s="1016"/>
      <c r="E25" s="1016">
        <f>IF(onbekend_gas_kWh="---",0,onbekend_gas_kWh)/1000+IF(REST_rest_gas_kWh="---",0,REST_rest_gas_kWh)/1000</f>
        <v>39.653185767000004</v>
      </c>
      <c r="F25" s="1016"/>
      <c r="G25" s="1016"/>
      <c r="H25" s="1016"/>
      <c r="I25" s="1016"/>
      <c r="J25" s="1016"/>
      <c r="K25" s="1016"/>
      <c r="L25" s="1016"/>
      <c r="M25" s="1016"/>
      <c r="N25" s="1016"/>
      <c r="O25" s="1016"/>
      <c r="P25" s="1016"/>
      <c r="Q25" s="1017"/>
      <c r="R25" s="700">
        <f>SUM(C25:Q25)</f>
        <v>264.82856013700001</v>
      </c>
      <c r="S25" s="67"/>
    </row>
    <row r="26" spans="1:19" s="473" customFormat="1" ht="15.75" thickBot="1">
      <c r="A26" s="705" t="s">
        <v>849</v>
      </c>
      <c r="B26" s="817"/>
      <c r="C26" s="812">
        <f>SUM(C24:C25)</f>
        <v>683.41899256200008</v>
      </c>
      <c r="D26" s="812">
        <f t="shared" ref="D26:R26" si="2">SUM(D24:D25)</f>
        <v>0</v>
      </c>
      <c r="E26" s="812">
        <f t="shared" si="2"/>
        <v>60.891840792676007</v>
      </c>
      <c r="F26" s="812">
        <f t="shared" si="2"/>
        <v>11.816343461096448</v>
      </c>
      <c r="G26" s="812">
        <f t="shared" si="2"/>
        <v>1674.9676927496025</v>
      </c>
      <c r="H26" s="812">
        <f t="shared" si="2"/>
        <v>0</v>
      </c>
      <c r="I26" s="812">
        <f t="shared" si="2"/>
        <v>0</v>
      </c>
      <c r="J26" s="812">
        <f t="shared" si="2"/>
        <v>0</v>
      </c>
      <c r="K26" s="812">
        <f t="shared" si="2"/>
        <v>65.970223768809177</v>
      </c>
      <c r="L26" s="812">
        <f t="shared" si="2"/>
        <v>0</v>
      </c>
      <c r="M26" s="812">
        <f t="shared" si="2"/>
        <v>0</v>
      </c>
      <c r="N26" s="812">
        <f t="shared" si="2"/>
        <v>0</v>
      </c>
      <c r="O26" s="812">
        <f t="shared" si="2"/>
        <v>0</v>
      </c>
      <c r="P26" s="812">
        <f t="shared" si="2"/>
        <v>0</v>
      </c>
      <c r="Q26" s="812">
        <f t="shared" si="2"/>
        <v>0</v>
      </c>
      <c r="R26" s="812">
        <f t="shared" si="2"/>
        <v>2497.065093334184</v>
      </c>
      <c r="S26" s="67"/>
    </row>
    <row r="27" spans="1:19" s="473" customFormat="1" ht="17.25" thickTop="1" thickBot="1">
      <c r="A27" s="706" t="s">
        <v>116</v>
      </c>
      <c r="B27" s="805"/>
      <c r="C27" s="707">
        <f ca="1">C22+C16+C26</f>
        <v>5819.2791377492613</v>
      </c>
      <c r="D27" s="707">
        <f t="shared" ref="D27:R27" ca="1" si="3">D22+D16+D26</f>
        <v>0</v>
      </c>
      <c r="E27" s="707">
        <f t="shared" ca="1" si="3"/>
        <v>2883.7887827006775</v>
      </c>
      <c r="F27" s="707">
        <f t="shared" si="3"/>
        <v>3381.3605077301022</v>
      </c>
      <c r="G27" s="707">
        <f t="shared" ca="1" si="3"/>
        <v>11611.129969069611</v>
      </c>
      <c r="H27" s="707">
        <f t="shared" si="3"/>
        <v>5903.9231926669599</v>
      </c>
      <c r="I27" s="707">
        <f t="shared" si="3"/>
        <v>1586.1829506362806</v>
      </c>
      <c r="J27" s="707">
        <f t="shared" si="3"/>
        <v>0</v>
      </c>
      <c r="K27" s="707">
        <f t="shared" si="3"/>
        <v>816.03966370990327</v>
      </c>
      <c r="L27" s="707">
        <f t="shared" si="3"/>
        <v>0</v>
      </c>
      <c r="M27" s="707">
        <f t="shared" ca="1" si="3"/>
        <v>0</v>
      </c>
      <c r="N27" s="707">
        <f t="shared" si="3"/>
        <v>233.47782690372421</v>
      </c>
      <c r="O27" s="707">
        <f t="shared" ca="1" si="3"/>
        <v>4591.0725659308328</v>
      </c>
      <c r="P27" s="707">
        <f t="shared" si="3"/>
        <v>35.956666666666671</v>
      </c>
      <c r="Q27" s="707">
        <f t="shared" si="3"/>
        <v>133.46666666666667</v>
      </c>
      <c r="R27" s="707">
        <f t="shared" ca="1" si="3"/>
        <v>36995.677930430676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175.06067438340642</v>
      </c>
      <c r="D40" s="1012">
        <f ca="1">tertiair!C20</f>
        <v>0</v>
      </c>
      <c r="E40" s="1012">
        <f ca="1">tertiair!D20</f>
        <v>161.42454942976124</v>
      </c>
      <c r="F40" s="1012">
        <f>tertiair!E20</f>
        <v>3.1590084658315822</v>
      </c>
      <c r="G40" s="1012">
        <f ca="1">tertiair!F20</f>
        <v>54.059780846783873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393.70401312578309</v>
      </c>
    </row>
    <row r="41" spans="1:18">
      <c r="A41" s="822" t="s">
        <v>225</v>
      </c>
      <c r="B41" s="829"/>
      <c r="C41" s="1012">
        <f ca="1">huishoudens!B12</f>
        <v>806.67399964360106</v>
      </c>
      <c r="D41" s="1012">
        <f ca="1">huishoudens!C12</f>
        <v>0</v>
      </c>
      <c r="E41" s="1012">
        <f>huishoudens!D12</f>
        <v>407.59854085752119</v>
      </c>
      <c r="F41" s="1012">
        <f>huishoudens!E12</f>
        <v>755.14470482498723</v>
      </c>
      <c r="G41" s="1012">
        <f>huishoudens!F12</f>
        <v>2591.9428357782376</v>
      </c>
      <c r="H41" s="1012">
        <f>huishoudens!G12</f>
        <v>0</v>
      </c>
      <c r="I41" s="1012">
        <f>huishoudens!H12</f>
        <v>0</v>
      </c>
      <c r="J41" s="1012">
        <f>huishoudens!I12</f>
        <v>0</v>
      </c>
      <c r="K41" s="1012">
        <f>huishoudens!J12</f>
        <v>265.18169697991601</v>
      </c>
      <c r="L41" s="1012">
        <f>huishoudens!K12</f>
        <v>0</v>
      </c>
      <c r="M41" s="1012">
        <f>huishoudens!L12</f>
        <v>0</v>
      </c>
      <c r="N41" s="1012">
        <f>huishoudens!M12</f>
        <v>0</v>
      </c>
      <c r="O41" s="1012">
        <f>huishoudens!N12</f>
        <v>0</v>
      </c>
      <c r="P41" s="1012">
        <f>huishoudens!O12</f>
        <v>0</v>
      </c>
      <c r="Q41" s="774">
        <f>huishoudens!P12</f>
        <v>0</v>
      </c>
      <c r="R41" s="850">
        <f t="shared" ca="1" si="4"/>
        <v>4826.5417780842627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23.392854673429586</v>
      </c>
      <c r="D43" s="1012">
        <f ca="1">industrie!C22</f>
        <v>0</v>
      </c>
      <c r="E43" s="1012">
        <f>industrie!D22</f>
        <v>0</v>
      </c>
      <c r="F43" s="1012">
        <f>industrie!E22</f>
        <v>1.4719306939147623</v>
      </c>
      <c r="G43" s="1012">
        <f>industrie!F22</f>
        <v>6.9527111524207896</v>
      </c>
      <c r="H43" s="1012">
        <f>industrie!G22</f>
        <v>0</v>
      </c>
      <c r="I43" s="1012">
        <f>industrie!H22</f>
        <v>0</v>
      </c>
      <c r="J43" s="1012">
        <f>industrie!I22</f>
        <v>0</v>
      </c>
      <c r="K43" s="1012">
        <f>industrie!J22</f>
        <v>0.34288475923126216</v>
      </c>
      <c r="L43" s="1012">
        <f>industrie!K22</f>
        <v>0</v>
      </c>
      <c r="M43" s="1012">
        <f>industrie!L22</f>
        <v>0</v>
      </c>
      <c r="N43" s="1012">
        <f>industrie!M22</f>
        <v>0</v>
      </c>
      <c r="O43" s="1012">
        <f>industrie!N22</f>
        <v>0</v>
      </c>
      <c r="P43" s="1012">
        <f>industrie!O22</f>
        <v>0</v>
      </c>
      <c r="Q43" s="774">
        <f>industrie!P22</f>
        <v>0</v>
      </c>
      <c r="R43" s="849">
        <f t="shared" ca="1" si="4"/>
        <v>32.160381278996397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1005.1275287004371</v>
      </c>
      <c r="D46" s="732">
        <f t="shared" ref="D46:Q46" ca="1" si="5">SUM(D39:D45)</f>
        <v>0</v>
      </c>
      <c r="E46" s="732">
        <f t="shared" ca="1" si="5"/>
        <v>569.02309028728246</v>
      </c>
      <c r="F46" s="732">
        <f t="shared" si="5"/>
        <v>759.77564398473351</v>
      </c>
      <c r="G46" s="732">
        <f t="shared" ca="1" si="5"/>
        <v>2652.9553277774421</v>
      </c>
      <c r="H46" s="732">
        <f t="shared" si="5"/>
        <v>0</v>
      </c>
      <c r="I46" s="732">
        <f t="shared" si="5"/>
        <v>0</v>
      </c>
      <c r="J46" s="732">
        <f t="shared" si="5"/>
        <v>0</v>
      </c>
      <c r="K46" s="732">
        <f t="shared" si="5"/>
        <v>265.52458173914727</v>
      </c>
      <c r="L46" s="732">
        <f t="shared" si="5"/>
        <v>0</v>
      </c>
      <c r="M46" s="732">
        <f t="shared" ca="1" si="5"/>
        <v>0</v>
      </c>
      <c r="N46" s="732">
        <f t="shared" si="5"/>
        <v>0</v>
      </c>
      <c r="O46" s="732">
        <f t="shared" ca="1" si="5"/>
        <v>0</v>
      </c>
      <c r="P46" s="732">
        <f t="shared" si="5"/>
        <v>0</v>
      </c>
      <c r="Q46" s="732">
        <f t="shared" si="5"/>
        <v>0</v>
      </c>
      <c r="R46" s="732">
        <f ca="1">SUM(R39:R45)</f>
        <v>5252.4061724890416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35.135588792821245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35.135588792821245</v>
      </c>
    </row>
    <row r="50" spans="1:18">
      <c r="A50" s="825" t="s">
        <v>307</v>
      </c>
      <c r="B50" s="835"/>
      <c r="C50" s="703">
        <f ca="1">transport!B18</f>
        <v>0.45531473012648455</v>
      </c>
      <c r="D50" s="703">
        <f>transport!C18</f>
        <v>0</v>
      </c>
      <c r="E50" s="703">
        <f>transport!D18</f>
        <v>1.2020919781338906</v>
      </c>
      <c r="F50" s="703">
        <f>transport!E18</f>
        <v>5.1108813043307491</v>
      </c>
      <c r="G50" s="703">
        <f>transport!F18</f>
        <v>0</v>
      </c>
      <c r="H50" s="703">
        <f>transport!G18</f>
        <v>1541.211903649257</v>
      </c>
      <c r="I50" s="703">
        <f>transport!H18</f>
        <v>394.95955470843387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1942.9397463702819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0.45531473012648455</v>
      </c>
      <c r="D52" s="732">
        <f t="shared" ref="D52:Q52" ca="1" si="6">SUM(D48:D51)</f>
        <v>0</v>
      </c>
      <c r="E52" s="732">
        <f t="shared" si="6"/>
        <v>1.2020919781338906</v>
      </c>
      <c r="F52" s="732">
        <f t="shared" si="6"/>
        <v>5.1108813043307491</v>
      </c>
      <c r="G52" s="732">
        <f t="shared" si="6"/>
        <v>0</v>
      </c>
      <c r="H52" s="732">
        <f t="shared" si="6"/>
        <v>1576.3474924420782</v>
      </c>
      <c r="I52" s="732">
        <f t="shared" si="6"/>
        <v>394.95955470843387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1978.0753351631031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89.722443278996138</v>
      </c>
      <c r="D54" s="703">
        <f ca="1">+landbouw!C12</f>
        <v>0</v>
      </c>
      <c r="E54" s="703">
        <f>+landbouw!D12</f>
        <v>4.2902083151865522</v>
      </c>
      <c r="F54" s="703">
        <f>+landbouw!E12</f>
        <v>2.6823099656688938</v>
      </c>
      <c r="G54" s="703">
        <f>+landbouw!F12</f>
        <v>447.21637396414388</v>
      </c>
      <c r="H54" s="703">
        <f>+landbouw!G12</f>
        <v>0</v>
      </c>
      <c r="I54" s="703">
        <f>+landbouw!H12</f>
        <v>0</v>
      </c>
      <c r="J54" s="703">
        <f>+landbouw!I12</f>
        <v>0</v>
      </c>
      <c r="K54" s="703">
        <f>+landbouw!J12</f>
        <v>23.353459214158448</v>
      </c>
      <c r="L54" s="703">
        <f>+landbouw!K12</f>
        <v>0</v>
      </c>
      <c r="M54" s="703">
        <f>+landbouw!L12</f>
        <v>0</v>
      </c>
      <c r="N54" s="703">
        <f>+landbouw!M12</f>
        <v>0</v>
      </c>
      <c r="O54" s="703">
        <f>+landbouw!N12</f>
        <v>0</v>
      </c>
      <c r="P54" s="703">
        <f>+landbouw!O12</f>
        <v>0</v>
      </c>
      <c r="Q54" s="704">
        <f>+landbouw!P12</f>
        <v>0</v>
      </c>
      <c r="R54" s="731">
        <f ca="1">SUM(C54:Q54)</f>
        <v>567.26479473815391</v>
      </c>
    </row>
    <row r="55" spans="1:18" ht="15" thickBot="1">
      <c r="A55" s="825" t="s">
        <v>848</v>
      </c>
      <c r="B55" s="835"/>
      <c r="C55" s="703">
        <f ca="1">C25*'EF ele_warmte'!B12</f>
        <v>44.088523991782139</v>
      </c>
      <c r="D55" s="703"/>
      <c r="E55" s="703">
        <f>E25*EF_CO2_aardgas</f>
        <v>8.0099435249340019</v>
      </c>
      <c r="F55" s="703"/>
      <c r="G55" s="703"/>
      <c r="H55" s="703"/>
      <c r="I55" s="703"/>
      <c r="J55" s="703"/>
      <c r="K55" s="703"/>
      <c r="L55" s="703"/>
      <c r="M55" s="703"/>
      <c r="N55" s="703"/>
      <c r="O55" s="703"/>
      <c r="P55" s="703"/>
      <c r="Q55" s="704"/>
      <c r="R55" s="731">
        <f ca="1">SUM(C55:Q55)</f>
        <v>52.098467516716141</v>
      </c>
    </row>
    <row r="56" spans="1:18" ht="15.75" thickBot="1">
      <c r="A56" s="823" t="s">
        <v>849</v>
      </c>
      <c r="B56" s="836"/>
      <c r="C56" s="732">
        <f ca="1">SUM(C54:C55)</f>
        <v>133.81096727077829</v>
      </c>
      <c r="D56" s="732">
        <f t="shared" ref="D56:Q56" ca="1" si="7">SUM(D54:D55)</f>
        <v>0</v>
      </c>
      <c r="E56" s="732">
        <f t="shared" si="7"/>
        <v>12.300151840120554</v>
      </c>
      <c r="F56" s="732">
        <f t="shared" si="7"/>
        <v>2.6823099656688938</v>
      </c>
      <c r="G56" s="732">
        <f t="shared" si="7"/>
        <v>447.21637396414388</v>
      </c>
      <c r="H56" s="732">
        <f t="shared" si="7"/>
        <v>0</v>
      </c>
      <c r="I56" s="732">
        <f t="shared" si="7"/>
        <v>0</v>
      </c>
      <c r="J56" s="732">
        <f t="shared" si="7"/>
        <v>0</v>
      </c>
      <c r="K56" s="732">
        <f t="shared" si="7"/>
        <v>23.353459214158448</v>
      </c>
      <c r="L56" s="732">
        <f t="shared" si="7"/>
        <v>0</v>
      </c>
      <c r="M56" s="732">
        <f t="shared" si="7"/>
        <v>0</v>
      </c>
      <c r="N56" s="732">
        <f t="shared" si="7"/>
        <v>0</v>
      </c>
      <c r="O56" s="732">
        <f t="shared" si="7"/>
        <v>0</v>
      </c>
      <c r="P56" s="732">
        <f t="shared" si="7"/>
        <v>0</v>
      </c>
      <c r="Q56" s="733">
        <f t="shared" si="7"/>
        <v>0</v>
      </c>
      <c r="R56" s="734">
        <f ca="1">SUM(R54:R55)</f>
        <v>619.36326225487005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1139.3938107013419</v>
      </c>
      <c r="D61" s="740">
        <f t="shared" ref="D61:Q61" ca="1" si="8">D46+D52+D56</f>
        <v>0</v>
      </c>
      <c r="E61" s="740">
        <f t="shared" ca="1" si="8"/>
        <v>582.5253341055369</v>
      </c>
      <c r="F61" s="740">
        <f t="shared" si="8"/>
        <v>767.56883525473313</v>
      </c>
      <c r="G61" s="740">
        <f t="shared" ca="1" si="8"/>
        <v>3100.1717017415858</v>
      </c>
      <c r="H61" s="740">
        <f t="shared" si="8"/>
        <v>1576.3474924420782</v>
      </c>
      <c r="I61" s="740">
        <f t="shared" si="8"/>
        <v>394.95955470843387</v>
      </c>
      <c r="J61" s="740">
        <f t="shared" si="8"/>
        <v>0</v>
      </c>
      <c r="K61" s="740">
        <f t="shared" si="8"/>
        <v>288.87804095330569</v>
      </c>
      <c r="L61" s="740">
        <f t="shared" si="8"/>
        <v>0</v>
      </c>
      <c r="M61" s="740">
        <f t="shared" ca="1" si="8"/>
        <v>0</v>
      </c>
      <c r="N61" s="740">
        <f t="shared" si="8"/>
        <v>0</v>
      </c>
      <c r="O61" s="740">
        <f t="shared" ca="1" si="8"/>
        <v>0</v>
      </c>
      <c r="P61" s="740">
        <f t="shared" si="8"/>
        <v>0</v>
      </c>
      <c r="Q61" s="740">
        <f t="shared" si="8"/>
        <v>0</v>
      </c>
      <c r="R61" s="740">
        <f ca="1">R46+R52+R56</f>
        <v>7849.8447699070148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0.19579638366377256</v>
      </c>
      <c r="D63" s="781">
        <f t="shared" ca="1" si="9"/>
        <v>0</v>
      </c>
      <c r="E63" s="1023">
        <f t="shared" ca="1" si="9"/>
        <v>0.20200000000000001</v>
      </c>
      <c r="F63" s="781">
        <f t="shared" si="9"/>
        <v>0.22699999999999998</v>
      </c>
      <c r="G63" s="781">
        <f t="shared" ca="1" si="9"/>
        <v>0.26699999999999996</v>
      </c>
      <c r="H63" s="781">
        <f t="shared" si="9"/>
        <v>0.26699999999999996</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663.65103502825696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663.65103502825696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663.65103502825696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663.65103502825696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4119.9637324703908</v>
      </c>
      <c r="C4" s="477">
        <f>huishoudens!C8</f>
        <v>0</v>
      </c>
      <c r="D4" s="477">
        <f>huishoudens!D8</f>
        <v>2017.8145587005997</v>
      </c>
      <c r="E4" s="477">
        <f>huishoudens!E8</f>
        <v>3326.6286556166838</v>
      </c>
      <c r="F4" s="477">
        <f>huishoudens!F8</f>
        <v>9707.6510703304775</v>
      </c>
      <c r="G4" s="477">
        <f>huishoudens!G8</f>
        <v>0</v>
      </c>
      <c r="H4" s="477">
        <f>huishoudens!H8</f>
        <v>0</v>
      </c>
      <c r="I4" s="477">
        <f>huishoudens!I8</f>
        <v>0</v>
      </c>
      <c r="J4" s="477">
        <f>huishoudens!J8</f>
        <v>749.10083892631644</v>
      </c>
      <c r="K4" s="477">
        <f>huishoudens!K8</f>
        <v>0</v>
      </c>
      <c r="L4" s="477">
        <f>huishoudens!L8</f>
        <v>0</v>
      </c>
      <c r="M4" s="477">
        <f>huishoudens!M8</f>
        <v>0</v>
      </c>
      <c r="N4" s="477">
        <f>huishoudens!N8</f>
        <v>4504.2050826727655</v>
      </c>
      <c r="O4" s="477">
        <f>huishoudens!O8</f>
        <v>35.956666666666671</v>
      </c>
      <c r="P4" s="478">
        <f>huishoudens!P8</f>
        <v>133.46666666666667</v>
      </c>
      <c r="Q4" s="479">
        <f>SUM(B4:P4)</f>
        <v>24594.787272050562</v>
      </c>
    </row>
    <row r="5" spans="1:17">
      <c r="A5" s="476" t="s">
        <v>156</v>
      </c>
      <c r="B5" s="477">
        <f ca="1">tertiair!B16</f>
        <v>723.53854511500003</v>
      </c>
      <c r="C5" s="477">
        <f ca="1">tertiair!C16</f>
        <v>0</v>
      </c>
      <c r="D5" s="477">
        <f ca="1">tertiair!D16</f>
        <v>799.13143282060014</v>
      </c>
      <c r="E5" s="477">
        <f>tertiair!E16</f>
        <v>13.916336853883621</v>
      </c>
      <c r="F5" s="477">
        <f ca="1">tertiair!F16</f>
        <v>202.47108931379728</v>
      </c>
      <c r="G5" s="477">
        <f>tertiair!G16</f>
        <v>0</v>
      </c>
      <c r="H5" s="477">
        <f>tertiair!H16</f>
        <v>0</v>
      </c>
      <c r="I5" s="477">
        <f>tertiair!I16</f>
        <v>0</v>
      </c>
      <c r="J5" s="477">
        <f>tertiair!J16</f>
        <v>0</v>
      </c>
      <c r="K5" s="477">
        <f>tertiair!K16</f>
        <v>0</v>
      </c>
      <c r="L5" s="477">
        <f ca="1">tertiair!L16</f>
        <v>0</v>
      </c>
      <c r="M5" s="477">
        <f>tertiair!M16</f>
        <v>0</v>
      </c>
      <c r="N5" s="477">
        <f ca="1">tertiair!N16</f>
        <v>62.808994128811406</v>
      </c>
      <c r="O5" s="477">
        <f>tertiair!O16</f>
        <v>0</v>
      </c>
      <c r="P5" s="478">
        <f>tertiair!P16</f>
        <v>0</v>
      </c>
      <c r="Q5" s="476">
        <f t="shared" ref="Q5:Q14" ca="1" si="0">SUM(B5:P5)</f>
        <v>1801.8663982320925</v>
      </c>
    </row>
    <row r="6" spans="1:17">
      <c r="A6" s="476" t="s">
        <v>194</v>
      </c>
      <c r="B6" s="477">
        <f>'openbare verlichting'!B8</f>
        <v>170.55699999999999</v>
      </c>
      <c r="C6" s="477"/>
      <c r="D6" s="477"/>
      <c r="E6" s="477"/>
      <c r="F6" s="477"/>
      <c r="G6" s="477"/>
      <c r="H6" s="477"/>
      <c r="I6" s="477"/>
      <c r="J6" s="477"/>
      <c r="K6" s="477"/>
      <c r="L6" s="477"/>
      <c r="M6" s="477"/>
      <c r="N6" s="477"/>
      <c r="O6" s="477"/>
      <c r="P6" s="478"/>
      <c r="Q6" s="476">
        <f t="shared" si="0"/>
        <v>170.55699999999999</v>
      </c>
    </row>
    <row r="7" spans="1:17">
      <c r="A7" s="476" t="s">
        <v>112</v>
      </c>
      <c r="B7" s="477">
        <f>landbouw!B8</f>
        <v>458.24361819200004</v>
      </c>
      <c r="C7" s="477">
        <f>landbouw!C8</f>
        <v>0</v>
      </c>
      <c r="D7" s="477">
        <f>landbouw!D8</f>
        <v>21.238655025676</v>
      </c>
      <c r="E7" s="477">
        <f>landbouw!E8</f>
        <v>11.816343461096448</v>
      </c>
      <c r="F7" s="477">
        <f>landbouw!F8</f>
        <v>1674.9676927496025</v>
      </c>
      <c r="G7" s="477">
        <f>landbouw!G8</f>
        <v>0</v>
      </c>
      <c r="H7" s="477">
        <f>landbouw!H8</f>
        <v>0</v>
      </c>
      <c r="I7" s="477">
        <f>landbouw!I8</f>
        <v>0</v>
      </c>
      <c r="J7" s="477">
        <f>landbouw!J8</f>
        <v>65.970223768809177</v>
      </c>
      <c r="K7" s="477">
        <f>landbouw!K8</f>
        <v>0</v>
      </c>
      <c r="L7" s="477">
        <f>landbouw!L8</f>
        <v>0</v>
      </c>
      <c r="M7" s="477">
        <f>landbouw!M8</f>
        <v>0</v>
      </c>
      <c r="N7" s="477">
        <f>landbouw!N8</f>
        <v>0</v>
      </c>
      <c r="O7" s="477">
        <f>landbouw!O8</f>
        <v>0</v>
      </c>
      <c r="P7" s="478">
        <f>landbouw!P8</f>
        <v>0</v>
      </c>
      <c r="Q7" s="476">
        <f t="shared" si="0"/>
        <v>2232.2365331971841</v>
      </c>
    </row>
    <row r="8" spans="1:17">
      <c r="A8" s="476" t="s">
        <v>638</v>
      </c>
      <c r="B8" s="477">
        <f>industrie!B18</f>
        <v>119.47541744999999</v>
      </c>
      <c r="C8" s="477">
        <f>industrie!C18</f>
        <v>0</v>
      </c>
      <c r="D8" s="477">
        <f>industrie!D18</f>
        <v>0</v>
      </c>
      <c r="E8" s="477">
        <f>industrie!E18</f>
        <v>6.4842761846465296</v>
      </c>
      <c r="F8" s="477">
        <f>industrie!F18</f>
        <v>26.040116675733294</v>
      </c>
      <c r="G8" s="477">
        <f>industrie!G18</f>
        <v>0</v>
      </c>
      <c r="H8" s="477">
        <f>industrie!H18</f>
        <v>0</v>
      </c>
      <c r="I8" s="477">
        <f>industrie!I18</f>
        <v>0</v>
      </c>
      <c r="J8" s="477">
        <f>industrie!J18</f>
        <v>0.96860101477757676</v>
      </c>
      <c r="K8" s="477">
        <f>industrie!K18</f>
        <v>0</v>
      </c>
      <c r="L8" s="477">
        <f>industrie!L18</f>
        <v>0</v>
      </c>
      <c r="M8" s="477">
        <f>industrie!M18</f>
        <v>0</v>
      </c>
      <c r="N8" s="477">
        <f>industrie!N18</f>
        <v>24.058489129255538</v>
      </c>
      <c r="O8" s="477">
        <f>industrie!O18</f>
        <v>0</v>
      </c>
      <c r="P8" s="478">
        <f>industrie!P18</f>
        <v>0</v>
      </c>
      <c r="Q8" s="476">
        <f t="shared" si="0"/>
        <v>177.02690045441295</v>
      </c>
    </row>
    <row r="9" spans="1:17" s="482" customFormat="1">
      <c r="A9" s="480" t="s">
        <v>564</v>
      </c>
      <c r="B9" s="481">
        <f>transport!B14</f>
        <v>2.3254501518698358</v>
      </c>
      <c r="C9" s="481">
        <f>transport!C14</f>
        <v>0</v>
      </c>
      <c r="D9" s="481">
        <f>transport!D14</f>
        <v>5.9509503868014377</v>
      </c>
      <c r="E9" s="481">
        <f>transport!E14</f>
        <v>22.514895613791847</v>
      </c>
      <c r="F9" s="481">
        <f>transport!F14</f>
        <v>0</v>
      </c>
      <c r="G9" s="481">
        <f>transport!G14</f>
        <v>5772.3292271507753</v>
      </c>
      <c r="H9" s="481">
        <f>transport!H14</f>
        <v>1586.1829506362806</v>
      </c>
      <c r="I9" s="481">
        <f>transport!I14</f>
        <v>0</v>
      </c>
      <c r="J9" s="481">
        <f>transport!J14</f>
        <v>0</v>
      </c>
      <c r="K9" s="481">
        <f>transport!K14</f>
        <v>0</v>
      </c>
      <c r="L9" s="481">
        <f>transport!L14</f>
        <v>0</v>
      </c>
      <c r="M9" s="481">
        <f>transport!M14</f>
        <v>229.39607649307473</v>
      </c>
      <c r="N9" s="481">
        <f>transport!N14</f>
        <v>0</v>
      </c>
      <c r="O9" s="481">
        <f>transport!O14</f>
        <v>0</v>
      </c>
      <c r="P9" s="481">
        <f>transport!P14</f>
        <v>0</v>
      </c>
      <c r="Q9" s="480">
        <f>SUM(B9:P9)</f>
        <v>7618.6995504325932</v>
      </c>
    </row>
    <row r="10" spans="1:17">
      <c r="A10" s="476" t="s">
        <v>554</v>
      </c>
      <c r="B10" s="477">
        <f>transport!B54</f>
        <v>0</v>
      </c>
      <c r="C10" s="477">
        <f>transport!C54</f>
        <v>0</v>
      </c>
      <c r="D10" s="477">
        <f>transport!D54</f>
        <v>0</v>
      </c>
      <c r="E10" s="477">
        <f>transport!E54</f>
        <v>0</v>
      </c>
      <c r="F10" s="477">
        <f>transport!F54</f>
        <v>0</v>
      </c>
      <c r="G10" s="477">
        <f>transport!G54</f>
        <v>131.59396551618443</v>
      </c>
      <c r="H10" s="477">
        <f>transport!H54</f>
        <v>0</v>
      </c>
      <c r="I10" s="477">
        <f>transport!I54</f>
        <v>0</v>
      </c>
      <c r="J10" s="477">
        <f>transport!J54</f>
        <v>0</v>
      </c>
      <c r="K10" s="477">
        <f>transport!K54</f>
        <v>0</v>
      </c>
      <c r="L10" s="477">
        <f>transport!L54</f>
        <v>0</v>
      </c>
      <c r="M10" s="477">
        <f>transport!M54</f>
        <v>4.0817504106494811</v>
      </c>
      <c r="N10" s="477">
        <f>transport!N54</f>
        <v>0</v>
      </c>
      <c r="O10" s="477">
        <f>transport!O54</f>
        <v>0</v>
      </c>
      <c r="P10" s="478">
        <f>transport!P54</f>
        <v>0</v>
      </c>
      <c r="Q10" s="476">
        <f t="shared" si="0"/>
        <v>135.6757159268339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225.17537437000001</v>
      </c>
      <c r="C14" s="484"/>
      <c r="D14" s="484">
        <f>'SEAP template'!E25</f>
        <v>39.653185767000004</v>
      </c>
      <c r="E14" s="484"/>
      <c r="F14" s="484"/>
      <c r="G14" s="484"/>
      <c r="H14" s="484"/>
      <c r="I14" s="484"/>
      <c r="J14" s="484"/>
      <c r="K14" s="484"/>
      <c r="L14" s="484"/>
      <c r="M14" s="484"/>
      <c r="N14" s="484"/>
      <c r="O14" s="484"/>
      <c r="P14" s="485"/>
      <c r="Q14" s="476">
        <f t="shared" si="0"/>
        <v>264.82856013700001</v>
      </c>
    </row>
    <row r="15" spans="1:17" s="486" customFormat="1">
      <c r="A15" s="1038" t="s">
        <v>558</v>
      </c>
      <c r="B15" s="978">
        <f ca="1">SUM(B4:B14)</f>
        <v>5819.2791377492604</v>
      </c>
      <c r="C15" s="978">
        <f t="shared" ref="C15:Q15" ca="1" si="1">SUM(C4:C14)</f>
        <v>0</v>
      </c>
      <c r="D15" s="978">
        <f t="shared" ca="1" si="1"/>
        <v>2883.788782700678</v>
      </c>
      <c r="E15" s="978">
        <f t="shared" si="1"/>
        <v>3381.3605077301022</v>
      </c>
      <c r="F15" s="978">
        <f t="shared" ca="1" si="1"/>
        <v>11611.129969069611</v>
      </c>
      <c r="G15" s="978">
        <f t="shared" si="1"/>
        <v>5903.9231926669599</v>
      </c>
      <c r="H15" s="978">
        <f t="shared" si="1"/>
        <v>1586.1829506362806</v>
      </c>
      <c r="I15" s="978">
        <f t="shared" si="1"/>
        <v>0</v>
      </c>
      <c r="J15" s="978">
        <f t="shared" si="1"/>
        <v>816.03966370990327</v>
      </c>
      <c r="K15" s="978">
        <f t="shared" si="1"/>
        <v>0</v>
      </c>
      <c r="L15" s="978">
        <f t="shared" ca="1" si="1"/>
        <v>0</v>
      </c>
      <c r="M15" s="978">
        <f t="shared" si="1"/>
        <v>233.47782690372421</v>
      </c>
      <c r="N15" s="978">
        <f t="shared" ca="1" si="1"/>
        <v>4591.0725659308328</v>
      </c>
      <c r="O15" s="978">
        <f t="shared" si="1"/>
        <v>35.956666666666671</v>
      </c>
      <c r="P15" s="978">
        <f t="shared" si="1"/>
        <v>133.46666666666667</v>
      </c>
      <c r="Q15" s="978">
        <f t="shared" ca="1" si="1"/>
        <v>36995.677930430684</v>
      </c>
    </row>
    <row r="17" spans="1:17">
      <c r="A17" s="487" t="s">
        <v>559</v>
      </c>
      <c r="B17" s="786">
        <f ca="1">huishoudens!B10</f>
        <v>0.19579638366377256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806.67399964360106</v>
      </c>
      <c r="C22" s="477">
        <f t="shared" ref="C22:C32" ca="1" si="3">C4*$C$17</f>
        <v>0</v>
      </c>
      <c r="D22" s="477">
        <f t="shared" ref="D22:D32" si="4">D4*$D$17</f>
        <v>407.59854085752119</v>
      </c>
      <c r="E22" s="477">
        <f t="shared" ref="E22:E32" si="5">E4*$E$17</f>
        <v>755.14470482498723</v>
      </c>
      <c r="F22" s="477">
        <f t="shared" ref="F22:F32" si="6">F4*$F$17</f>
        <v>2591.9428357782376</v>
      </c>
      <c r="G22" s="477">
        <f t="shared" ref="G22:G32" si="7">G4*$G$17</f>
        <v>0</v>
      </c>
      <c r="H22" s="477">
        <f t="shared" ref="H22:H32" si="8">H4*$H$17</f>
        <v>0</v>
      </c>
      <c r="I22" s="477">
        <f t="shared" ref="I22:I32" si="9">I4*$I$17</f>
        <v>0</v>
      </c>
      <c r="J22" s="477">
        <f t="shared" ref="J22:J32" si="10">J4*$J$17</f>
        <v>265.18169697991601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4826.5417780842627</v>
      </c>
    </row>
    <row r="23" spans="1:17">
      <c r="A23" s="476" t="s">
        <v>156</v>
      </c>
      <c r="B23" s="477">
        <f t="shared" ca="1" si="2"/>
        <v>141.66623057486436</v>
      </c>
      <c r="C23" s="477">
        <f t="shared" ca="1" si="3"/>
        <v>0</v>
      </c>
      <c r="D23" s="477">
        <f t="shared" ca="1" si="4"/>
        <v>161.42454942976124</v>
      </c>
      <c r="E23" s="477">
        <f t="shared" si="5"/>
        <v>3.1590084658315822</v>
      </c>
      <c r="F23" s="477">
        <f t="shared" ca="1" si="6"/>
        <v>54.059780846783873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360.30956931724103</v>
      </c>
    </row>
    <row r="24" spans="1:17">
      <c r="A24" s="476" t="s">
        <v>194</v>
      </c>
      <c r="B24" s="477">
        <f t="shared" ca="1" si="2"/>
        <v>33.39444380854205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33.39444380854205</v>
      </c>
    </row>
    <row r="25" spans="1:17">
      <c r="A25" s="476" t="s">
        <v>112</v>
      </c>
      <c r="B25" s="477">
        <f t="shared" ca="1" si="2"/>
        <v>89.722443278996138</v>
      </c>
      <c r="C25" s="477">
        <f t="shared" ca="1" si="3"/>
        <v>0</v>
      </c>
      <c r="D25" s="477">
        <f t="shared" si="4"/>
        <v>4.2902083151865522</v>
      </c>
      <c r="E25" s="477">
        <f t="shared" si="5"/>
        <v>2.6823099656688938</v>
      </c>
      <c r="F25" s="477">
        <f t="shared" si="6"/>
        <v>447.21637396414388</v>
      </c>
      <c r="G25" s="477">
        <f t="shared" si="7"/>
        <v>0</v>
      </c>
      <c r="H25" s="477">
        <f t="shared" si="8"/>
        <v>0</v>
      </c>
      <c r="I25" s="477">
        <f t="shared" si="9"/>
        <v>0</v>
      </c>
      <c r="J25" s="477">
        <f t="shared" si="10"/>
        <v>23.353459214158448</v>
      </c>
      <c r="K25" s="477">
        <f t="shared" si="11"/>
        <v>0</v>
      </c>
      <c r="L25" s="477">
        <f t="shared" si="12"/>
        <v>0</v>
      </c>
      <c r="M25" s="477">
        <f t="shared" si="13"/>
        <v>0</v>
      </c>
      <c r="N25" s="477">
        <f t="shared" si="14"/>
        <v>0</v>
      </c>
      <c r="O25" s="477">
        <f t="shared" si="15"/>
        <v>0</v>
      </c>
      <c r="P25" s="478">
        <f t="shared" si="16"/>
        <v>0</v>
      </c>
      <c r="Q25" s="476">
        <f t="shared" ca="1" si="17"/>
        <v>567.26479473815391</v>
      </c>
    </row>
    <row r="26" spans="1:17">
      <c r="A26" s="476" t="s">
        <v>638</v>
      </c>
      <c r="B26" s="477">
        <f t="shared" ca="1" si="2"/>
        <v>23.392854673429586</v>
      </c>
      <c r="C26" s="477">
        <f t="shared" ca="1" si="3"/>
        <v>0</v>
      </c>
      <c r="D26" s="477">
        <f t="shared" si="4"/>
        <v>0</v>
      </c>
      <c r="E26" s="477">
        <f t="shared" si="5"/>
        <v>1.4719306939147623</v>
      </c>
      <c r="F26" s="477">
        <f t="shared" si="6"/>
        <v>6.9527111524207896</v>
      </c>
      <c r="G26" s="477">
        <f t="shared" si="7"/>
        <v>0</v>
      </c>
      <c r="H26" s="477">
        <f t="shared" si="8"/>
        <v>0</v>
      </c>
      <c r="I26" s="477">
        <f t="shared" si="9"/>
        <v>0</v>
      </c>
      <c r="J26" s="477">
        <f t="shared" si="10"/>
        <v>0.34288475923126216</v>
      </c>
      <c r="K26" s="477">
        <f t="shared" si="11"/>
        <v>0</v>
      </c>
      <c r="L26" s="477">
        <f t="shared" si="12"/>
        <v>0</v>
      </c>
      <c r="M26" s="477">
        <f t="shared" si="13"/>
        <v>0</v>
      </c>
      <c r="N26" s="477">
        <f t="shared" si="14"/>
        <v>0</v>
      </c>
      <c r="O26" s="477">
        <f t="shared" si="15"/>
        <v>0</v>
      </c>
      <c r="P26" s="478">
        <f t="shared" si="16"/>
        <v>0</v>
      </c>
      <c r="Q26" s="476">
        <f t="shared" ca="1" si="17"/>
        <v>32.160381278996397</v>
      </c>
    </row>
    <row r="27" spans="1:17" s="482" customFormat="1">
      <c r="A27" s="480" t="s">
        <v>564</v>
      </c>
      <c r="B27" s="780">
        <f t="shared" ca="1" si="2"/>
        <v>0.45531473012648455</v>
      </c>
      <c r="C27" s="481">
        <f t="shared" ca="1" si="3"/>
        <v>0</v>
      </c>
      <c r="D27" s="481">
        <f t="shared" si="4"/>
        <v>1.2020919781338906</v>
      </c>
      <c r="E27" s="481">
        <f t="shared" si="5"/>
        <v>5.1108813043307491</v>
      </c>
      <c r="F27" s="481">
        <f t="shared" si="6"/>
        <v>0</v>
      </c>
      <c r="G27" s="481">
        <f t="shared" si="7"/>
        <v>1541.211903649257</v>
      </c>
      <c r="H27" s="481">
        <f t="shared" si="8"/>
        <v>394.95955470843387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1942.9397463702819</v>
      </c>
    </row>
    <row r="28" spans="1:17">
      <c r="A28" s="476" t="s">
        <v>554</v>
      </c>
      <c r="B28" s="477">
        <f t="shared" ca="1" si="2"/>
        <v>0</v>
      </c>
      <c r="C28" s="477">
        <f t="shared" ca="1" si="3"/>
        <v>0</v>
      </c>
      <c r="D28" s="477">
        <f t="shared" si="4"/>
        <v>0</v>
      </c>
      <c r="E28" s="477">
        <f t="shared" si="5"/>
        <v>0</v>
      </c>
      <c r="F28" s="477">
        <f t="shared" si="6"/>
        <v>0</v>
      </c>
      <c r="G28" s="477">
        <f t="shared" si="7"/>
        <v>35.135588792821245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35.135588792821245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44.088523991782139</v>
      </c>
      <c r="C32" s="477">
        <f t="shared" ca="1" si="3"/>
        <v>0</v>
      </c>
      <c r="D32" s="477">
        <f t="shared" si="4"/>
        <v>8.0099435249340019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52.098467516716141</v>
      </c>
    </row>
    <row r="33" spans="1:17" s="486" customFormat="1">
      <c r="A33" s="1038" t="s">
        <v>558</v>
      </c>
      <c r="B33" s="978">
        <f ca="1">SUM(B22:B32)</f>
        <v>1139.3938107013416</v>
      </c>
      <c r="C33" s="978">
        <f t="shared" ref="C33:Q33" ca="1" si="18">SUM(C22:C32)</f>
        <v>0</v>
      </c>
      <c r="D33" s="978">
        <f t="shared" ca="1" si="18"/>
        <v>582.5253341055369</v>
      </c>
      <c r="E33" s="978">
        <f t="shared" si="18"/>
        <v>767.56883525473313</v>
      </c>
      <c r="F33" s="978">
        <f t="shared" ca="1" si="18"/>
        <v>3100.1717017415858</v>
      </c>
      <c r="G33" s="978">
        <f t="shared" si="18"/>
        <v>1576.3474924420782</v>
      </c>
      <c r="H33" s="978">
        <f t="shared" si="18"/>
        <v>394.95955470843387</v>
      </c>
      <c r="I33" s="978">
        <f t="shared" si="18"/>
        <v>0</v>
      </c>
      <c r="J33" s="978">
        <f t="shared" si="18"/>
        <v>288.87804095330574</v>
      </c>
      <c r="K33" s="978">
        <f t="shared" si="18"/>
        <v>0</v>
      </c>
      <c r="L33" s="978">
        <f t="shared" ca="1" si="18"/>
        <v>0</v>
      </c>
      <c r="M33" s="978">
        <f t="shared" si="18"/>
        <v>0</v>
      </c>
      <c r="N33" s="978">
        <f t="shared" ca="1" si="18"/>
        <v>0</v>
      </c>
      <c r="O33" s="978">
        <f t="shared" si="18"/>
        <v>0</v>
      </c>
      <c r="P33" s="978">
        <f t="shared" si="18"/>
        <v>0</v>
      </c>
      <c r="Q33" s="978">
        <f t="shared" ca="1" si="18"/>
        <v>7849.8447699070148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663.65103502825696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663.65103502825696</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0.19579638366377256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0.19579638366377256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2019-08-12T08:23:08Z</dcterms:modified>
</cp:coreProperties>
</file>