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<sst xmlns="http://schemas.openxmlformats.org/spreadsheetml/2006/main" count="2392" uniqueCount="890">
  <si>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</si>
  <si>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</si>
  <si>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</si>
  <si>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</si>
  <si>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</si>
  <si>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</si>
  <si>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</si>
  <si>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</si>
  <si>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</si>
  <si>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</si>
  <si>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</si>
  <si>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</si>
  <si>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</si>
  <si>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</si>
  <si>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</si>
  <si>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</si>
  <si>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</si>
  <si>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</si>
  <si>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</si>
  <si>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</si>
  <si>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</si>
  <si>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</si>
  <si>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</si>
  <si>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</si>
  <si>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</si>
  <si>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</si>
  <si>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</si>
  <si>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</si>
  <si>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</si>
  <si>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</si>
  <si>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</si>
  <si>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</si>
  <si>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</si>
  <si>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</si>
  <si>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</si>
  <si>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</si>
  <si>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</si>
  <si>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</si>
  <si>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</si>
  <si>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</si>
  <si>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</si>
  <si>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</si>
  <si>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</si>
  <si>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</si>
  <si>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</si>
  <si>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</si>
  <si>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</si>
  <si>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</si>
  <si>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</si>
  <si>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</si>
  <si>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</si>
  <si>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</si>
  <si>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</si>
  <si>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</si>
  <si>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</si>
  <si>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</si>
  <si>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</si>
  <si>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</si>
  <si>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</si>
  <si>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</si>
  <si>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</si>
  <si>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</si>
  <si>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</si>
  <si>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</si>
  <si>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</si>
  <si>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</si>
  <si>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</si>
  <si>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</si>
  <si>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</si>
  <si>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</si>
  <si>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</si>
  <si>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</si>
  <si>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</si>
  <si>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</si>
  <si>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</si>
  <si>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</si>
  <si>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</si>
  <si>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</si>
  <si>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</si>
  <si>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</si>
  <si>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</si>
  <si>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</si>
  <si>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</si>
  <si>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</si>
  <si>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</si>
  <si>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</si>
  <si>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</si>
  <si>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</si>
  <si>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</si>
  <si>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</si>
  <si>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</si>
  <si>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</si>
  <si>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</si>
  <si>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</si>
  <si>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</si>
  <si>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</si>
  <si>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</si>
  <si>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</si>
  <si>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</si>
  <si>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</si>
  <si>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</si>
  <si>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</si>
  <si>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</si>
  <si>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</si>
  <si>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</si>
  <si>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</si>
  <si>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</si>
  <si>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</si>
  <si>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</si>
  <si>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</si>
  <si>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</si>
  <si>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</si>
  <si>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</si>
  <si>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</si>
  <si>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</si>
  <si>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</si>
  <si>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</si>
  <si>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</si>
  <si>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</si>
  <si>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</si>
  <si>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</si>
  <si>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</si>
  <si>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</si>
  <si>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</si>
  <si>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</si>
  <si>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</si>
  <si>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</si>
  <si>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</si>
  <si>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</si>
  <si>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</si>
  <si>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</si>
  <si>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</si>
  <si>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</si>
  <si>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</si>
  <si>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</si>
  <si>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</si>
  <si>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</si>
  <si>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</si>
  <si>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</si>
  <si>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</si>
  <si>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</si>
  <si>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</si>
  <si>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</si>
  <si>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</si>
  <si>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</si>
  <si>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</si>
  <si>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</si>
  <si>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</si>
  <si>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</si>
  <si>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</si>
  <si>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</si>
  <si>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</si>
  <si>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</si>
  <si>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</si>
  <si>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</si>
  <si>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</si>
  <si>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</si>
  <si>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</si>
  <si>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</si>
  <si>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</si>
  <si>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</si>
  <si>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</si>
  <si>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</si>
  <si>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</si>
  <si>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</si>
  <si>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</si>
  <si>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</si>
  <si>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</si>
  <si>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</si>
  <si>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</si>
  <si>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</si>
  <si>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</si>
  <si>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</si>
  <si>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</si>
  <si>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</si>
  <si>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</si>
  <si>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</si>
  <si>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</si>
  <si>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</si>
  <si>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</si>
  <si>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</si>
  <si>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</si>
  <si>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</si>
  <si>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</si>
  <si>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</si>
  <si>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</si>
  <si>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</si>
  <si>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</si>
  <si>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</si>
  <si>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</si>
  <si>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</si>
  <si>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</si>
  <si>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</si>
  <si>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</si>
  <si>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</si>
  <si>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</si>
  <si>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</si>
  <si>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</si>
  <si>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</si>
  <si>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</si>
  <si>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</si>
  <si>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</si>
  <si>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</si>
  <si>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</si>
  <si>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</si>
  <si>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</si>
  <si>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</si>
  <si>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</si>
  <si>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</si>
  <si>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</si>
  <si>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</si>
  <si>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</si>
  <si>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</si>
  <si>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</si>
  <si>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</si>
  <si>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</si>
  <si>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</si>
  <si>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</si>
  <si>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</si>
  <si>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</si>
  <si>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</si>
  <si>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</si>
  <si>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</si>
  <si>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</si>
  <si>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</si>
  <si>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</si>
  <si>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</si>
  <si>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</si>
  <si>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</si>
  <si>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</si>
  <si>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</si>
  <si>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</si>
  <si>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</si>
  <si>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</si>
  <si>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</si>
  <si>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</si>
  <si>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</si>
  <si>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</si>
  <si>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</si>
  <si>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</si>
  <si>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</si>
  <si>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</si>
  <si>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</si>
  <si>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</si>
  <si>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</si>
  <si>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</si>
  <si>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</si>
  <si>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</si>
  <si>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</si>
  <si>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</si>
  <si>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</si>
  <si>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</si>
  <si>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</si>
  <si>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</si>
  <si>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</si>
  <si>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</si>
  <si>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</si>
  <si>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</si>
  <si>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</si>
  <si>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</si>
  <si>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</si>
  <si>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</si>
  <si>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</si>
  <si>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</si>
  <si>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</si>
  <si>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</si>
  <si>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</si>
  <si>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</si>
  <si>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</si>
  <si>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</si>
  <si>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</si>
  <si>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</si>
  <si>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</si>
  <si>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</si>
  <si>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</si>
  <si>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</si>
  <si>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</si>
  <si>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</si>
  <si>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</si>
  <si>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</si>
  <si>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</si>
  <si>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</si>
  <si>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</si>
  <si>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</si>
  <si>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</si>
  <si>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</si>
  <si>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</si>
  <si>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</si>
  <si>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</si>
  <si>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</si>
  <si>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</si>
  <si>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</si>
  <si>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</si>
  <si>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</si>
  <si>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</si>
  <si>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</si>
  <si>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</si>
  <si>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</si>
  <si>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</si>
  <si>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</si>
  <si>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</si>
  <si>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</si>
  <si>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</si>
  <si>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</si>
  <si>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</si>
  <si>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</si>
  <si>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</si>
  <si>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</si>
  <si>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</si>
  <si>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</si>
  <si>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</si>
  <si>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</si>
  <si>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</si>
  <si>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</si>
  <si>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</si>
  <si>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</si>
  <si>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</si>
  <si>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</si>
  <si>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</si>
  <si>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</si>
  <si>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</si>
  <si>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</si>
  <si>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</si>
  <si>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</si>
  <si>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</si>
  <si>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</si>
  <si>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</si>
  <si>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</si>
  <si>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</si>
  <si>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</si>
  <si>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</si>
  <si>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</si>
  <si>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</si>
  <si>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</si>
  <si>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</si>
  <si>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</si>
  <si>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</si>
  <si>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</si>
  <si>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</si>
  <si>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</si>
  <si>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</si>
  <si>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</si>
  <si>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</si>
  <si>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</si>
  <si>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</si>
  <si>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</si>
  <si>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</si>
  <si>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</si>
  <si>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</si>
  <si>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</si>
  <si>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</si>
  <si>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</si>
  <si>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</si>
  <si>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</si>
  <si>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</si>
  <si>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</si>
  <si>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</si>
  <si>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</si>
  <si>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</si>
  <si>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</si>
  <si>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</si>
  <si>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</si>
  <si>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</si>
  <si>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</si>
  <si>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</si>
  <si>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</si>
  <si>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</si>
  <si>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</si>
  <si>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</si>
  <si>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</si>
  <si>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</si>
  <si>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</si>
  <si>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</si>
  <si>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</si>
  <si>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</si>
  <si>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</si>
  <si>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</si>
  <si>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</si>
  <si>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</si>
  <si>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</si>
  <si>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</si>
  <si>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</si>
  <si>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</si>
  <si>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</si>
  <si>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</si>
  <si>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</si>
  <si>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</si>
  <si>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</si>
  <si>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</si>
  <si>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</si>
  <si>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</si>
  <si>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</si>
  <si>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</si>
  <si>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</si>
  <si>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</si>
  <si>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</si>
  <si>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</si>
  <si>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</si>
  <si>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</si>
  <si>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</si>
  <si>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</si>
  <si>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</si>
  <si>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</si>
  <si>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</si>
  <si>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</si>
  <si>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</si>
  <si>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</si>
  <si>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</si>
  <si>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</si>
  <si>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</si>
  <si>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</si>
  <si>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</si>
  <si>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</si>
  <si>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</si>
  <si>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</si>
  <si>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</si>
  <si>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</si>
  <si>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</si>
  <si>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</si>
  <si>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</si>
  <si>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</si>
  <si>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</si>
  <si>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</si>
  <si>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</si>
  <si>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</si>
  <si>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</si>
  <si>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</si>
  <si>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</si>
  <si>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</si>
  <si>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</si>
  <si>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</si>
  <si>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</si>
  <si>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</si>
  <si>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</si>
  <si>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</si>
  <si>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</si>
  <si>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</si>
  <si>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</si>
  <si>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</si>
  <si>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</si>
  <si>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</si>
  <si>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</si>
  <si>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</si>
  <si>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</si>
  <si>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</si>
  <si>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</si>
  <si>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</si>
  <si>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</si>
  <si>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</si>
  <si>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</si>
  <si>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</si>
  <si>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</si>
  <si>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</si>
  <si>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</si>
  <si>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</si>
  <si>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</si>
  <si>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</si>
  <si>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</si>
  <si>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</si>
  <si>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</si>
  <si>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</si>
  <si>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</si>
  <si>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</si>
  <si>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</si>
  <si>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</si>
  <si>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</si>
  <si>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</si>
  <si>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</si>
  <si>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</si>
  <si>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</si>
  <si>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</si>
  <si>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</si>
  <si>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</si>
  <si>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</si>
  <si>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</si>
  <si>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</si>
  <si>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</si>
  <si>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</si>
  <si>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</si>
  <si>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</si>
  <si>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</si>
  <si>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</si>
  <si>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</si>
  <si>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</si>
  <si>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</si>
  <si>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</si>
  <si>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</si>
  <si>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</si>
  <si>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</si>
  <si>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</si>
  <si>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</si>
  <si>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</si>
  <si>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</si>
  <si>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</si>
  <si>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</si>
  <si>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</si>
  <si>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</si>
  <si>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</si>
  <si>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</si>
  <si>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</si>
  <si>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</si>
  <si>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</si>
  <si>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</si>
  <si>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</si>
  <si>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</si>
  <si>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</si>
  <si>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</si>
  <si>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</si>
  <si>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</si>
  <si>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</si>
  <si>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</si>
  <si>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</si>
  <si>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</si>
  <si>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</si>
  <si>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</si>
  <si>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</si>
  <si>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</si>
  <si>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</si>
  <si>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</si>
  <si>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</si>
  <si>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</si>
  <si>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</si>
  <si>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</si>
  <si>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</si>
  <si>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</si>
  <si>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</si>
  <si>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</si>
  <si>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</si>
  <si>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</si>
  <si>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</si>
  <si>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</si>
  <si>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</si>
  <si>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</si>
  <si>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</si>
  <si>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</si>
  <si>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</si>
  <si>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</si>
  <si>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</si>
  <si>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</si>
  <si>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</si>
  <si>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</si>
  <si>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</si>
  <si>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</si>
  <si>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</si>
  <si>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</si>
  <si>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</si>
  <si>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</si>
  <si>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</si>
  <si>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</si>
  <si>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</si>
  <si>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</si>
  <si>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</si>
  <si>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</si>
  <si>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</si>
  <si>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</si>
  <si>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</si>
  <si>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</si>
  <si>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</si>
  <si>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</si>
  <si>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</si>
  <si>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</si>
  <si>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</si>
  <si>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</si>
  <si>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</si>
  <si>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</si>
  <si>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</si>
  <si>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</si>
  <si>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</si>
  <si>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</si>
  <si>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</si>
  <si>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</si>
  <si>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</si>
  <si>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</si>
  <si>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</si>
  <si>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</si>
  <si>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</si>
  <si>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</si>
  <si>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</si>
  <si>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</si>
  <si>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</si>
  <si>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</si>
  <si>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</si>
  <si>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</si>
  <si>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</si>
  <si>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</si>
  <si>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</si>
  <si>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</si>
  <si>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</si>
  <si>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</si>
  <si>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</si>
  <si>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</si>
  <si>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</si>
  <si>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</si>
  <si>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</si>
  <si>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</si>
  <si>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</si>
  <si>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</si>
  <si>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</si>
  <si>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</si>
  <si>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</si>
  <si>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</si>
  <si>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</si>
  <si>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</si>
  <si>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</si>
  <si>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</si>
  <si>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</si>
  <si>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</si>
  <si>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</si>
  <si>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</si>
  <si>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</si>
  <si>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</si>
  <si>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</si>
  <si>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</si>
  <si>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</si>
  <si>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</si>
  <si>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</si>
  <si>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</si>
  <si>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</si>
  <si>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</si>
  <si>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</si>
  <si>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</si>
  <si>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</si>
  <si>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</si>
  <si>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</si>
  <si>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</si>
  <si>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</si>
  <si>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</si>
  <si>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</si>
  <si>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</si>
  <si>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</si>
  <si>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</si>
  <si>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</si>
  <si>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</si>
  <si>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</si>
  <si>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</si>
  <si>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</si>
  <si>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</si>
  <si>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</si>
  <si>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</si>
  <si>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</si>
  <si>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</si>
  <si>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</si>
  <si>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</si>
  <si>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</si>
  <si>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</si>
  <si>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</si>
  <si>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</si>
  <si>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</si>
  <si>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</si>
  <si>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</si>
  <si>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</si>
  <si>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</si>
  <si>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</si>
  <si>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</si>
  <si>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</si>
  <si>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</si>
  <si>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</si>
  <si>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</si>
  <si>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</si>
  <si>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</si>
  <si>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</si>
  <si>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</si>
  <si>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</si>
  <si>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</si>
  <si>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</si>
  <si>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</si>
  <si>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</si>
  <si>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</si>
  <si>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</si>
  <si>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</si>
  <si>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</si>
  <si>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</si>
  <si>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</si>
  <si>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</si>
  <si>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</si>
  <si>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</si>
  <si>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</si>
  <si>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</si>
  <si>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</si>
  <si>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</si>
  <si>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</si>
  <si>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</si>
  <si>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</si>
  <si>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</si>
  <si>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</si>
  <si>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</si>
  <si>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</si>
  <si>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</si>
  <si>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</si>
  <si>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</si>
  <si>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</si>
  <si>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</si>
  <si>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</si>
  <si>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</si>
  <si>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</si>
  <si>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</si>
  <si>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</si>
  <si>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</si>
  <si>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</si>
  <si>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</si>
  <si>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</si>
  <si>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</si>
  <si>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</si>
  <si>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</si>
  <si>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</si>
  <si>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</si>
  <si>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</si>
  <si>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</si>
  <si>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</si>
  <si>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</si>
  <si>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</si>
  <si>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</si>
  <si>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</si>
  <si>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</si>
  <si>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</si>
  <si>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</si>
  <si>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</si>
  <si>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</si>
  <si>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</si>
  <si>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</si>
  <si>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</si>
  <si>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</si>
  <si>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</si>
  <si>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</si>
  <si>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</si>
  <si>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</si>
  <si>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</si>
  <si>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</si>
  <si>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</si>
  <si>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</si>
  <si>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</si>
  <si>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</si>
  <si>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</si>
  <si>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</si>
  <si>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</si>
  <si>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</si>
  <si>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</si>
  <si>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</si>
  <si>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</si>
  <si>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</si>
  <si>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</si>
  <si>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</si>
  <si>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</si>
  <si>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</si>
  <si>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</si>
  <si>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</si>
  <si>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</si>
  <si>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</si>
  <si>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</si>
  <si>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</si>
  <si>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</si>
  <si>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</si>
  <si>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</si>
  <si>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</si>
  <si>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</si>
  <si>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</si>
  <si>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</si>
  <si>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</si>
  <si>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</si>
  <si>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</si>
  <si>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</si>
  <si>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</si>
  <si>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</si>
  <si>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</si>
  <si>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</si>
  <si>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</si>
  <si>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</si>
  <si>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</si>
  <si>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</si>
  <si>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</si>
  <si>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</si>
  <si>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</si>
  <si>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</si>
  <si>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</si>
  <si>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</si>
  <si>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</si>
  <si>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</si>
  <si>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</si>
  <si>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</si>
  <si>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</si>
  <si>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</si>
  <si>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</si>
  <si>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</si>
  <si>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</si>
  <si>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</si>
  <si>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</si>
  <si>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</si>
  <si>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</si>
  <si>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</si>
  <si>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</si>
  <si>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</si>
  <si>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</si>
  <si>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</si>
  <si>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</si>
  <si>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</si>
  <si>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</si>
  <si>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</si>
  <si>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</si>
  <si>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</si>
  <si>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</si>
  <si>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</si>
  <si>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</si>
  <si>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</si>
  <si>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</si>
  <si>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</si>
  <si>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</si>
  <si>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</si>
  <si>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</si>
  <si>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</si>
  <si>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</si>
  <si>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</si>
  <si>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</si>
  <si>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</si>
  <si>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</si>
  <si>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</si>
  <si>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</si>
  <si>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</si>
  <si>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</si>
  <si>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</si>
  <si>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</si>
  <si>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</si>
  <si>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</si>
  <si>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</si>
  <si>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</si>
  <si>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</si>
  <si>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</si>
  <si>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</si>
  <si>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</si>
  <si>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</si>
  <si>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</si>
  <si>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</si>
  <si>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</si>
  <si>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</si>
  <si>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</si>
  <si>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</si>
  <si>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</si>
  <si>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</si>
  <si>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</si>
  <si>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</si>
  <si>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</si>
  <si>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</si>
  <si>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</si>
  <si>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</si>
  <si>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</si>
  <si>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</si>
  <si>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</si>
  <si>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</si>
  <si>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</si>
  <si>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</si>
  <si>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</si>
  <si>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</si>
  <si>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</si>
  <si>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</si>
  <si>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</si>
  <si>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</si>
  <si>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</si>
  <si>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</si>
  <si>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</si>
  <si>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</si>
  <si>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</si>
  <si>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</si>
  <si>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</si>
  <si>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</si>
  <si>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</si>
  <si>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</si>
  <si>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</si>
  <si>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</si>
  <si>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</si>
  <si>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</si>
  <si>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</si>
  <si>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</si>
  <si>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</si>
  <si>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</si>
  <si>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</si>
  <si>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</si>
  <si>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</si>
  <si>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</si>
  <si>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</si>
  <si>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</si>
  <si>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</si>
  <si>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</si>
  <si>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</si>
  <si>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23003</t>
  </si>
  <si>
    <t>BEERSEL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</si>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</sst>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197318.08939456462</c:v>
                </c:pt>
                <c:pt idx="1">
                  <c:v>87040.004724547223</c:v>
                </c:pt>
                <c:pt idx="2">
                  <c:v>2087.3159999999998</c:v>
                </c:pt>
                <c:pt idx="3">
                  <c:v>1227.2155660796741</c:v>
                </c:pt>
                <c:pt idx="4">
                  <c:v>57566.014232350375</c:v>
                </c:pt>
                <c:pt idx="5">
                  <c:v>270389.76580385666</c:v>
                </c:pt>
                <c:pt idx="6">
                  <c:v>2856.3559609044764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197318.08939456462</c:v>
                </c:pt>
                <c:pt idx="1">
                  <c:v>87040.004724547223</c:v>
                </c:pt>
                <c:pt idx="2">
                  <c:v>2087.3159999999998</c:v>
                </c:pt>
                <c:pt idx="3">
                  <c:v>1227.2155660796741</c:v>
                </c:pt>
                <c:pt idx="4">
                  <c:v>57566.014232350375</c:v>
                </c:pt>
                <c:pt idx="5">
                  <c:v>270389.76580385666</c:v>
                </c:pt>
                <c:pt idx="6">
                  <c:v>2856.3559609044764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38970.112599934335</c:v>
                </c:pt>
                <c:pt idx="2">
                  <c:v>17214.357354846215</c:v>
                </c:pt>
                <c:pt idx="3">
                  <c:v>397.87898766512308</c:v>
                </c:pt>
                <c:pt idx="4">
                  <c:v>302.74555685496358</c:v>
                </c:pt>
                <c:pt idx="5">
                  <c:v>10349.331245314948</c:v>
                </c:pt>
                <c:pt idx="6">
                  <c:v>69096.502504944059</c:v>
                </c:pt>
                <c:pt idx="7">
                  <c:v>739.70310606199166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38970.112599934335</c:v>
                </c:pt>
                <c:pt idx="2">
                  <c:v>17214.357354846215</c:v>
                </c:pt>
                <c:pt idx="3">
                  <c:v>397.87898766512308</c:v>
                </c:pt>
                <c:pt idx="4">
                  <c:v>302.74555685496358</c:v>
                </c:pt>
                <c:pt idx="5">
                  <c:v>10349.331245314948</c:v>
                </c:pt>
                <c:pt idx="6">
                  <c:v>69096.502504944059</c:v>
                </c:pt>
                <c:pt idx="7">
                  <c:v>739.70310606199166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23003</v>
      </c>
      <c r="B6" s="415"/>
      <c r="C6" s="416"/>
    </row>
    <row r="7" spans="1:7" s="413" customFormat="1" ht="15.75" customHeight="1">
      <c r="A7" s="417" t="str">
        <f>txtMunicipality</f>
        <v>BEERSEL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0.19061751438935126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0.19061751438935126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9524</v>
      </c>
      <c r="C9" s="342">
        <v>9794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859.43</v>
      </c>
    </row>
    <row r="15" spans="1:6">
      <c r="A15" s="348" t="s">
        <v>184</v>
      </c>
      <c r="B15" s="334">
        <v>4</v>
      </c>
    </row>
    <row r="16" spans="1:6">
      <c r="A16" s="348" t="s">
        <v>6</v>
      </c>
      <c r="B16" s="334">
        <v>97</v>
      </c>
    </row>
    <row r="17" spans="1:6">
      <c r="A17" s="348" t="s">
        <v>7</v>
      </c>
      <c r="B17" s="334">
        <v>310</v>
      </c>
    </row>
    <row r="18" spans="1:6">
      <c r="A18" s="348" t="s">
        <v>8</v>
      </c>
      <c r="B18" s="334">
        <v>293</v>
      </c>
    </row>
    <row r="19" spans="1:6">
      <c r="A19" s="348" t="s">
        <v>9</v>
      </c>
      <c r="B19" s="334">
        <v>246</v>
      </c>
    </row>
    <row r="20" spans="1:6">
      <c r="A20" s="348" t="s">
        <v>10</v>
      </c>
      <c r="B20" s="334">
        <v>263</v>
      </c>
    </row>
    <row r="21" spans="1:6">
      <c r="A21" s="348" t="s">
        <v>11</v>
      </c>
      <c r="B21" s="334">
        <v>124</v>
      </c>
    </row>
    <row r="22" spans="1:6">
      <c r="A22" s="348" t="s">
        <v>12</v>
      </c>
      <c r="B22" s="334">
        <v>376</v>
      </c>
    </row>
    <row r="23" spans="1:6">
      <c r="A23" s="348" t="s">
        <v>13</v>
      </c>
      <c r="B23" s="334">
        <v>6</v>
      </c>
    </row>
    <row r="24" spans="1:6">
      <c r="A24" s="348" t="s">
        <v>14</v>
      </c>
      <c r="B24" s="334">
        <v>0</v>
      </c>
    </row>
    <row r="25" spans="1:6">
      <c r="A25" s="348" t="s">
        <v>15</v>
      </c>
      <c r="B25" s="334">
        <v>75</v>
      </c>
    </row>
    <row r="26" spans="1:6">
      <c r="A26" s="348" t="s">
        <v>16</v>
      </c>
      <c r="B26" s="334">
        <v>32</v>
      </c>
    </row>
    <row r="27" spans="1:6">
      <c r="A27" s="348" t="s">
        <v>17</v>
      </c>
      <c r="B27" s="334">
        <v>0</v>
      </c>
    </row>
    <row r="28" spans="1:6" s="356" customFormat="1">
      <c r="A28" s="355" t="s">
        <v>18</v>
      </c>
      <c r="B28" s="355">
        <v>28</v>
      </c>
    </row>
    <row r="29" spans="1:6">
      <c r="A29" s="355" t="s">
        <v>884</v>
      </c>
      <c r="B29" s="355">
        <v>45</v>
      </c>
      <c r="C29" s="356"/>
      <c r="D29" s="356"/>
      <c r="E29" s="356"/>
      <c r="F29" s="356"/>
    </row>
    <row r="30" spans="1:6">
      <c r="A30" s="355" t="s">
        <v>885</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35543.721015000003</v>
      </c>
    </row>
    <row r="39" spans="1:6">
      <c r="A39" s="348" t="s">
        <v>30</v>
      </c>
      <c r="B39" s="348" t="s">
        <v>31</v>
      </c>
      <c r="C39" s="334">
        <v>6502</v>
      </c>
      <c r="D39" s="334">
        <v>125007497.43000001</v>
      </c>
      <c r="E39" s="334">
        <v>9384</v>
      </c>
      <c r="F39" s="334">
        <v>39762681.026000001</v>
      </c>
    </row>
    <row r="40" spans="1:6">
      <c r="A40" s="348" t="s">
        <v>30</v>
      </c>
      <c r="B40" s="348" t="s">
        <v>29</v>
      </c>
      <c r="C40" s="334">
        <v>0</v>
      </c>
      <c r="D40" s="334">
        <v>0</v>
      </c>
      <c r="E40" s="334">
        <v>0</v>
      </c>
      <c r="F40" s="334">
        <v>0</v>
      </c>
    </row>
    <row r="41" spans="1:6">
      <c r="A41" s="348" t="s">
        <v>32</v>
      </c>
      <c r="B41" s="348" t="s">
        <v>33</v>
      </c>
      <c r="C41" s="334">
        <v>18</v>
      </c>
      <c r="D41" s="334">
        <v>493852.53425999999</v>
      </c>
      <c r="E41" s="334">
        <v>78</v>
      </c>
      <c r="F41" s="334">
        <v>1134783.9219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1832871.8292</v>
      </c>
    </row>
    <row r="48" spans="1:6">
      <c r="A48" s="348" t="s">
        <v>32</v>
      </c>
      <c r="B48" s="348" t="s">
        <v>29</v>
      </c>
      <c r="C48" s="334">
        <v>73</v>
      </c>
      <c r="D48" s="334">
        <v>26911564.868000001</v>
      </c>
      <c r="E48" s="334">
        <v>103</v>
      </c>
      <c r="F48" s="334">
        <v>16545880.801000001</v>
      </c>
    </row>
    <row r="49" spans="1:6">
      <c r="A49" s="348" t="s">
        <v>32</v>
      </c>
      <c r="B49" s="348" t="s">
        <v>40</v>
      </c>
      <c r="C49" s="334">
        <v>0</v>
      </c>
      <c r="D49" s="334">
        <v>0</v>
      </c>
      <c r="E49" s="334">
        <v>0</v>
      </c>
      <c r="F49" s="334">
        <v>0</v>
      </c>
    </row>
    <row r="50" spans="1:6">
      <c r="A50" s="348" t="s">
        <v>32</v>
      </c>
      <c r="B50" s="348" t="s">
        <v>41</v>
      </c>
      <c r="C50" s="334">
        <v>3</v>
      </c>
      <c r="D50" s="334">
        <v>50090.952363999997</v>
      </c>
      <c r="E50" s="334">
        <v>3</v>
      </c>
      <c r="F50" s="334">
        <v>112571.50671</v>
      </c>
    </row>
    <row r="51" spans="1:6">
      <c r="A51" s="348" t="s">
        <v>42</v>
      </c>
      <c r="B51" s="348" t="s">
        <v>43</v>
      </c>
      <c r="C51" s="334">
        <v>6</v>
      </c>
      <c r="D51" s="334">
        <v>53621.464181000003</v>
      </c>
      <c r="E51" s="334">
        <v>21</v>
      </c>
      <c r="F51" s="334">
        <v>124729.97585</v>
      </c>
    </row>
    <row r="52" spans="1:6">
      <c r="A52" s="348" t="s">
        <v>42</v>
      </c>
      <c r="B52" s="348" t="s">
        <v>29</v>
      </c>
      <c r="C52" s="334">
        <v>8</v>
      </c>
      <c r="D52" s="334">
        <v>127382.51046</v>
      </c>
      <c r="E52" s="334">
        <v>12</v>
      </c>
      <c r="F52" s="334">
        <v>95780.542799000003</v>
      </c>
    </row>
    <row r="53" spans="1:6">
      <c r="A53" s="348" t="s">
        <v>44</v>
      </c>
      <c r="B53" s="348" t="s">
        <v>45</v>
      </c>
      <c r="C53" s="334">
        <v>162</v>
      </c>
      <c r="D53" s="334">
        <v>3203420.7872000001</v>
      </c>
      <c r="E53" s="334">
        <v>275</v>
      </c>
      <c r="F53" s="334">
        <v>1279646.6277999999</v>
      </c>
    </row>
    <row r="54" spans="1:6">
      <c r="A54" s="348" t="s">
        <v>46</v>
      </c>
      <c r="B54" s="348" t="s">
        <v>47</v>
      </c>
      <c r="C54" s="334">
        <v>0</v>
      </c>
      <c r="D54" s="334">
        <v>0</v>
      </c>
      <c r="E54" s="334">
        <v>1</v>
      </c>
      <c r="F54" s="334">
        <v>2087316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411142.92512999999</v>
      </c>
      <c r="E57" s="334">
        <v>65</v>
      </c>
      <c r="F57" s="334">
        <v>995499.52261999995</v>
      </c>
    </row>
    <row r="58" spans="1:6">
      <c r="A58" s="348" t="s">
        <v>49</v>
      </c>
      <c r="B58" s="348" t="s">
        <v>51</v>
      </c>
      <c r="C58" s="334">
        <v>59</v>
      </c>
      <c r="D58" s="334">
        <v>7700342.5724999998</v>
      </c>
      <c r="E58" s="334">
        <v>142</v>
      </c>
      <c r="F58" s="334">
        <v>1642159.2289</v>
      </c>
    </row>
    <row r="59" spans="1:6">
      <c r="A59" s="348" t="s">
        <v>49</v>
      </c>
      <c r="B59" s="348" t="s">
        <v>52</v>
      </c>
      <c r="C59" s="334">
        <v>29</v>
      </c>
      <c r="D59" s="334">
        <v>2417533.3872000002</v>
      </c>
      <c r="E59" s="334">
        <v>78</v>
      </c>
      <c r="F59" s="334">
        <v>4709044.9168999996</v>
      </c>
    </row>
    <row r="60" spans="1:6">
      <c r="A60" s="348" t="s">
        <v>49</v>
      </c>
      <c r="B60" s="348" t="s">
        <v>53</v>
      </c>
      <c r="C60" s="334">
        <v>70</v>
      </c>
      <c r="D60" s="334">
        <v>3276532.9841999998</v>
      </c>
      <c r="E60" s="334">
        <v>93</v>
      </c>
      <c r="F60" s="334">
        <v>2485389.9284999999</v>
      </c>
    </row>
    <row r="61" spans="1:6">
      <c r="A61" s="348" t="s">
        <v>49</v>
      </c>
      <c r="B61" s="348" t="s">
        <v>54</v>
      </c>
      <c r="C61" s="334">
        <v>149</v>
      </c>
      <c r="D61" s="334">
        <v>4715973.03</v>
      </c>
      <c r="E61" s="334">
        <v>383</v>
      </c>
      <c r="F61" s="334">
        <v>3104359.5627000001</v>
      </c>
    </row>
    <row r="62" spans="1:6">
      <c r="A62" s="348" t="s">
        <v>49</v>
      </c>
      <c r="B62" s="348" t="s">
        <v>55</v>
      </c>
      <c r="C62" s="334">
        <v>0</v>
      </c>
      <c r="D62" s="334">
        <v>0</v>
      </c>
      <c r="E62" s="334">
        <v>5</v>
      </c>
      <c r="F62" s="334">
        <v>249049.49551000001</v>
      </c>
    </row>
    <row r="63" spans="1:6">
      <c r="A63" s="348" t="s">
        <v>49</v>
      </c>
      <c r="B63" s="348" t="s">
        <v>29</v>
      </c>
      <c r="C63" s="334">
        <v>278</v>
      </c>
      <c r="D63" s="334">
        <v>23430844.504000001</v>
      </c>
      <c r="E63" s="334">
        <v>376</v>
      </c>
      <c r="F63" s="334">
        <v>23048249.412999999</v>
      </c>
    </row>
    <row r="64" spans="1:6">
      <c r="A64" s="348" t="s">
        <v>56</v>
      </c>
      <c r="B64" s="348" t="s">
        <v>57</v>
      </c>
      <c r="C64" s="334">
        <v>0</v>
      </c>
      <c r="D64" s="334">
        <v>0</v>
      </c>
      <c r="E64" s="334">
        <v>0</v>
      </c>
      <c r="F64" s="334">
        <v>0</v>
      </c>
    </row>
    <row r="65" spans="1:6">
      <c r="A65" s="348" t="s">
        <v>56</v>
      </c>
      <c r="B65" s="348" t="s">
        <v>29</v>
      </c>
      <c r="C65" s="334">
        <v>2</v>
      </c>
      <c r="D65" s="334">
        <v>50862.060812000003</v>
      </c>
      <c r="E65" s="334">
        <v>9</v>
      </c>
      <c r="F65" s="334">
        <v>436888.23690999998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44344.780497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116278</v>
      </c>
      <c r="E73" s="475">
        <v>118416.21315705837</v>
      </c>
    </row>
    <row r="74" spans="1:6">
      <c r="A74" s="348" t="s">
        <v>64</v>
      </c>
      <c r="B74" s="348" t="s">
        <v>667</v>
      </c>
      <c r="C74" s="1294" t="s">
        <v>669</v>
      </c>
      <c r="D74" s="475">
        <v>3106</v>
      </c>
      <c r="E74" s="475">
        <v>3101.8343753963222</v>
      </c>
    </row>
    <row r="75" spans="1:6">
      <c r="A75" s="348" t="s">
        <v>65</v>
      </c>
      <c r="B75" s="348" t="s">
        <v>666</v>
      </c>
      <c r="C75" s="1294" t="s">
        <v>670</v>
      </c>
      <c r="D75" s="475">
        <v>113988770</v>
      </c>
      <c r="E75" s="475">
        <v>116088564.82258341</v>
      </c>
    </row>
    <row r="76" spans="1:6">
      <c r="A76" s="348" t="s">
        <v>65</v>
      </c>
      <c r="B76" s="348" t="s">
        <v>667</v>
      </c>
      <c r="C76" s="1294" t="s">
        <v>671</v>
      </c>
      <c r="D76" s="475">
        <v>3579867.8649265072</v>
      </c>
      <c r="E76" s="475">
        <v>3578291.7587102335</v>
      </c>
    </row>
    <row r="77" spans="1:6">
      <c r="A77" s="348" t="s">
        <v>66</v>
      </c>
      <c r="B77" s="348" t="s">
        <v>666</v>
      </c>
      <c r="C77" s="1294" t="s">
        <v>672</v>
      </c>
      <c r="D77" s="475">
        <v>173119021</v>
      </c>
      <c r="E77" s="475">
        <v>171623225.25651011</v>
      </c>
    </row>
    <row r="78" spans="1:6">
      <c r="A78" s="341" t="s">
        <v>66</v>
      </c>
      <c r="B78" s="341" t="s">
        <v>667</v>
      </c>
      <c r="C78" s="341" t="s">
        <v>673</v>
      </c>
      <c r="D78" s="1295">
        <v>14328524</v>
      </c>
      <c r="E78" s="1295">
        <v>14276582.24247011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767178.27014698542</v>
      </c>
      <c r="C83" s="475">
        <v>767178.27014698542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7055.4051800892894</v>
      </c>
    </row>
    <row r="91" spans="1:6">
      <c r="A91" s="348" t="s">
        <v>68</v>
      </c>
      <c r="B91" s="334">
        <v>2497.8802694581427</v>
      </c>
    </row>
    <row r="92" spans="1:6">
      <c r="A92" s="341" t="s">
        <v>69</v>
      </c>
      <c r="B92" s="342">
        <v>4438.4954949667117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4478</v>
      </c>
    </row>
    <row r="98" spans="1:6">
      <c r="A98" s="348" t="s">
        <v>72</v>
      </c>
      <c r="B98" s="334">
        <v>4</v>
      </c>
    </row>
    <row r="99" spans="1:6">
      <c r="A99" s="348" t="s">
        <v>73</v>
      </c>
      <c r="B99" s="334">
        <v>69</v>
      </c>
    </row>
    <row r="100" spans="1:6">
      <c r="A100" s="348" t="s">
        <v>74</v>
      </c>
      <c r="B100" s="334">
        <v>697</v>
      </c>
    </row>
    <row r="101" spans="1:6">
      <c r="A101" s="348" t="s">
        <v>75</v>
      </c>
      <c r="B101" s="334">
        <v>74</v>
      </c>
    </row>
    <row r="102" spans="1:6">
      <c r="A102" s="348" t="s">
        <v>76</v>
      </c>
      <c r="B102" s="334">
        <v>108</v>
      </c>
    </row>
    <row r="103" spans="1:6">
      <c r="A103" s="348" t="s">
        <v>77</v>
      </c>
      <c r="B103" s="334">
        <v>166</v>
      </c>
    </row>
    <row r="104" spans="1:6">
      <c r="A104" s="348" t="s">
        <v>78</v>
      </c>
      <c r="B104" s="334">
        <v>2953</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17</v>
      </c>
      <c r="C123" s="334">
        <v>23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101775.2012907676</v>
      </c>
      <c r="C3" s="43" t="s">
        <v>170</v>
      </c>
      <c r="D3" s="43"/>
      <c r="E3" s="154"/>
      <c r="F3" s="43"/>
      <c r="G3" s="43"/>
      <c r="H3" s="43"/>
      <c r="I3" s="43"/>
      <c r="J3" s="43"/>
      <c r="K3" s="96"/>
    </row>
    <row r="4" spans="1:11">
      <c r="A4" s="383" t="s">
        <v>171</v>
      </c>
      <c r="B4" s="49">
        <f>IF(ISERROR('SEAP template'!B78+'SEAP template'!C78),0,'SEAP template'!B78+'SEAP template'!C78)</f>
        <v>13991.780944514143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0.19061751438935126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2087.3159999999998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2087.3159999999998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0.19061751438935126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397.87898766512308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39762.681025999998</v>
      </c>
      <c r="C5" s="17">
        <f>IF(ISERROR('Eigen informatie GS &amp; warmtenet'!B57),0,'Eigen informatie GS &amp; warmtenet'!B57)</f>
        <v>0</v>
      </c>
      <c r="D5" s="30">
        <f>(SUM(HH_hh_gas_kWh,HH_rest_gas_kWh)/1000)*0.902</f>
        <v>112756.76268186001</v>
      </c>
      <c r="E5" s="17">
        <f>B46*B57</f>
        <v>3454.9469827930161</v>
      </c>
      <c r="F5" s="17">
        <f>B51*B62</f>
        <v>27540.713192005769</v>
      </c>
      <c r="G5" s="18"/>
      <c r="H5" s="17"/>
      <c r="I5" s="17"/>
      <c r="J5" s="17">
        <f>B50*B61+C50*C61</f>
        <v>0</v>
      </c>
      <c r="K5" s="17"/>
      <c r="L5" s="17"/>
      <c r="M5" s="17"/>
      <c r="N5" s="17">
        <f>B48*B59+C48*C59</f>
        <v>10523.311909114345</v>
      </c>
      <c r="O5" s="17">
        <f>B69*B70*B71</f>
        <v>190.72666666666666</v>
      </c>
      <c r="P5" s="17">
        <f>B77*B78*B79/1000-B77*B78*B79/1000/B80</f>
        <v>591.06666666666661</v>
      </c>
    </row>
    <row r="6" spans="1:16">
      <c r="A6" s="16" t="s">
        <v>624</v>
      </c>
      <c r="B6" s="788">
        <f>kWh_PV_kleiner_dan_10kW</f>
        <v>2497.8802694581427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42260.561295458145</v>
      </c>
      <c r="C8" s="21">
        <f>C5</f>
        <v>0</v>
      </c>
      <c r="D8" s="21">
        <f>D5</f>
        <v>112756.76268186001</v>
      </c>
      <c r="E8" s="21">
        <f>E5</f>
        <v>3454.9469827930161</v>
      </c>
      <c r="F8" s="21">
        <f>F5</f>
        <v>27540.713192005769</v>
      </c>
      <c r="G8" s="21"/>
      <c r="H8" s="21"/>
      <c r="I8" s="21"/>
      <c r="J8" s="21">
        <f>J5</f>
        <v>0</v>
      </c>
      <c r="K8" s="21"/>
      <c r="L8" s="21">
        <f>L5</f>
        <v>0</v>
      </c>
      <c r="M8" s="21">
        <f>M5</f>
        <v>0</v>
      </c>
      <c r="N8" s="21">
        <f>N5</f>
        <v>10523.311909114345</v>
      </c>
      <c r="O8" s="21">
        <f>O5</f>
        <v>190.72666666666666</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0.19061751438935126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8055.6031508390543</v>
      </c>
      <c r="C12" s="23">
        <f ca="1">C10*C8</f>
        <v>0</v>
      </c>
      <c r="D12" s="23">
        <f>D8*D10</f>
        <v>22776.866061735724</v>
      </c>
      <c r="E12" s="23">
        <f>E10*E8</f>
        <v>784.27296509401469</v>
      </c>
      <c r="F12" s="23">
        <f>F10*F8</f>
        <v>7353.3704222655406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4478</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8.2142857142857135</v>
      </c>
      <c r="D20" s="229"/>
      <c r="E20" s="15"/>
    </row>
    <row r="21" spans="1:7">
      <c r="A21" s="171" t="s">
        <v>74</v>
      </c>
      <c r="B21" s="37">
        <f>aantalw2001_elektriciteit</f>
        <v>697</v>
      </c>
      <c r="C21" s="167">
        <f>IF(ISERROR(B21/SUM($B$20,$B$21,$B$22)*100),0,B21/SUM($B$20,$B$21,$B$22)*100)</f>
        <v>82.976190476190482</v>
      </c>
      <c r="D21" s="229"/>
      <c r="E21" s="15"/>
    </row>
    <row r="22" spans="1:7">
      <c r="A22" s="171" t="s">
        <v>75</v>
      </c>
      <c r="B22" s="37">
        <f>aantalw2001_hout</f>
        <v>74</v>
      </c>
      <c r="C22" s="167">
        <f>IF(ISERROR(B22/SUM($B$20,$B$21,$B$22)*100),0,B22/SUM($B$20,$B$21,$B$22)*100)</f>
        <v>8.8095238095238102</v>
      </c>
      <c r="D22" s="229"/>
      <c r="E22" s="15"/>
    </row>
    <row r="23" spans="1:7">
      <c r="A23" s="171" t="s">
        <v>76</v>
      </c>
      <c r="B23" s="37">
        <f>aantalw2001_niet_gespec</f>
        <v>108</v>
      </c>
      <c r="C23" s="166" t="s">
        <v>111</v>
      </c>
      <c r="D23" s="228"/>
      <c r="E23" s="15"/>
    </row>
    <row r="24" spans="1:7">
      <c r="A24" s="171" t="s">
        <v>77</v>
      </c>
      <c r="B24" s="37">
        <f>aantalw2001_steenkool</f>
        <v>166</v>
      </c>
      <c r="C24" s="166" t="s">
        <v>111</v>
      </c>
      <c r="D24" s="229"/>
      <c r="E24" s="15"/>
    </row>
    <row r="25" spans="1:7">
      <c r="A25" s="171" t="s">
        <v>78</v>
      </c>
      <c r="B25" s="37">
        <f>aantalw2001_stookolie</f>
        <v>2953</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9524</v>
      </c>
      <c r="C28" s="36"/>
      <c r="D28" s="228"/>
    </row>
    <row r="29" spans="1:7" s="15" customFormat="1">
      <c r="A29" s="230" t="s">
        <v>699</v>
      </c>
      <c r="B29" s="37">
        <f>SUM(HH_hh_gas_aantal,HH_rest_gas_aantal)</f>
        <v>6502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6502</v>
      </c>
      <c r="C32" s="167">
        <f>IF(ISERROR(B32/SUM($B$32,$B$34,$B$35,$B$36,$B$38,$B$39)*100),0,B32/SUM($B$32,$B$34,$B$35,$B$36,$B$38,$B$39)*100)</f>
        <v>68.492573475192245</v>
      </c>
      <c r="D32" s="233"/>
      <c r="G32" s="15"/>
    </row>
    <row r="33" spans="1:7">
      <c r="A33" s="171" t="s">
        <v>72</v>
      </c>
      <c r="B33" s="34" t="s">
        <v>111</v>
      </c>
      <c r="C33" s="167"/>
      <c r="D33" s="233"/>
      <c r="G33" s="15"/>
    </row>
    <row r="34" spans="1:7">
      <c r="A34" s="171" t="s">
        <v>73</v>
      </c>
      <c r="B34" s="33">
        <f>IF((($B$28-$B$32-$B$39-$B$77-$B$38)*C20/100)&lt;0,0,($B$28-$B$32-$B$39-$B$77-$B$38)*C20/100)</f>
        <v>152.75285714285712</v>
      </c>
      <c r="C34" s="167">
        <f>IF(ISERROR(B34/SUM($B$32,$B$34,$B$35,$B$36,$B$38,$B$39)*100),0,B34/SUM($B$32,$B$34,$B$35,$B$36,$B$38,$B$39)*100)</f>
        <v>1.6091104723781433</v>
      </c>
      <c r="D34" s="233"/>
      <c r="G34" s="15"/>
    </row>
    <row r="35" spans="1:7">
      <c r="A35" s="171" t="s">
        <v>74</v>
      </c>
      <c r="B35" s="33">
        <f>IF((($B$28-$B$32-$B$39-$B$77-$B$38)*C21/100)&lt;0,0,($B$28-$B$32-$B$39-$B$77-$B$38)*C21/100)</f>
        <v>1543.0252380952381</v>
      </c>
      <c r="C35" s="167">
        <f>IF(ISERROR(B35/SUM($B$32,$B$34,$B$35,$B$36,$B$38,$B$39)*100),0,B35/SUM($B$32,$B$34,$B$35,$B$36,$B$38,$B$39)*100)</f>
        <v>16.254347815182115</v>
      </c>
      <c r="D35" s="233"/>
      <c r="G35" s="15"/>
    </row>
    <row r="36" spans="1:7">
      <c r="A36" s="171" t="s">
        <v>75</v>
      </c>
      <c r="B36" s="33">
        <f>IF((($B$28-$B$32-$B$39-$B$77-$B$38)*C22/100)&lt;0,0,($B$28-$B$32-$B$39-$B$77-$B$38)*C22/100)</f>
        <v>163.82190476190479</v>
      </c>
      <c r="C36" s="167">
        <f>IF(ISERROR(B36/SUM($B$32,$B$34,$B$35,$B$36,$B$38,$B$39)*100),0,B36/SUM($B$32,$B$34,$B$35,$B$36,$B$38,$B$39)*100)</f>
        <v>1.7257126805214871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1131.3999999999999</v>
      </c>
      <c r="C39" s="167">
        <f>IF(ISERROR(B39/SUM($B$32,$B$34,$B$35,$B$36,$B$38,$B$39)*100),0,B39/SUM($B$32,$B$34,$B$35,$B$36,$B$38,$B$39)*100)</f>
        <v>11.918255556726006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6502</v>
      </c>
      <c r="C44" s="34" t="s">
        <v>111</v>
      </c>
      <c r="D44" s="174"/>
    </row>
    <row r="45" spans="1:7">
      <c r="A45" s="171" t="s">
        <v>72</v>
      </c>
      <c r="B45" s="33" t="str">
        <f t="shared" si="0"/>
        <v>-</v>
      </c>
      <c r="C45" s="34" t="s">
        <v>111</v>
      </c>
      <c r="D45" s="174"/>
    </row>
    <row r="46" spans="1:7">
      <c r="A46" s="171" t="s">
        <v>73</v>
      </c>
      <c r="B46" s="33">
        <f t="shared" si="0"/>
        <v>152.75285714285712</v>
      </c>
      <c r="C46" s="34" t="s">
        <v>111</v>
      </c>
      <c r="D46" s="174"/>
    </row>
    <row r="47" spans="1:7">
      <c r="A47" s="171" t="s">
        <v>74</v>
      </c>
      <c r="B47" s="33">
        <f t="shared" si="0"/>
        <v>1543.0252380952381</v>
      </c>
      <c r="C47" s="34" t="s">
        <v>111</v>
      </c>
      <c r="D47" s="174"/>
    </row>
    <row r="48" spans="1:7">
      <c r="A48" s="171" t="s">
        <v>75</v>
      </c>
      <c r="B48" s="33">
        <f t="shared" si="0"/>
        <v>163.82190476190479</v>
      </c>
      <c r="C48" s="33">
        <f>B48*10</f>
        <v>1638.2190476190478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1131.3999999999999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36233.752068129994</v>
      </c>
      <c r="C5" s="17">
        <f>IF(ISERROR('Eigen informatie GS &amp; warmtenet'!B58),0,'Eigen informatie GS &amp; warmtenet'!B58)</f>
        <v>0</v>
      </c>
      <c r="D5" s="30">
        <f>SUM(D6:D12)</f>
        <v>37841.037201533065</v>
      </c>
      <c r="E5" s="17">
        <f>SUM(E6:E12)</f>
        <v>679.46094145020265</v>
      </c>
      <c r="F5" s="17">
        <f>SUM(F6:F12)</f>
        <v>9398.6608621737323</v>
      </c>
      <c r="G5" s="18"/>
      <c r="H5" s="17"/>
      <c r="I5" s="17"/>
      <c r="J5" s="17">
        <f>SUM(J6:J12)</f>
        <v>0</v>
      </c>
      <c r="K5" s="17"/>
      <c r="L5" s="17"/>
      <c r="M5" s="17"/>
      <c r="N5" s="17">
        <f>SUM(N6:N12)</f>
        <v>2847.3969845935703</v>
      </c>
      <c r="O5" s="17">
        <f>B38*B39*B40</f>
        <v>1.5633333333333335</v>
      </c>
      <c r="P5" s="17">
        <f>B46*B47*B48/1000-B46*B47*B48/1000/B49</f>
        <v>38.133333333333333</v>
      </c>
      <c r="R5" s="32"/>
    </row>
    <row r="6" spans="1:18">
      <c r="A6" s="32" t="s">
        <v>54</v>
      </c>
      <c r="B6" s="37">
        <f>B26</f>
        <v>3104.3595627</v>
      </c>
      <c r="C6" s="33"/>
      <c r="D6" s="37">
        <f>IF(ISERROR(TER_kantoor_gas_kWh/1000),0,TER_kantoor_gas_kWh/1000)*0.902</f>
        <v>4253.8076730600005</v>
      </c>
      <c r="E6" s="33">
        <f>$C$26*'E Balans VL '!I12/100/3.6*1000000</f>
        <v>40.639890692226466</v>
      </c>
      <c r="F6" s="33">
        <f>$C$26*('E Balans VL '!L12+'E Balans VL '!N12)/100/3.6*1000000</f>
        <v>791.57960923509631</v>
      </c>
      <c r="G6" s="34"/>
      <c r="H6" s="33"/>
      <c r="I6" s="33"/>
      <c r="J6" s="33">
        <f>$C$26*('E Balans VL '!D12+'E Balans VL '!E12)/100/3.6*1000000</f>
        <v>0</v>
      </c>
      <c r="K6" s="33"/>
      <c r="L6" s="33"/>
      <c r="M6" s="33"/>
      <c r="N6" s="33">
        <f>$C$26*'E Balans VL '!Y12/100/3.6*1000000</f>
        <v>3.1148133272491725</v>
      </c>
      <c r="O6" s="33"/>
      <c r="P6" s="33"/>
      <c r="R6" s="32"/>
    </row>
    <row r="7" spans="1:18">
      <c r="A7" s="32" t="s">
        <v>53</v>
      </c>
      <c r="B7" s="37">
        <f t="shared" ref="B7:B12" si="0">B27</f>
        <v>2485.3899284999998</v>
      </c>
      <c r="C7" s="33"/>
      <c r="D7" s="37">
        <f>IF(ISERROR(TER_horeca_gas_kWh/1000),0,TER_horeca_gas_kWh/1000)*0.902</f>
        <v>2955.4327517483998</v>
      </c>
      <c r="E7" s="33">
        <f>$C$27*'E Balans VL '!I9/100/3.6*1000000</f>
        <v>82.251288513566479</v>
      </c>
      <c r="F7" s="33">
        <f>$C$27*('E Balans VL '!L9+'E Balans VL '!N9)/100/3.6*1000000</f>
        <v>1068.708144087027</v>
      </c>
      <c r="G7" s="34"/>
      <c r="H7" s="33"/>
      <c r="I7" s="33"/>
      <c r="J7" s="33">
        <f>$C$27*('E Balans VL '!D9+'E Balans VL '!E9)/100/3.6*1000000</f>
        <v>0</v>
      </c>
      <c r="K7" s="33"/>
      <c r="L7" s="33"/>
      <c r="M7" s="33"/>
      <c r="N7" s="33">
        <f>$C$27*'E Balans VL '!Y9/100/3.6*1000000</f>
        <v>0.59826944761246015</v>
      </c>
      <c r="O7" s="33"/>
      <c r="P7" s="33"/>
      <c r="R7" s="32"/>
    </row>
    <row r="8" spans="1:18">
      <c r="A8" s="6" t="s">
        <v>52</v>
      </c>
      <c r="B8" s="37">
        <f t="shared" si="0"/>
        <v>4709.0449168999994</v>
      </c>
      <c r="C8" s="33"/>
      <c r="D8" s="37">
        <f>IF(ISERROR(TER_handel_gas_kWh/1000),0,TER_handel_gas_kWh/1000)*0.902</f>
        <v>2180.6151152544003</v>
      </c>
      <c r="E8" s="33">
        <f>$C$28*'E Balans VL '!I13/100/3.6*1000000</f>
        <v>148.62465278382024</v>
      </c>
      <c r="F8" s="33">
        <f>$C$28*('E Balans VL '!L13+'E Balans VL '!N13)/100/3.6*1000000</f>
        <v>923.52662933687611</v>
      </c>
      <c r="G8" s="34"/>
      <c r="H8" s="33"/>
      <c r="I8" s="33"/>
      <c r="J8" s="33">
        <f>$C$28*('E Balans VL '!D13+'E Balans VL '!E13)/100/3.6*1000000</f>
        <v>0</v>
      </c>
      <c r="K8" s="33"/>
      <c r="L8" s="33"/>
      <c r="M8" s="33"/>
      <c r="N8" s="33">
        <f>$C$28*'E Balans VL '!Y13/100/3.6*1000000</f>
        <v>5.5887220665134398</v>
      </c>
      <c r="O8" s="33"/>
      <c r="P8" s="33"/>
      <c r="R8" s="32"/>
    </row>
    <row r="9" spans="1:18">
      <c r="A9" s="32" t="s">
        <v>51</v>
      </c>
      <c r="B9" s="37">
        <f t="shared" si="0"/>
        <v>1642.1592289</v>
      </c>
      <c r="C9" s="33"/>
      <c r="D9" s="37">
        <f>IF(ISERROR(TER_gezond_gas_kWh/1000),0,TER_gezond_gas_kWh/1000)*0.902</f>
        <v>6945.7090003949997</v>
      </c>
      <c r="E9" s="33">
        <f>$C$29*'E Balans VL '!I10/100/3.6*1000000</f>
        <v>0.21024442160151724</v>
      </c>
      <c r="F9" s="33">
        <f>$C$29*('E Balans VL '!L10+'E Balans VL '!N10)/100/3.6*1000000</f>
        <v>342.13059658089401</v>
      </c>
      <c r="G9" s="34"/>
      <c r="H9" s="33"/>
      <c r="I9" s="33"/>
      <c r="J9" s="33">
        <f>$C$29*('E Balans VL '!D10+'E Balans VL '!E10)/100/3.6*1000000</f>
        <v>0</v>
      </c>
      <c r="K9" s="33"/>
      <c r="L9" s="33"/>
      <c r="M9" s="33"/>
      <c r="N9" s="33">
        <f>$C$29*'E Balans VL '!Y10/100/3.6*1000000</f>
        <v>19.287936329924079</v>
      </c>
      <c r="O9" s="33"/>
      <c r="P9" s="33"/>
      <c r="R9" s="32"/>
    </row>
    <row r="10" spans="1:18">
      <c r="A10" s="32" t="s">
        <v>50</v>
      </c>
      <c r="B10" s="37">
        <f t="shared" si="0"/>
        <v>995.49952261999999</v>
      </c>
      <c r="C10" s="33"/>
      <c r="D10" s="37">
        <f>IF(ISERROR(TER_ander_gas_kWh/1000),0,TER_ander_gas_kWh/1000)*0.902</f>
        <v>370.85091846725999</v>
      </c>
      <c r="E10" s="33">
        <f>$C$30*'E Balans VL '!I14/100/3.6*1000000</f>
        <v>1.4969971747899682</v>
      </c>
      <c r="F10" s="33">
        <f>$C$30*('E Balans VL '!L14+'E Balans VL '!N14)/100/3.6*1000000</f>
        <v>219.77420506858303</v>
      </c>
      <c r="G10" s="34"/>
      <c r="H10" s="33"/>
      <c r="I10" s="33"/>
      <c r="J10" s="33">
        <f>$C$30*('E Balans VL '!D14+'E Balans VL '!E14)/100/3.6*1000000</f>
        <v>0</v>
      </c>
      <c r="K10" s="33"/>
      <c r="L10" s="33"/>
      <c r="M10" s="33"/>
      <c r="N10" s="33">
        <f>$C$30*'E Balans VL '!Y14/100/3.6*1000000</f>
        <v>784.52061841648458</v>
      </c>
      <c r="O10" s="33"/>
      <c r="P10" s="33"/>
      <c r="R10" s="32"/>
    </row>
    <row r="11" spans="1:18">
      <c r="A11" s="32" t="s">
        <v>55</v>
      </c>
      <c r="B11" s="37">
        <f t="shared" si="0"/>
        <v>249.04949551000001</v>
      </c>
      <c r="C11" s="33"/>
      <c r="D11" s="37">
        <f>IF(ISERROR(TER_onderwijs_gas_kWh/1000),0,TER_onderwijs_gas_kWh/1000)*0.902</f>
        <v>0</v>
      </c>
      <c r="E11" s="33">
        <f>$C$31*'E Balans VL '!I11/100/3.6*1000000</f>
        <v>0.4385970318686927</v>
      </c>
      <c r="F11" s="33">
        <f>$C$31*('E Balans VL '!L11+'E Balans VL '!N11)/100/3.6*1000000</f>
        <v>114.99065862013475</v>
      </c>
      <c r="G11" s="34"/>
      <c r="H11" s="33"/>
      <c r="I11" s="33"/>
      <c r="J11" s="33">
        <f>$C$31*('E Balans VL '!D11+'E Balans VL '!E11)/100/3.6*1000000</f>
        <v>0</v>
      </c>
      <c r="K11" s="33"/>
      <c r="L11" s="33"/>
      <c r="M11" s="33"/>
      <c r="N11" s="33">
        <f>$C$31*'E Balans VL '!Y11/100/3.6*1000000</f>
        <v>0.46398265418549145</v>
      </c>
      <c r="O11" s="33"/>
      <c r="P11" s="33"/>
      <c r="R11" s="32"/>
    </row>
    <row r="12" spans="1:18">
      <c r="A12" s="32" t="s">
        <v>260</v>
      </c>
      <c r="B12" s="37">
        <f t="shared" si="0"/>
        <v>23048.249412999998</v>
      </c>
      <c r="C12" s="33"/>
      <c r="D12" s="37">
        <f>IF(ISERROR(TER_rest_gas_kWh/1000),0,TER_rest_gas_kWh/1000)*0.902</f>
        <v>21134.621742608</v>
      </c>
      <c r="E12" s="33">
        <f>$C$32*'E Balans VL '!I8/100/3.6*1000000</f>
        <v>405.79927083232928</v>
      </c>
      <c r="F12" s="33">
        <f>$C$32*('E Balans VL '!L8+'E Balans VL '!N8)/100/3.6*1000000</f>
        <v>5937.9510192451207</v>
      </c>
      <c r="G12" s="34"/>
      <c r="H12" s="33"/>
      <c r="I12" s="33"/>
      <c r="J12" s="33">
        <f>$C$32*('E Balans VL '!D8+'E Balans VL '!E8)/100/3.6*1000000</f>
        <v>0</v>
      </c>
      <c r="K12" s="33"/>
      <c r="L12" s="33"/>
      <c r="M12" s="33"/>
      <c r="N12" s="33">
        <f>$C$32*'E Balans VL '!Y8/100/3.6*1000000</f>
        <v>2033.822642351601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36233.752068129994</v>
      </c>
      <c r="C16" s="21">
        <f t="shared" ca="1" si="1"/>
        <v>0</v>
      </c>
      <c r="D16" s="21">
        <f t="shared" ca="1" si="1"/>
        <v>37841.037201533065</v>
      </c>
      <c r="E16" s="21">
        <f t="shared" si="1"/>
        <v>679.46094145020265</v>
      </c>
      <c r="F16" s="21">
        <f t="shared" ca="1" si="1"/>
        <v>9398.6608621737323</v>
      </c>
      <c r="G16" s="21">
        <f t="shared" si="1"/>
        <v>0</v>
      </c>
      <c r="H16" s="21">
        <f t="shared" si="1"/>
        <v>0</v>
      </c>
      <c r="I16" s="21">
        <f t="shared" si="1"/>
        <v>0</v>
      </c>
      <c r="J16" s="21">
        <f t="shared" si="1"/>
        <v>0</v>
      </c>
      <c r="K16" s="21">
        <f t="shared" si="1"/>
        <v>0</v>
      </c>
      <c r="L16" s="21">
        <f t="shared" ca="1" si="1"/>
        <v>0</v>
      </c>
      <c r="M16" s="21">
        <f t="shared" si="1"/>
        <v>0</v>
      </c>
      <c r="N16" s="21">
        <f t="shared" ca="1" si="1"/>
        <v>2847.3969845935703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0.19061751438935126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6906.787756226955</v>
      </c>
      <c r="C20" s="23">
        <f t="shared" ref="C20:P20" ca="1" si="2">C16*C18</f>
        <v>0</v>
      </c>
      <c r="D20" s="23">
        <f t="shared" ca="1" si="2"/>
        <v>7643.88951470968</v>
      </c>
      <c r="E20" s="23">
        <f t="shared" si="2"/>
        <v>154.23763370919602</v>
      </c>
      <c r="F20" s="23">
        <f t="shared" ca="1" si="2"/>
        <v>2509.4424502003867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3104.3595627</v>
      </c>
      <c r="C26" s="39">
        <f>IF(ISERROR(B26*3.6/1000000/'E Balans VL '!Z12*100),0,B26*3.6/1000000/'E Balans VL '!Z12*100)</f>
        <v>6.6497793516068451E-2</v>
      </c>
      <c r="D26" s="237" t="s">
        <v>660</v>
      </c>
      <c r="F26" s="6"/>
    </row>
    <row r="27" spans="1:18">
      <c r="A27" s="231" t="s">
        <v>53</v>
      </c>
      <c r="B27" s="33">
        <f>IF(ISERROR(TER_horeca_ele_kWh/1000),0,TER_horeca_ele_kWh/1000)</f>
        <v>2485.3899284999998</v>
      </c>
      <c r="C27" s="39">
        <f>IF(ISERROR(B27*3.6/1000000/'E Balans VL '!Z9*100),0,B27*3.6/1000000/'E Balans VL '!Z9*100)</f>
        <v>0.19944390263491452</v>
      </c>
      <c r="D27" s="237" t="s">
        <v>660</v>
      </c>
      <c r="F27" s="6"/>
    </row>
    <row r="28" spans="1:18">
      <c r="A28" s="171" t="s">
        <v>52</v>
      </c>
      <c r="B28" s="33">
        <f>IF(ISERROR(TER_handel_ele_kWh/1000),0,TER_handel_ele_kWh/1000)</f>
        <v>4709.0449168999994</v>
      </c>
      <c r="C28" s="39">
        <f>IF(ISERROR(B28*3.6/1000000/'E Balans VL '!Z13*100),0,B28*3.6/1000000/'E Balans VL '!Z13*100)</f>
        <v>0.13888981504424819</v>
      </c>
      <c r="D28" s="237" t="s">
        <v>660</v>
      </c>
      <c r="F28" s="6"/>
    </row>
    <row r="29" spans="1:18">
      <c r="A29" s="231" t="s">
        <v>51</v>
      </c>
      <c r="B29" s="33">
        <f>IF(ISERROR(TER_gezond_ele_kWh/1000),0,TER_gezond_ele_kWh/1000)</f>
        <v>1642.1592289</v>
      </c>
      <c r="C29" s="39">
        <f>IF(ISERROR(B29*3.6/1000000/'E Balans VL '!Z10*100),0,B29*3.6/1000000/'E Balans VL '!Z10*100)</f>
        <v>0.17533857770655906</v>
      </c>
      <c r="D29" s="237" t="s">
        <v>660</v>
      </c>
      <c r="F29" s="6"/>
    </row>
    <row r="30" spans="1:18">
      <c r="A30" s="231" t="s">
        <v>50</v>
      </c>
      <c r="B30" s="33">
        <f>IF(ISERROR(TER_ander_ele_kWh/1000),0,TER_ander_ele_kWh/1000)</f>
        <v>995.49952261999999</v>
      </c>
      <c r="C30" s="39">
        <f>IF(ISERROR(B30*3.6/1000000/'E Balans VL '!Z14*100),0,B30*3.6/1000000/'E Balans VL '!Z14*100)</f>
        <v>7.519398811243104E-2</v>
      </c>
      <c r="D30" s="237" t="s">
        <v>660</v>
      </c>
      <c r="F30" s="6"/>
    </row>
    <row r="31" spans="1:18">
      <c r="A31" s="231" t="s">
        <v>55</v>
      </c>
      <c r="B31" s="33">
        <f>IF(ISERROR(TER_onderwijs_ele_kWh/1000),0,TER_onderwijs_ele_kWh/1000)</f>
        <v>249.04949551000001</v>
      </c>
      <c r="C31" s="39">
        <f>IF(ISERROR(B31*3.6/1000000/'E Balans VL '!Z11*100),0,B31*3.6/1000000/'E Balans VL '!Z11*100)</f>
        <v>5.0291407057914031E-2</v>
      </c>
      <c r="D31" s="237" t="s">
        <v>660</v>
      </c>
    </row>
    <row r="32" spans="1:18">
      <c r="A32" s="231" t="s">
        <v>260</v>
      </c>
      <c r="B32" s="33">
        <f>IF(ISERROR(TER_rest_ele_kWh/1000),0,TER_rest_ele_kWh/1000)</f>
        <v>23048.249412999998</v>
      </c>
      <c r="C32" s="39">
        <f>IF(ISERROR(B32*3.6/1000000/'E Balans VL '!Z8*100),0,B32*3.6/1000000/'E Balans VL '!Z8*100)</f>
        <v>0.19110208208954438</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19626.108058810001</v>
      </c>
      <c r="C5" s="17">
        <f>IF(ISERROR('Eigen informatie GS &amp; warmtenet'!B59),0,'Eigen informatie GS &amp; warmtenet'!B59)</f>
        <v>0</v>
      </c>
      <c r="D5" s="30">
        <f>SUM(D6:D15)</f>
        <v>24764.86853587085</v>
      </c>
      <c r="E5" s="17">
        <f>SUM(E6:E15)</f>
        <v>1198.2863260651777</v>
      </c>
      <c r="F5" s="17">
        <f>SUM(F6:F15)</f>
        <v>4654.7396260004107</v>
      </c>
      <c r="G5" s="18"/>
      <c r="H5" s="17"/>
      <c r="I5" s="17"/>
      <c r="J5" s="17">
        <f>SUM(J6:J15)</f>
        <v>256.84008362416677</v>
      </c>
      <c r="K5" s="17"/>
      <c r="L5" s="17"/>
      <c r="M5" s="17"/>
      <c r="N5" s="17">
        <f>SUM(N6:N15)</f>
        <v>7065.171601979775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1134.7839219</v>
      </c>
      <c r="C9" s="33"/>
      <c r="D9" s="37">
        <f>IF( ISERROR(IND_andere_gas_kWh/1000),0,IND_andere_gas_kWh/1000)*0.902</f>
        <v>445.45498590251998</v>
      </c>
      <c r="E9" s="33">
        <f>C31*'E Balans VL '!I19/100/3.6*1000000</f>
        <v>289.57118166351125</v>
      </c>
      <c r="F9" s="33">
        <f>C31*'E Balans VL '!L19/100/3.6*1000000+C31*'E Balans VL '!N19/100/3.6*1000000</f>
        <v>976.96366308039683</v>
      </c>
      <c r="G9" s="34"/>
      <c r="H9" s="33"/>
      <c r="I9" s="33"/>
      <c r="J9" s="40">
        <f>C31*'E Balans VL '!D19/100/3.6*1000000+C31*'E Balans VL '!E19/100/3.6*1000000</f>
        <v>0</v>
      </c>
      <c r="K9" s="33"/>
      <c r="L9" s="33"/>
      <c r="M9" s="33"/>
      <c r="N9" s="33">
        <f>C31*'E Balans VL '!Y19/100/3.6*1000000</f>
        <v>354.88579466872483</v>
      </c>
      <c r="O9" s="33"/>
      <c r="P9" s="33"/>
      <c r="R9" s="32"/>
    </row>
    <row r="10" spans="1:18">
      <c r="A10" s="6" t="s">
        <v>41</v>
      </c>
      <c r="B10" s="37">
        <f t="shared" si="0"/>
        <v>112.57150671000001</v>
      </c>
      <c r="C10" s="33"/>
      <c r="D10" s="37">
        <f>IF( ISERROR(IND_voed_gas_kWh/1000),0,IND_voed_gas_kWh/1000)*0.902</f>
        <v>45.182039032327999</v>
      </c>
      <c r="E10" s="33">
        <f>C32*'E Balans VL '!I20/100/3.6*1000000</f>
        <v>2.8617222739139372</v>
      </c>
      <c r="F10" s="33">
        <f>C32*'E Balans VL '!L20/100/3.6*1000000+C32*'E Balans VL '!N20/100/3.6*1000000</f>
        <v>25.473242124425035</v>
      </c>
      <c r="G10" s="34"/>
      <c r="H10" s="33"/>
      <c r="I10" s="33"/>
      <c r="J10" s="40">
        <f>C32*'E Balans VL '!D20/100/3.6*1000000+C32*'E Balans VL '!E20/100/3.6*1000000</f>
        <v>0</v>
      </c>
      <c r="K10" s="33"/>
      <c r="L10" s="33"/>
      <c r="M10" s="33"/>
      <c r="N10" s="33">
        <f>C32*'E Balans VL '!Y20/100/3.6*1000000</f>
        <v>42.217366386960954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1832.8718292000001</v>
      </c>
      <c r="C13" s="33"/>
      <c r="D13" s="37">
        <f>IF( ISERROR(IND_papier_gas_kWh/1000),0,IND_papier_gas_kWh/1000)*0.902</f>
        <v>0</v>
      </c>
      <c r="E13" s="33">
        <f>C35*'E Balans VL '!I23/100/3.6*1000000</f>
        <v>7.8606540604286792</v>
      </c>
      <c r="F13" s="33">
        <f>C35*'E Balans VL '!L23/100/3.6*1000000+C35*'E Balans VL '!N23/100/3.6*1000000</f>
        <v>46.065757939799994</v>
      </c>
      <c r="G13" s="34"/>
      <c r="H13" s="33"/>
      <c r="I13" s="33"/>
      <c r="J13" s="40">
        <f>C35*'E Balans VL '!D23/100/3.6*1000000+C35*'E Balans VL '!E23/100/3.6*1000000</f>
        <v>122.70071607649201</v>
      </c>
      <c r="K13" s="33"/>
      <c r="L13" s="33"/>
      <c r="M13" s="33"/>
      <c r="N13" s="33">
        <f>C35*'E Balans VL '!Y23/100/3.6*1000000</f>
        <v>3336.2626026945918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16545.880800999999</v>
      </c>
      <c r="C15" s="33"/>
      <c r="D15" s="37">
        <f>IF( ISERROR(IND_rest_gas_kWh/1000),0,IND_rest_gas_kWh/1000)*0.902</f>
        <v>24274.231510936002</v>
      </c>
      <c r="E15" s="33">
        <f>C37*'E Balans VL '!I15/100/3.6*1000000</f>
        <v>897.99276806732382</v>
      </c>
      <c r="F15" s="33">
        <f>C37*'E Balans VL '!L15/100/3.6*1000000+C37*'E Balans VL '!N15/100/3.6*1000000</f>
        <v>3606.2369628557885</v>
      </c>
      <c r="G15" s="34"/>
      <c r="H15" s="33"/>
      <c r="I15" s="33"/>
      <c r="J15" s="40">
        <f>C37*'E Balans VL '!D15/100/3.6*1000000+C37*'E Balans VL '!E15/100/3.6*1000000</f>
        <v>134.13936754767474</v>
      </c>
      <c r="K15" s="33"/>
      <c r="L15" s="33"/>
      <c r="M15" s="33"/>
      <c r="N15" s="33">
        <f>C37*'E Balans VL '!Y15/100/3.6*1000000</f>
        <v>3331.805838229498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19626.108058810001</v>
      </c>
      <c r="C18" s="21">
        <f>C5+C16</f>
        <v>0</v>
      </c>
      <c r="D18" s="21">
        <f>MAX((D5+D16),0)</f>
        <v>24764.86853587085</v>
      </c>
      <c r="E18" s="21">
        <f>MAX((E5+E16),0)</f>
        <v>1198.2863260651777</v>
      </c>
      <c r="F18" s="21">
        <f>MAX((F5+F16),0)</f>
        <v>4654.7396260004107</v>
      </c>
      <c r="G18" s="21"/>
      <c r="H18" s="21"/>
      <c r="I18" s="21"/>
      <c r="J18" s="21">
        <f>MAX((J5+J16),0)</f>
        <v>256.84008362416677</v>
      </c>
      <c r="K18" s="21"/>
      <c r="L18" s="21">
        <f>MAX((L5+L16),0)</f>
        <v>0</v>
      </c>
      <c r="M18" s="21"/>
      <c r="N18" s="21">
        <f>MAX((N5+N16),0)</f>
        <v>7065.171601979775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0.19061751438935126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3741.0799353071779</v>
      </c>
      <c r="C22" s="23">
        <f ca="1">C18*C20</f>
        <v>0</v>
      </c>
      <c r="D22" s="23">
        <f>D18*D20</f>
        <v>5002.5034442459119</v>
      </c>
      <c r="E22" s="23">
        <f>E18*E20</f>
        <v>272.01099601679533</v>
      </c>
      <c r="F22" s="23">
        <f>F18*F20</f>
        <v>1242.8154801421097</v>
      </c>
      <c r="G22" s="23"/>
      <c r="H22" s="23"/>
      <c r="I22" s="23"/>
      <c r="J22" s="23">
        <f>J18*J20</f>
        <v>90.921389602955031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1134.7839219</v>
      </c>
      <c r="C31" s="39">
        <f>IF(ISERROR(B31*3.6/1000000/'E Balans VL '!Z19*100),0,B31*3.6/1000000/'E Balans VL '!Z19*100)</f>
        <v>4.7765631987059576E-2</v>
      </c>
      <c r="D31" s="237" t="s">
        <v>660</v>
      </c>
    </row>
    <row r="32" spans="1:18">
      <c r="A32" s="171" t="s">
        <v>41</v>
      </c>
      <c r="B32" s="37">
        <f>IF( ISERROR(IND_voed_ele_kWh/1000),0,IND_voed_ele_kWh/1000)</f>
        <v>112.57150671000001</v>
      </c>
      <c r="C32" s="39">
        <f>IF(ISERROR(B32*3.6/1000000/'E Balans VL '!Z20*100),0,B32*3.6/1000000/'E Balans VL '!Z20*100)</f>
        <v>1.8806343854905896E-2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1832.8718292000001</v>
      </c>
      <c r="C35" s="39">
        <f>IF(ISERROR(B35*3.6/1000000/'E Balans VL '!Z22*100),0,B35*3.6/1000000/'E Balans VL '!Z22*100)</f>
        <v>0.23232638899968092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16545.880800999999</v>
      </c>
      <c r="C37" s="39">
        <f>IF(ISERROR(B37*3.6/1000000/'E Balans VL '!Z15*100),0,B37*3.6/1000000/'E Balans VL '!Z15*100)</f>
        <v>0.13358130256516948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220.51051864900001</v>
      </c>
      <c r="C5" s="17">
        <f>'Eigen informatie GS &amp; warmtenet'!B60</f>
        <v>0</v>
      </c>
      <c r="D5" s="30">
        <f>IF(ISERROR(SUM(LB_lb_gas_kWh,LB_rest_gas_kWh)/1000),0,SUM(LB_lb_gas_kWh,LB_rest_gas_kWh)/1000)*0.902</f>
        <v>163.265585126182</v>
      </c>
      <c r="E5" s="17">
        <f>B17*'E Balans VL '!I25/3.6*1000000/100</f>
        <v>5.6861196134527781</v>
      </c>
      <c r="F5" s="17">
        <f>B17*('E Balans VL '!L25/3.6*1000000+'E Balans VL '!N25/3.6*1000000)/100</f>
        <v>806.00793985041412</v>
      </c>
      <c r="G5" s="18"/>
      <c r="H5" s="17"/>
      <c r="I5" s="17"/>
      <c r="J5" s="17">
        <f>('E Balans VL '!D25+'E Balans VL '!E25)/3.6*1000000*landbouw!B17/100</f>
        <v>31.745402840625228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220.51051864900001</v>
      </c>
      <c r="C8" s="21">
        <f>C5+C6</f>
        <v>0</v>
      </c>
      <c r="D8" s="21">
        <f>MAX((D5+D6),0)</f>
        <v>163.265585126182</v>
      </c>
      <c r="E8" s="21">
        <f>MAX((E5+E6),0)</f>
        <v>5.6861196134527781</v>
      </c>
      <c r="F8" s="21">
        <f>MAX((F5+F6),0)</f>
        <v>806.00793985041412</v>
      </c>
      <c r="G8" s="21"/>
      <c r="H8" s="21"/>
      <c r="I8" s="21"/>
      <c r="J8" s="21">
        <f>MAX((J5+J6),0)</f>
        <v>31.745402840625228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0.19061751438935126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42.03316696157907</v>
      </c>
      <c r="C12" s="23">
        <f ca="1">C8*C10</f>
        <v>0</v>
      </c>
      <c r="D12" s="23">
        <f>D8*D10</f>
        <v>32.979648195488764</v>
      </c>
      <c r="E12" s="23">
        <f>E8*E10</f>
        <v>1.2907491522537806</v>
      </c>
      <c r="F12" s="23">
        <f>F8*F10</f>
        <v>215.20411994006059</v>
      </c>
      <c r="G12" s="23"/>
      <c r="H12" s="23"/>
      <c r="I12" s="23"/>
      <c r="J12" s="23">
        <f>J8*J10</f>
        <v>11.23787260558133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3.1093443758433037E-2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79.439400627040087</v>
      </c>
      <c r="C26" s="247">
        <f>B26*'GWP N2O_CH4'!B5</f>
        <v>1668.2274131678419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10.108465978566059</v>
      </c>
      <c r="C27" s="247">
        <f>B27*'GWP N2O_CH4'!B5</f>
        <v>212.27778554988726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1.1132084948568652</v>
      </c>
      <c r="C28" s="247">
        <f>B28*'GWP N2O_CH4'!B4</f>
        <v>345.0946334056282</v>
      </c>
      <c r="D28" s="50"/>
    </row>
    <row r="29" spans="1:4">
      <c r="A29" s="41" t="s">
        <v>277</v>
      </c>
      <c r="B29" s="247">
        <f>B34*'ha_N2O bodem landbouw'!B4</f>
        <v>5.6697289936960731</v>
      </c>
      <c r="C29" s="247">
        <f>B29*'GWP N2O_CH4'!B4</f>
        <v>1757.6159880457826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1.2759971256176357E-3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2.4230419891364059E-4</v>
      </c>
      <c r="C5" s="463" t="s">
        <v>211</v>
      </c>
      <c r="D5" s="448">
        <f>SUM(D6:D11)</f>
        <v>6.423051942756467E-4</v>
      </c>
      <c r="E5" s="448">
        <f>SUM(E6:E11)</f>
        <v>2.7217868481826907E-3</v>
      </c>
      <c r="F5" s="461" t="s">
        <v>211</v>
      </c>
      <c r="G5" s="448">
        <f>SUM(G6:G11)</f>
        <v>0.76582274052825206</v>
      </c>
      <c r="H5" s="448">
        <f>SUM(H6:H11)</f>
        <v>0.17461429160181191</v>
      </c>
      <c r="I5" s="463" t="s">
        <v>211</v>
      </c>
      <c r="J5" s="463" t="s">
        <v>211</v>
      </c>
      <c r="K5" s="463" t="s">
        <v>211</v>
      </c>
      <c r="L5" s="463" t="s">
        <v>211</v>
      </c>
      <c r="M5" s="448">
        <f>SUM(M6:M11)</f>
        <v>2.9359728522448222E-2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9.8092920065415208E-8</v>
      </c>
      <c r="C6" s="449"/>
      <c r="D6" s="892">
        <f>vkm_2011_GW_PW*SUMIFS(TableVerdeelsleutelVkm[CNG],TableVerdeelsleutelVkm[Voertuigtype],"Lichte voertuigen")*SUMIFS(TableECFTransport[EnergieConsumptieFactor (PJ per km)],TableECFTransport[Index],CONCATENATE($A6,"_CNG_CNG"))</f>
        <v>1.9491235041799476E-7</v>
      </c>
      <c r="E6" s="892">
        <f>vkm_2011_GW_PW*SUMIFS(TableVerdeelsleutelVkm[LPG],TableVerdeelsleutelVkm[Voertuigtype],"Lichte voertuigen")*SUMIFS(TableECFTransport[EnergieConsumptieFactor (PJ per km)],TableECFTransport[Index],CONCATENATE($A6,"_LPG_LPG"))</f>
        <v>7.6704996973460406E-7</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1.8237816378372058E-4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5.2768637066577057E-5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7.3273914522259751E-6</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2.9762306008412627E-5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9.6144960932065975E-9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9.3776472373299381E-7</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9.6161709901830086E-5</v>
      </c>
      <c r="C8" s="449"/>
      <c r="D8" s="451">
        <f>vkm_2011_NGW_PW*SUMIFS(TableVerdeelsleutelVkm[CNG],TableVerdeelsleutelVkm[Voertuigtype],"Lichte voertuigen")*SUMIFS(TableECFTransport[EnergieConsumptieFactor (PJ per km)],TableECFTransport[Index],CONCATENATE($A8,"_CNG_CNG"))</f>
        <v>3.3832412622455726E-4</v>
      </c>
      <c r="E8" s="451">
        <f>vkm_2011_NGW_PW*SUMIFS(TableVerdeelsleutelVkm[LPG],TableVerdeelsleutelVkm[Voertuigtype],"Lichte voertuigen")*SUMIFS(TableECFTransport[EnergieConsumptieFactor (PJ per km)],TableECFTransport[Index],CONCATENATE($A8,"_LPG_LPG"))</f>
        <v>1.2313344968359985E-3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0.27339087237051818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8.8815037326141655E-2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1.127532863247005E-2</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4.3784443066322037E-2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1.3376518609666921E-5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1.3795577808915676E-3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1.4604439609174511E-4</v>
      </c>
      <c r="C10" s="449"/>
      <c r="D10" s="451">
        <f>vkm_2011_SW_PW*SUMIFS(TableVerdeelsleutelVkm[CNG],TableVerdeelsleutelVkm[Voertuigtype],"Lichte voertuigen")*SUMIFS(TableECFTransport[EnergieConsumptieFactor (PJ per km)],TableECFTransport[Index],CONCATENATE($A10,"_CNG_CNG"))</f>
        <v>3.0378615570067144E-4</v>
      </c>
      <c r="E10" s="451">
        <f>vkm_2011_SW_PW*SUMIFS(TableVerdeelsleutelVkm[LPG],TableVerdeelsleutelVkm[Voertuigtype],"Lichte voertuigen")*SUMIFS(TableECFTransport[EnergieConsumptieFactor (PJ per km)],TableECFTransport[Index],CONCATENATE($A10,"_LPG_LPG"))</f>
        <v>1.4896853013769576E-3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0.31728586518716939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8.5687451836609002E-2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1.2564161013207108E-2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0.13114941943445035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4.5647668888920603E-5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4.1324159397035341E-3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67.306721920455729</v>
      </c>
      <c r="C14" s="21"/>
      <c r="D14" s="21">
        <f t="shared" ref="D14:M14" si="0">((D5)*10^9/3600)+D12</f>
        <v>178.41810952101298</v>
      </c>
      <c r="E14" s="21">
        <f t="shared" si="0"/>
        <v>756.05190227296964</v>
      </c>
      <c r="F14" s="21"/>
      <c r="G14" s="21">
        <f t="shared" si="0"/>
        <v>212728.53903562555</v>
      </c>
      <c r="H14" s="21">
        <f t="shared" si="0"/>
        <v>48503.969889392196</v>
      </c>
      <c r="I14" s="21"/>
      <c r="J14" s="21"/>
      <c r="K14" s="21"/>
      <c r="L14" s="21"/>
      <c r="M14" s="21">
        <f t="shared" si="0"/>
        <v>8155.4801451245066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0.19061751438935126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12.829840034172534</v>
      </c>
      <c r="C18" s="23"/>
      <c r="D18" s="23">
        <f t="shared" ref="D18:M18" si="1">D14*D16</f>
        <v>36.040458123244626</v>
      </c>
      <c r="E18" s="23">
        <f t="shared" si="1"/>
        <v>171.62378181596412</v>
      </c>
      <c r="F18" s="23"/>
      <c r="G18" s="23">
        <f t="shared" si="1"/>
        <v>56798.519922512023</v>
      </c>
      <c r="H18" s="23">
        <f t="shared" si="1"/>
        <v>12077.488502458657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9.973525025554944E-3</v>
      </c>
      <c r="H50" s="321">
        <f t="shared" si="2"/>
        <v>0</v>
      </c>
      <c r="I50" s="321">
        <f t="shared" si="2"/>
        <v>0</v>
      </c>
      <c r="J50" s="321">
        <f t="shared" si="2"/>
        <v>0</v>
      </c>
      <c r="K50" s="321">
        <f t="shared" si="2"/>
        <v>0</v>
      </c>
      <c r="L50" s="321">
        <f t="shared" si="2"/>
        <v>0</v>
      </c>
      <c r="M50" s="321">
        <f t="shared" si="2"/>
        <v>3.0935643370117165E-4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9.973525025554944E-3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3.0935643370117165E-4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2770.4236182097065</v>
      </c>
      <c r="H54" s="21">
        <f t="shared" si="3"/>
        <v>0</v>
      </c>
      <c r="I54" s="21">
        <f t="shared" si="3"/>
        <v>0</v>
      </c>
      <c r="J54" s="21">
        <f t="shared" si="3"/>
        <v>0</v>
      </c>
      <c r="K54" s="21">
        <f t="shared" si="3"/>
        <v>0</v>
      </c>
      <c r="L54" s="21">
        <f t="shared" si="3"/>
        <v>0</v>
      </c>
      <c r="M54" s="21">
        <f t="shared" si="3"/>
        <v>85.932342694769901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0.19061751438935126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739.70310606199166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38321.068068129993</v>
      </c>
      <c r="D10" s="1012">
        <f ca="1">tertiair!C16</f>
        <v>0</v>
      </c>
      <c r="E10" s="1012">
        <f ca="1">tertiair!D16</f>
        <v>37841.037201533065</v>
      </c>
      <c r="F10" s="1012">
        <f>tertiair!E16</f>
        <v>679.46094145020265</v>
      </c>
      <c r="G10" s="1012">
        <f ca="1">tertiair!F16</f>
        <v>9398.6608621737323</v>
      </c>
      <c r="H10" s="1012">
        <f>tertiair!G16</f>
        <v>0</v>
      </c>
      <c r="I10" s="1012">
        <f>tertiair!H16</f>
        <v>0</v>
      </c>
      <c r="J10" s="1012">
        <f>tertiair!I16</f>
        <v>0</v>
      </c>
      <c r="K10" s="1012">
        <f>tertiair!J16</f>
        <v>0</v>
      </c>
      <c r="L10" s="1012">
        <f>tertiair!K16</f>
        <v>0</v>
      </c>
      <c r="M10" s="1012">
        <f ca="1">tertiair!L16</f>
        <v>0</v>
      </c>
      <c r="N10" s="1012">
        <f>tertiair!M16</f>
        <v>0</v>
      </c>
      <c r="O10" s="1012">
        <f ca="1">tertiair!N16</f>
        <v>2847.3969845935703</v>
      </c>
      <c r="P10" s="1012">
        <f>tertiair!O16</f>
        <v>1.5633333333333335</v>
      </c>
      <c r="Q10" s="1013">
        <f>tertiair!P16</f>
        <v>38.133333333333333</v>
      </c>
      <c r="R10" s="700">
        <f ca="1">SUM(C10:Q10)</f>
        <v>89127.320724547244</v>
      </c>
      <c r="S10" s="67"/>
    </row>
    <row r="11" spans="1:19" s="473" customFormat="1">
      <c r="A11" s="809" t="s">
        <v>225</v>
      </c>
      <c r="B11" s="814"/>
      <c r="C11" s="1012">
        <f>huishoudens!B8</f>
        <v>42260.561295458145</v>
      </c>
      <c r="D11" s="1012">
        <f>huishoudens!C8</f>
        <v>0</v>
      </c>
      <c r="E11" s="1012">
        <f>huishoudens!D8</f>
        <v>112756.76268186001</v>
      </c>
      <c r="F11" s="1012">
        <f>huishoudens!E8</f>
        <v>3454.9469827930161</v>
      </c>
      <c r="G11" s="1012">
        <f>huishoudens!F8</f>
        <v>27540.713192005769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10523.311909114345</v>
      </c>
      <c r="P11" s="1012">
        <f>huishoudens!O8</f>
        <v>190.72666666666666</v>
      </c>
      <c r="Q11" s="1013">
        <f>huishoudens!P8</f>
        <v>591.06666666666661</v>
      </c>
      <c r="R11" s="700">
        <f>SUM(C11:Q11)</f>
        <v>197318.08939456462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19626.108058810001</v>
      </c>
      <c r="D13" s="1012">
        <f>industrie!C18</f>
        <v>0</v>
      </c>
      <c r="E13" s="1012">
        <f>industrie!D18</f>
        <v>24764.86853587085</v>
      </c>
      <c r="F13" s="1012">
        <f>industrie!E18</f>
        <v>1198.2863260651777</v>
      </c>
      <c r="G13" s="1012">
        <f>industrie!F18</f>
        <v>4654.7396260004107</v>
      </c>
      <c r="H13" s="1012">
        <f>industrie!G18</f>
        <v>0</v>
      </c>
      <c r="I13" s="1012">
        <f>industrie!H18</f>
        <v>0</v>
      </c>
      <c r="J13" s="1012">
        <f>industrie!I18</f>
        <v>0</v>
      </c>
      <c r="K13" s="1012">
        <f>industrie!J18</f>
        <v>256.84008362416677</v>
      </c>
      <c r="L13" s="1012">
        <f>industrie!K18</f>
        <v>0</v>
      </c>
      <c r="M13" s="1012">
        <f>industrie!L18</f>
        <v>0</v>
      </c>
      <c r="N13" s="1012">
        <f>industrie!M18</f>
        <v>0</v>
      </c>
      <c r="O13" s="1012">
        <f>industrie!N18</f>
        <v>7065.171601979775</v>
      </c>
      <c r="P13" s="1012">
        <f>industrie!O18</f>
        <v>0</v>
      </c>
      <c r="Q13" s="1013">
        <f>industrie!P18</f>
        <v>0</v>
      </c>
      <c r="R13" s="700">
        <f>SUM(C13:Q13)</f>
        <v>57566.014232350375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100207.73742239815</v>
      </c>
      <c r="D16" s="732">
        <f t="shared" ref="D16:R16" ca="1" si="0">SUM(D9:D15)</f>
        <v>0</v>
      </c>
      <c r="E16" s="732">
        <f t="shared" ca="1" si="0"/>
        <v>175362.66841926394</v>
      </c>
      <c r="F16" s="732">
        <f t="shared" si="0"/>
        <v>5332.6942503083965</v>
      </c>
      <c r="G16" s="732">
        <f t="shared" ca="1" si="0"/>
        <v>41594.113680179908</v>
      </c>
      <c r="H16" s="732">
        <f t="shared" si="0"/>
        <v>0</v>
      </c>
      <c r="I16" s="732">
        <f t="shared" si="0"/>
        <v>0</v>
      </c>
      <c r="J16" s="732">
        <f t="shared" si="0"/>
        <v>0</v>
      </c>
      <c r="K16" s="732">
        <f t="shared" si="0"/>
        <v>256.84008362416677</v>
      </c>
      <c r="L16" s="732">
        <f t="shared" si="0"/>
        <v>0</v>
      </c>
      <c r="M16" s="732">
        <f t="shared" ca="1" si="0"/>
        <v>0</v>
      </c>
      <c r="N16" s="732">
        <f t="shared" si="0"/>
        <v>0</v>
      </c>
      <c r="O16" s="732">
        <f t="shared" ca="1" si="0"/>
        <v>20435.880495687692</v>
      </c>
      <c r="P16" s="732">
        <f t="shared" si="0"/>
        <v>192.29</v>
      </c>
      <c r="Q16" s="732">
        <f t="shared" si="0"/>
        <v>629.19999999999993</v>
      </c>
      <c r="R16" s="732">
        <f t="shared" ca="1" si="0"/>
        <v>344011.42435146228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2770.4236182097065</v>
      </c>
      <c r="I19" s="1012">
        <f>transport!H54</f>
        <v>0</v>
      </c>
      <c r="J19" s="1012">
        <f>transport!I54</f>
        <v>0</v>
      </c>
      <c r="K19" s="1012">
        <f>transport!J54</f>
        <v>0</v>
      </c>
      <c r="L19" s="1012">
        <f>transport!K54</f>
        <v>0</v>
      </c>
      <c r="M19" s="1012">
        <f>transport!L54</f>
        <v>0</v>
      </c>
      <c r="N19" s="1012">
        <f>transport!M54</f>
        <v>85.932342694769901</v>
      </c>
      <c r="O19" s="1012">
        <f>transport!N54</f>
        <v>0</v>
      </c>
      <c r="P19" s="1012">
        <f>transport!O54</f>
        <v>0</v>
      </c>
      <c r="Q19" s="1013">
        <f>transport!P54</f>
        <v>0</v>
      </c>
      <c r="R19" s="700">
        <f>SUM(C19:Q19)</f>
        <v>2856.3559609044764</v>
      </c>
      <c r="S19" s="67"/>
    </row>
    <row r="20" spans="1:19" s="473" customFormat="1">
      <c r="A20" s="809" t="s">
        <v>307</v>
      </c>
      <c r="B20" s="814"/>
      <c r="C20" s="1012">
        <f>transport!B14</f>
        <v>67.306721920455729</v>
      </c>
      <c r="D20" s="1012">
        <f>transport!C14</f>
        <v>0</v>
      </c>
      <c r="E20" s="1012">
        <f>transport!D14</f>
        <v>178.41810952101298</v>
      </c>
      <c r="F20" s="1012">
        <f>transport!E14</f>
        <v>756.05190227296964</v>
      </c>
      <c r="G20" s="1012">
        <f>transport!F14</f>
        <v>0</v>
      </c>
      <c r="H20" s="1012">
        <f>transport!G14</f>
        <v>212728.53903562555</v>
      </c>
      <c r="I20" s="1012">
        <f>transport!H14</f>
        <v>48503.969889392196</v>
      </c>
      <c r="J20" s="1012">
        <f>transport!I14</f>
        <v>0</v>
      </c>
      <c r="K20" s="1012">
        <f>transport!J14</f>
        <v>0</v>
      </c>
      <c r="L20" s="1012">
        <f>transport!K14</f>
        <v>0</v>
      </c>
      <c r="M20" s="1012">
        <f>transport!L14</f>
        <v>0</v>
      </c>
      <c r="N20" s="1012">
        <f>transport!M14</f>
        <v>8155.4801451245066</v>
      </c>
      <c r="O20" s="1012">
        <f>transport!N14</f>
        <v>0</v>
      </c>
      <c r="P20" s="1012">
        <f>transport!O14</f>
        <v>0</v>
      </c>
      <c r="Q20" s="1013">
        <f>transport!P14</f>
        <v>0</v>
      </c>
      <c r="R20" s="700">
        <f>SUM(C20:Q20)</f>
        <v>270389.76580385666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67.306721920455729</v>
      </c>
      <c r="D22" s="812">
        <f t="shared" ref="D22:R22" si="1">SUM(D18:D21)</f>
        <v>0</v>
      </c>
      <c r="E22" s="812">
        <f t="shared" si="1"/>
        <v>178.41810952101298</v>
      </c>
      <c r="F22" s="812">
        <f t="shared" si="1"/>
        <v>756.05190227296964</v>
      </c>
      <c r="G22" s="812">
        <f t="shared" si="1"/>
        <v>0</v>
      </c>
      <c r="H22" s="812">
        <f t="shared" si="1"/>
        <v>215498.96265383525</v>
      </c>
      <c r="I22" s="812">
        <f t="shared" si="1"/>
        <v>48503.969889392196</v>
      </c>
      <c r="J22" s="812">
        <f t="shared" si="1"/>
        <v>0</v>
      </c>
      <c r="K22" s="812">
        <f t="shared" si="1"/>
        <v>0</v>
      </c>
      <c r="L22" s="812">
        <f t="shared" si="1"/>
        <v>0</v>
      </c>
      <c r="M22" s="812">
        <f t="shared" si="1"/>
        <v>0</v>
      </c>
      <c r="N22" s="812">
        <f t="shared" si="1"/>
        <v>8241.4124878192761</v>
      </c>
      <c r="O22" s="812">
        <f t="shared" si="1"/>
        <v>0</v>
      </c>
      <c r="P22" s="812">
        <f t="shared" si="1"/>
        <v>0</v>
      </c>
      <c r="Q22" s="812">
        <f t="shared" si="1"/>
        <v>0</v>
      </c>
      <c r="R22" s="812">
        <f t="shared" si="1"/>
        <v>273246.12176476116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220.51051864900001</v>
      </c>
      <c r="D24" s="1012">
        <f>+landbouw!C8</f>
        <v>0</v>
      </c>
      <c r="E24" s="1012">
        <f>+landbouw!D8</f>
        <v>163.265585126182</v>
      </c>
      <c r="F24" s="1012">
        <f>+landbouw!E8</f>
        <v>5.6861196134527781</v>
      </c>
      <c r="G24" s="1012">
        <f>+landbouw!F8</f>
        <v>806.00793985041412</v>
      </c>
      <c r="H24" s="1012">
        <f>+landbouw!G8</f>
        <v>0</v>
      </c>
      <c r="I24" s="1012">
        <f>+landbouw!H8</f>
        <v>0</v>
      </c>
      <c r="J24" s="1012">
        <f>+landbouw!I8</f>
        <v>0</v>
      </c>
      <c r="K24" s="1012">
        <f>+landbouw!J8</f>
        <v>31.745402840625228</v>
      </c>
      <c r="L24" s="1012">
        <f>+landbouw!K8</f>
        <v>0</v>
      </c>
      <c r="M24" s="1012">
        <f>+landbouw!L8</f>
        <v>0</v>
      </c>
      <c r="N24" s="1012">
        <f>+landbouw!M8</f>
        <v>0</v>
      </c>
      <c r="O24" s="1012">
        <f>+landbouw!N8</f>
        <v>0</v>
      </c>
      <c r="P24" s="1012">
        <f>+landbouw!O8</f>
        <v>0</v>
      </c>
      <c r="Q24" s="1013">
        <f>+landbouw!P8</f>
        <v>0</v>
      </c>
      <c r="R24" s="700">
        <f>SUM(C24:Q24)</f>
        <v>1227.2155660796741</v>
      </c>
      <c r="S24" s="67"/>
    </row>
    <row r="25" spans="1:19" s="473" customFormat="1" ht="15" thickBot="1">
      <c r="A25" s="831" t="s">
        <v>848</v>
      </c>
      <c r="B25" s="1015"/>
      <c r="C25" s="1016">
        <f>IF(Onbekend_ele_kWh="---",0,Onbekend_ele_kWh)/1000+IF(REST_rest_ele_kWh="---",0,REST_rest_ele_kWh)/1000</f>
        <v>1279.6466277999998</v>
      </c>
      <c r="D25" s="1016"/>
      <c r="E25" s="1016">
        <f>IF(onbekend_gas_kWh="---",0,onbekend_gas_kWh)/1000+IF(REST_rest_gas_kWh="---",0,REST_rest_gas_kWh)/1000</f>
        <v>3203.4207872000002</v>
      </c>
      <c r="F25" s="1016"/>
      <c r="G25" s="1016"/>
      <c r="H25" s="1016"/>
      <c r="I25" s="1016"/>
      <c r="J25" s="1016"/>
      <c r="K25" s="1016"/>
      <c r="L25" s="1016"/>
      <c r="M25" s="1016"/>
      <c r="N25" s="1016"/>
      <c r="O25" s="1016"/>
      <c r="P25" s="1016"/>
      <c r="Q25" s="1017"/>
      <c r="R25" s="700">
        <f>SUM(C25:Q25)</f>
        <v>4483.0674149999995</v>
      </c>
      <c r="S25" s="67"/>
    </row>
    <row r="26" spans="1:19" s="473" customFormat="1" ht="15.75" thickBot="1">
      <c r="A26" s="705" t="s">
        <v>849</v>
      </c>
      <c r="B26" s="817"/>
      <c r="C26" s="812">
        <f>SUM(C24:C25)</f>
        <v>1500.1571464489998</v>
      </c>
      <c r="D26" s="812">
        <f t="shared" ref="D26:R26" si="2">SUM(D24:D25)</f>
        <v>0</v>
      </c>
      <c r="E26" s="812">
        <f t="shared" si="2"/>
        <v>3366.6863723261822</v>
      </c>
      <c r="F26" s="812">
        <f t="shared" si="2"/>
        <v>5.6861196134527781</v>
      </c>
      <c r="G26" s="812">
        <f t="shared" si="2"/>
        <v>806.00793985041412</v>
      </c>
      <c r="H26" s="812">
        <f t="shared" si="2"/>
        <v>0</v>
      </c>
      <c r="I26" s="812">
        <f t="shared" si="2"/>
        <v>0</v>
      </c>
      <c r="J26" s="812">
        <f t="shared" si="2"/>
        <v>0</v>
      </c>
      <c r="K26" s="812">
        <f t="shared" si="2"/>
        <v>31.745402840625228</v>
      </c>
      <c r="L26" s="812">
        <f t="shared" si="2"/>
        <v>0</v>
      </c>
      <c r="M26" s="812">
        <f t="shared" si="2"/>
        <v>0</v>
      </c>
      <c r="N26" s="812">
        <f t="shared" si="2"/>
        <v>0</v>
      </c>
      <c r="O26" s="812">
        <f t="shared" si="2"/>
        <v>0</v>
      </c>
      <c r="P26" s="812">
        <f t="shared" si="2"/>
        <v>0</v>
      </c>
      <c r="Q26" s="812">
        <f t="shared" si="2"/>
        <v>0</v>
      </c>
      <c r="R26" s="812">
        <f t="shared" si="2"/>
        <v>5710.2829810796738</v>
      </c>
      <c r="S26" s="67"/>
    </row>
    <row r="27" spans="1:19" s="473" customFormat="1" ht="17.25" thickTop="1" thickBot="1">
      <c r="A27" s="706" t="s">
        <v>116</v>
      </c>
      <c r="B27" s="805"/>
      <c r="C27" s="707">
        <f ca="1">C22+C16+C26</f>
        <v>101775.2012907676</v>
      </c>
      <c r="D27" s="707">
        <f t="shared" ref="D27:R27" ca="1" si="3">D22+D16+D26</f>
        <v>0</v>
      </c>
      <c r="E27" s="707">
        <f t="shared" ca="1" si="3"/>
        <v>178907.77290111114</v>
      </c>
      <c r="F27" s="707">
        <f t="shared" si="3"/>
        <v>6094.4322721948192</v>
      </c>
      <c r="G27" s="707">
        <f t="shared" ca="1" si="3"/>
        <v>42400.121620030324</v>
      </c>
      <c r="H27" s="707">
        <f t="shared" si="3"/>
        <v>215498.96265383525</v>
      </c>
      <c r="I27" s="707">
        <f t="shared" si="3"/>
        <v>48503.969889392196</v>
      </c>
      <c r="J27" s="707">
        <f t="shared" si="3"/>
        <v>0</v>
      </c>
      <c r="K27" s="707">
        <f t="shared" si="3"/>
        <v>288.58548646479198</v>
      </c>
      <c r="L27" s="707">
        <f t="shared" si="3"/>
        <v>0</v>
      </c>
      <c r="M27" s="707">
        <f t="shared" ca="1" si="3"/>
        <v>0</v>
      </c>
      <c r="N27" s="707">
        <f t="shared" si="3"/>
        <v>8241.4124878192761</v>
      </c>
      <c r="O27" s="707">
        <f t="shared" ca="1" si="3"/>
        <v>20435.880495687692</v>
      </c>
      <c r="P27" s="707">
        <f t="shared" si="3"/>
        <v>192.29</v>
      </c>
      <c r="Q27" s="707">
        <f t="shared" si="3"/>
        <v>629.19999999999993</v>
      </c>
      <c r="R27" s="707">
        <f t="shared" ca="1" si="3"/>
        <v>622967.8290973031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7304.6667438920776</v>
      </c>
      <c r="D40" s="1012">
        <f ca="1">tertiair!C20</f>
        <v>0</v>
      </c>
      <c r="E40" s="1012">
        <f ca="1">tertiair!D20</f>
        <v>7643.88951470968</v>
      </c>
      <c r="F40" s="1012">
        <f>tertiair!E20</f>
        <v>154.23763370919602</v>
      </c>
      <c r="G40" s="1012">
        <f ca="1">tertiair!F20</f>
        <v>2509.4424502003867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17612.23634251134</v>
      </c>
    </row>
    <row r="41" spans="1:18">
      <c r="A41" s="822" t="s">
        <v>225</v>
      </c>
      <c r="B41" s="829"/>
      <c r="C41" s="1012">
        <f ca="1">huishoudens!B12</f>
        <v>8055.6031508390543</v>
      </c>
      <c r="D41" s="1012">
        <f ca="1">huishoudens!C12</f>
        <v>0</v>
      </c>
      <c r="E41" s="1012">
        <f>huishoudens!D12</f>
        <v>22776.866061735724</v>
      </c>
      <c r="F41" s="1012">
        <f>huishoudens!E12</f>
        <v>784.27296509401469</v>
      </c>
      <c r="G41" s="1012">
        <f>huishoudens!F12</f>
        <v>7353.3704222655406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38970.112599934335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3741.0799353071779</v>
      </c>
      <c r="D43" s="1012">
        <f ca="1">industrie!C22</f>
        <v>0</v>
      </c>
      <c r="E43" s="1012">
        <f>industrie!D22</f>
        <v>5002.5034442459119</v>
      </c>
      <c r="F43" s="1012">
        <f>industrie!E22</f>
        <v>272.01099601679533</v>
      </c>
      <c r="G43" s="1012">
        <f>industrie!F22</f>
        <v>1242.8154801421097</v>
      </c>
      <c r="H43" s="1012">
        <f>industrie!G22</f>
        <v>0</v>
      </c>
      <c r="I43" s="1012">
        <f>industrie!H22</f>
        <v>0</v>
      </c>
      <c r="J43" s="1012">
        <f>industrie!I22</f>
        <v>0</v>
      </c>
      <c r="K43" s="1012">
        <f>industrie!J22</f>
        <v>90.921389602955031</v>
      </c>
      <c r="L43" s="1012">
        <f>industrie!K22</f>
        <v>0</v>
      </c>
      <c r="M43" s="1012">
        <f>industrie!L22</f>
        <v>0</v>
      </c>
      <c r="N43" s="1012">
        <f>industrie!M22</f>
        <v>0</v>
      </c>
      <c r="O43" s="1012">
        <f>industrie!N22</f>
        <v>0</v>
      </c>
      <c r="P43" s="1012">
        <f>industrie!O22</f>
        <v>0</v>
      </c>
      <c r="Q43" s="774">
        <f>industrie!P22</f>
        <v>0</v>
      </c>
      <c r="R43" s="849">
        <f t="shared" ca="1" si="4"/>
        <v>10349.331245314948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19101.349830038311</v>
      </c>
      <c r="D46" s="732">
        <f t="shared" ref="D46:Q46" ca="1" si="5">SUM(D39:D45)</f>
        <v>0</v>
      </c>
      <c r="E46" s="732">
        <f t="shared" ca="1" si="5"/>
        <v>35423.259020691316</v>
      </c>
      <c r="F46" s="732">
        <f t="shared" si="5"/>
        <v>1210.5215948200062</v>
      </c>
      <c r="G46" s="732">
        <f t="shared" ca="1" si="5"/>
        <v>11105.628352608037</v>
      </c>
      <c r="H46" s="732">
        <f t="shared" si="5"/>
        <v>0</v>
      </c>
      <c r="I46" s="732">
        <f t="shared" si="5"/>
        <v>0</v>
      </c>
      <c r="J46" s="732">
        <f t="shared" si="5"/>
        <v>0</v>
      </c>
      <c r="K46" s="732">
        <f t="shared" si="5"/>
        <v>90.921389602955031</v>
      </c>
      <c r="L46" s="732">
        <f t="shared" si="5"/>
        <v>0</v>
      </c>
      <c r="M46" s="732">
        <f t="shared" ca="1" si="5"/>
        <v>0</v>
      </c>
      <c r="N46" s="732">
        <f t="shared" si="5"/>
        <v>0</v>
      </c>
      <c r="O46" s="732">
        <f t="shared" ca="1" si="5"/>
        <v>0</v>
      </c>
      <c r="P46" s="732">
        <f t="shared" si="5"/>
        <v>0</v>
      </c>
      <c r="Q46" s="732">
        <f t="shared" si="5"/>
        <v>0</v>
      </c>
      <c r="R46" s="732">
        <f ca="1">SUM(R39:R45)</f>
        <v>66931.680187760619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739.70310606199166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739.70310606199166</v>
      </c>
    </row>
    <row r="50" spans="1:18">
      <c r="A50" s="825" t="s">
        <v>307</v>
      </c>
      <c r="B50" s="835"/>
      <c r="C50" s="703">
        <f ca="1">transport!B18</f>
        <v>12.829840034172534</v>
      </c>
      <c r="D50" s="703">
        <f>transport!C18</f>
        <v>0</v>
      </c>
      <c r="E50" s="703">
        <f>transport!D18</f>
        <v>36.040458123244626</v>
      </c>
      <c r="F50" s="703">
        <f>transport!E18</f>
        <v>171.62378181596412</v>
      </c>
      <c r="G50" s="703">
        <f>transport!F18</f>
        <v>0</v>
      </c>
      <c r="H50" s="703">
        <f>transport!G18</f>
        <v>56798.519922512023</v>
      </c>
      <c r="I50" s="703">
        <f>transport!H18</f>
        <v>12077.488502458657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69096.502504944059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12.829840034172534</v>
      </c>
      <c r="D52" s="732">
        <f t="shared" ref="D52:Q52" ca="1" si="6">SUM(D48:D51)</f>
        <v>0</v>
      </c>
      <c r="E52" s="732">
        <f t="shared" si="6"/>
        <v>36.040458123244626</v>
      </c>
      <c r="F52" s="732">
        <f t="shared" si="6"/>
        <v>171.62378181596412</v>
      </c>
      <c r="G52" s="732">
        <f t="shared" si="6"/>
        <v>0</v>
      </c>
      <c r="H52" s="732">
        <f t="shared" si="6"/>
        <v>57538.223028574015</v>
      </c>
      <c r="I52" s="732">
        <f t="shared" si="6"/>
        <v>12077.488502458657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69836.205611006051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42.03316696157907</v>
      </c>
      <c r="D54" s="703">
        <f ca="1">+landbouw!C12</f>
        <v>0</v>
      </c>
      <c r="E54" s="703">
        <f>+landbouw!D12</f>
        <v>32.979648195488764</v>
      </c>
      <c r="F54" s="703">
        <f>+landbouw!E12</f>
        <v>1.2907491522537806</v>
      </c>
      <c r="G54" s="703">
        <f>+landbouw!F12</f>
        <v>215.20411994006059</v>
      </c>
      <c r="H54" s="703">
        <f>+landbouw!G12</f>
        <v>0</v>
      </c>
      <c r="I54" s="703">
        <f>+landbouw!H12</f>
        <v>0</v>
      </c>
      <c r="J54" s="703">
        <f>+landbouw!I12</f>
        <v>0</v>
      </c>
      <c r="K54" s="703">
        <f>+landbouw!J12</f>
        <v>11.23787260558133</v>
      </c>
      <c r="L54" s="703">
        <f>+landbouw!K12</f>
        <v>0</v>
      </c>
      <c r="M54" s="703">
        <f>+landbouw!L12</f>
        <v>0</v>
      </c>
      <c r="N54" s="703">
        <f>+landbouw!M12</f>
        <v>0</v>
      </c>
      <c r="O54" s="703">
        <f>+landbouw!N12</f>
        <v>0</v>
      </c>
      <c r="P54" s="703">
        <f>+landbouw!O12</f>
        <v>0</v>
      </c>
      <c r="Q54" s="704">
        <f>+landbouw!P12</f>
        <v>0</v>
      </c>
      <c r="R54" s="731">
        <f ca="1">SUM(C54:Q54)</f>
        <v>302.74555685496358</v>
      </c>
    </row>
    <row r="55" spans="1:18" ht="15" thickBot="1">
      <c r="A55" s="825" t="s">
        <v>848</v>
      </c>
      <c r="B55" s="835"/>
      <c r="C55" s="703">
        <f ca="1">C25*'EF ele_warmte'!B12</f>
        <v>243.92305948795129</v>
      </c>
      <c r="D55" s="703"/>
      <c r="E55" s="703">
        <f>E25*EF_CO2_aardgas</f>
        <v>647.09099901440004</v>
      </c>
      <c r="F55" s="703"/>
      <c r="G55" s="703"/>
      <c r="H55" s="703"/>
      <c r="I55" s="703"/>
      <c r="J55" s="703"/>
      <c r="K55" s="703"/>
      <c r="L55" s="703"/>
      <c r="M55" s="703"/>
      <c r="N55" s="703"/>
      <c r="O55" s="703"/>
      <c r="P55" s="703"/>
      <c r="Q55" s="704"/>
      <c r="R55" s="731">
        <f ca="1">SUM(C55:Q55)</f>
        <v>891.0140585023513</v>
      </c>
    </row>
    <row r="56" spans="1:18" ht="15.75" thickBot="1">
      <c r="A56" s="823" t="s">
        <v>849</v>
      </c>
      <c r="B56" s="836"/>
      <c r="C56" s="732">
        <f ca="1">SUM(C54:C55)</f>
        <v>285.95622644953039</v>
      </c>
      <c r="D56" s="732">
        <f t="shared" ref="D56:Q56" ca="1" si="7">SUM(D54:D55)</f>
        <v>0</v>
      </c>
      <c r="E56" s="732">
        <f t="shared" si="7"/>
        <v>680.07064720988876</v>
      </c>
      <c r="F56" s="732">
        <f t="shared" si="7"/>
        <v>1.2907491522537806</v>
      </c>
      <c r="G56" s="732">
        <f t="shared" si="7"/>
        <v>215.20411994006059</v>
      </c>
      <c r="H56" s="732">
        <f t="shared" si="7"/>
        <v>0</v>
      </c>
      <c r="I56" s="732">
        <f t="shared" si="7"/>
        <v>0</v>
      </c>
      <c r="J56" s="732">
        <f t="shared" si="7"/>
        <v>0</v>
      </c>
      <c r="K56" s="732">
        <f t="shared" si="7"/>
        <v>11.23787260558133</v>
      </c>
      <c r="L56" s="732">
        <f t="shared" si="7"/>
        <v>0</v>
      </c>
      <c r="M56" s="732">
        <f t="shared" si="7"/>
        <v>0</v>
      </c>
      <c r="N56" s="732">
        <f t="shared" si="7"/>
        <v>0</v>
      </c>
      <c r="O56" s="732">
        <f t="shared" si="7"/>
        <v>0</v>
      </c>
      <c r="P56" s="732">
        <f t="shared" si="7"/>
        <v>0</v>
      </c>
      <c r="Q56" s="733">
        <f t="shared" si="7"/>
        <v>0</v>
      </c>
      <c r="R56" s="734">
        <f ca="1">SUM(R54:R55)</f>
        <v>1193.7596153573149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19400.135896522013</v>
      </c>
      <c r="D61" s="740">
        <f t="shared" ref="D61:Q61" ca="1" si="8">D46+D52+D56</f>
        <v>0</v>
      </c>
      <c r="E61" s="740">
        <f t="shared" ca="1" si="8"/>
        <v>36139.370126024449</v>
      </c>
      <c r="F61" s="740">
        <f t="shared" si="8"/>
        <v>1383.436125788224</v>
      </c>
      <c r="G61" s="740">
        <f t="shared" ca="1" si="8"/>
        <v>11320.832472548098</v>
      </c>
      <c r="H61" s="740">
        <f t="shared" si="8"/>
        <v>57538.223028574015</v>
      </c>
      <c r="I61" s="740">
        <f t="shared" si="8"/>
        <v>12077.488502458657</v>
      </c>
      <c r="J61" s="740">
        <f t="shared" si="8"/>
        <v>0</v>
      </c>
      <c r="K61" s="740">
        <f t="shared" si="8"/>
        <v>102.15926220853636</v>
      </c>
      <c r="L61" s="740">
        <f t="shared" si="8"/>
        <v>0</v>
      </c>
      <c r="M61" s="740">
        <f t="shared" ca="1" si="8"/>
        <v>0</v>
      </c>
      <c r="N61" s="740">
        <f t="shared" si="8"/>
        <v>0</v>
      </c>
      <c r="O61" s="740">
        <f t="shared" ca="1" si="8"/>
        <v>0</v>
      </c>
      <c r="P61" s="740">
        <f t="shared" si="8"/>
        <v>0</v>
      </c>
      <c r="Q61" s="740">
        <f t="shared" si="8"/>
        <v>0</v>
      </c>
      <c r="R61" s="740">
        <f ca="1">R46+R52+R56</f>
        <v>137961.64541412401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0.19061751438935126</v>
      </c>
      <c r="D63" s="781">
        <f t="shared" ca="1" si="9"/>
        <v>0</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7055.4051800892894</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6936.3757644248544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13991.780944514143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7055.4051800892894</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6936.3757644248544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13991.780944514143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42260.561295458145</v>
      </c>
      <c r="C4" s="477">
        <f>huishoudens!C8</f>
        <v>0</v>
      </c>
      <c r="D4" s="477">
        <f>huishoudens!D8</f>
        <v>112756.76268186001</v>
      </c>
      <c r="E4" s="477">
        <f>huishoudens!E8</f>
        <v>3454.9469827930161</v>
      </c>
      <c r="F4" s="477">
        <f>huishoudens!F8</f>
        <v>27540.713192005769</v>
      </c>
      <c r="G4" s="477">
        <f>huishoudens!G8</f>
        <v>0</v>
      </c>
      <c r="H4" s="477">
        <f>huishoudens!H8</f>
        <v>0</v>
      </c>
      <c r="I4" s="477">
        <f>huishoudens!I8</f>
        <v>0</v>
      </c>
      <c r="J4" s="477">
        <f>huishoudens!J8</f>
        <v>0</v>
      </c>
      <c r="K4" s="477">
        <f>huishoudens!K8</f>
        <v>0</v>
      </c>
      <c r="L4" s="477">
        <f>huishoudens!L8</f>
        <v>0</v>
      </c>
      <c r="M4" s="477">
        <f>huishoudens!M8</f>
        <v>0</v>
      </c>
      <c r="N4" s="477">
        <f>huishoudens!N8</f>
        <v>10523.311909114345</v>
      </c>
      <c r="O4" s="477">
        <f>huishoudens!O8</f>
        <v>190.72666666666666</v>
      </c>
      <c r="P4" s="478">
        <f>huishoudens!P8</f>
        <v>591.06666666666661</v>
      </c>
      <c r="Q4" s="479">
        <f>SUM(B4:P4)</f>
        <v>197318.08939456462</v>
      </c>
    </row>
    <row r="5" spans="1:17">
      <c r="A5" s="476" t="s">
        <v>156</v>
      </c>
      <c r="B5" s="477">
        <f ca="1">tertiair!B16</f>
        <v>36233.752068129994</v>
      </c>
      <c r="C5" s="477">
        <f ca="1">tertiair!C16</f>
        <v>0</v>
      </c>
      <c r="D5" s="477">
        <f ca="1">tertiair!D16</f>
        <v>37841.037201533065</v>
      </c>
      <c r="E5" s="477">
        <f>tertiair!E16</f>
        <v>679.46094145020265</v>
      </c>
      <c r="F5" s="477">
        <f ca="1">tertiair!F16</f>
        <v>9398.6608621737323</v>
      </c>
      <c r="G5" s="477">
        <f>tertiair!G16</f>
        <v>0</v>
      </c>
      <c r="H5" s="477">
        <f>tertiair!H16</f>
        <v>0</v>
      </c>
      <c r="I5" s="477">
        <f>tertiair!I16</f>
        <v>0</v>
      </c>
      <c r="J5" s="477">
        <f>tertiair!J16</f>
        <v>0</v>
      </c>
      <c r="K5" s="477">
        <f>tertiair!K16</f>
        <v>0</v>
      </c>
      <c r="L5" s="477">
        <f ca="1">tertiair!L16</f>
        <v>0</v>
      </c>
      <c r="M5" s="477">
        <f>tertiair!M16</f>
        <v>0</v>
      </c>
      <c r="N5" s="477">
        <f ca="1">tertiair!N16</f>
        <v>2847.3969845935703</v>
      </c>
      <c r="O5" s="477">
        <f>tertiair!O16</f>
        <v>1.5633333333333335</v>
      </c>
      <c r="P5" s="478">
        <f>tertiair!P16</f>
        <v>38.133333333333333</v>
      </c>
      <c r="Q5" s="476">
        <f t="shared" ref="Q5:Q14" ca="1" si="0">SUM(B5:P5)</f>
        <v>87040.004724547223</v>
      </c>
    </row>
    <row r="6" spans="1:17">
      <c r="A6" s="476" t="s">
        <v>194</v>
      </c>
      <c r="B6" s="477">
        <f>'openbare verlichting'!B8</f>
        <v>2087.3159999999998</v>
      </c>
      <c r="C6" s="477"/>
      <c r="D6" s="477"/>
      <c r="E6" s="477"/>
      <c r="F6" s="477"/>
      <c r="G6" s="477"/>
      <c r="H6" s="477"/>
      <c r="I6" s="477"/>
      <c r="J6" s="477"/>
      <c r="K6" s="477"/>
      <c r="L6" s="477"/>
      <c r="M6" s="477"/>
      <c r="N6" s="477"/>
      <c r="O6" s="477"/>
      <c r="P6" s="478"/>
      <c r="Q6" s="476">
        <f t="shared" si="0"/>
        <v>2087.3159999999998</v>
      </c>
    </row>
    <row r="7" spans="1:17">
      <c r="A7" s="476" t="s">
        <v>112</v>
      </c>
      <c r="B7" s="477">
        <f>landbouw!B8</f>
        <v>220.51051864900001</v>
      </c>
      <c r="C7" s="477">
        <f>landbouw!C8</f>
        <v>0</v>
      </c>
      <c r="D7" s="477">
        <f>landbouw!D8</f>
        <v>163.265585126182</v>
      </c>
      <c r="E7" s="477">
        <f>landbouw!E8</f>
        <v>5.6861196134527781</v>
      </c>
      <c r="F7" s="477">
        <f>landbouw!F8</f>
        <v>806.00793985041412</v>
      </c>
      <c r="G7" s="477">
        <f>landbouw!G8</f>
        <v>0</v>
      </c>
      <c r="H7" s="477">
        <f>landbouw!H8</f>
        <v>0</v>
      </c>
      <c r="I7" s="477">
        <f>landbouw!I8</f>
        <v>0</v>
      </c>
      <c r="J7" s="477">
        <f>landbouw!J8</f>
        <v>31.745402840625228</v>
      </c>
      <c r="K7" s="477">
        <f>landbouw!K8</f>
        <v>0</v>
      </c>
      <c r="L7" s="477">
        <f>landbouw!L8</f>
        <v>0</v>
      </c>
      <c r="M7" s="477">
        <f>landbouw!M8</f>
        <v>0</v>
      </c>
      <c r="N7" s="477">
        <f>landbouw!N8</f>
        <v>0</v>
      </c>
      <c r="O7" s="477">
        <f>landbouw!O8</f>
        <v>0</v>
      </c>
      <c r="P7" s="478">
        <f>landbouw!P8</f>
        <v>0</v>
      </c>
      <c r="Q7" s="476">
        <f t="shared" si="0"/>
        <v>1227.2155660796741</v>
      </c>
    </row>
    <row r="8" spans="1:17">
      <c r="A8" s="476" t="s">
        <v>638</v>
      </c>
      <c r="B8" s="477">
        <f>industrie!B18</f>
        <v>19626.108058810001</v>
      </c>
      <c r="C8" s="477">
        <f>industrie!C18</f>
        <v>0</v>
      </c>
      <c r="D8" s="477">
        <f>industrie!D18</f>
        <v>24764.86853587085</v>
      </c>
      <c r="E8" s="477">
        <f>industrie!E18</f>
        <v>1198.2863260651777</v>
      </c>
      <c r="F8" s="477">
        <f>industrie!F18</f>
        <v>4654.7396260004107</v>
      </c>
      <c r="G8" s="477">
        <f>industrie!G18</f>
        <v>0</v>
      </c>
      <c r="H8" s="477">
        <f>industrie!H18</f>
        <v>0</v>
      </c>
      <c r="I8" s="477">
        <f>industrie!I18</f>
        <v>0</v>
      </c>
      <c r="J8" s="477">
        <f>industrie!J18</f>
        <v>256.84008362416677</v>
      </c>
      <c r="K8" s="477">
        <f>industrie!K18</f>
        <v>0</v>
      </c>
      <c r="L8" s="477">
        <f>industrie!L18</f>
        <v>0</v>
      </c>
      <c r="M8" s="477">
        <f>industrie!M18</f>
        <v>0</v>
      </c>
      <c r="N8" s="477">
        <f>industrie!N18</f>
        <v>7065.171601979775</v>
      </c>
      <c r="O8" s="477">
        <f>industrie!O18</f>
        <v>0</v>
      </c>
      <c r="P8" s="478">
        <f>industrie!P18</f>
        <v>0</v>
      </c>
      <c r="Q8" s="476">
        <f t="shared" si="0"/>
        <v>57566.014232350375</v>
      </c>
    </row>
    <row r="9" spans="1:17" s="482" customFormat="1">
      <c r="A9" s="480" t="s">
        <v>564</v>
      </c>
      <c r="B9" s="481">
        <f>transport!B14</f>
        <v>67.306721920455729</v>
      </c>
      <c r="C9" s="481">
        <f>transport!C14</f>
        <v>0</v>
      </c>
      <c r="D9" s="481">
        <f>transport!D14</f>
        <v>178.41810952101298</v>
      </c>
      <c r="E9" s="481">
        <f>transport!E14</f>
        <v>756.05190227296964</v>
      </c>
      <c r="F9" s="481">
        <f>transport!F14</f>
        <v>0</v>
      </c>
      <c r="G9" s="481">
        <f>transport!G14</f>
        <v>212728.53903562555</v>
      </c>
      <c r="H9" s="481">
        <f>transport!H14</f>
        <v>48503.969889392196</v>
      </c>
      <c r="I9" s="481">
        <f>transport!I14</f>
        <v>0</v>
      </c>
      <c r="J9" s="481">
        <f>transport!J14</f>
        <v>0</v>
      </c>
      <c r="K9" s="481">
        <f>transport!K14</f>
        <v>0</v>
      </c>
      <c r="L9" s="481">
        <f>transport!L14</f>
        <v>0</v>
      </c>
      <c r="M9" s="481">
        <f>transport!M14</f>
        <v>8155.4801451245066</v>
      </c>
      <c r="N9" s="481">
        <f>transport!N14</f>
        <v>0</v>
      </c>
      <c r="O9" s="481">
        <f>transport!O14</f>
        <v>0</v>
      </c>
      <c r="P9" s="481">
        <f>transport!P14</f>
        <v>0</v>
      </c>
      <c r="Q9" s="480">
        <f>SUM(B9:P9)</f>
        <v>270389.76580385666</v>
      </c>
    </row>
    <row r="10" spans="1:17">
      <c r="A10" s="476" t="s">
        <v>554</v>
      </c>
      <c r="B10" s="477">
        <f>transport!B54</f>
        <v>0</v>
      </c>
      <c r="C10" s="477">
        <f>transport!C54</f>
        <v>0</v>
      </c>
      <c r="D10" s="477">
        <f>transport!D54</f>
        <v>0</v>
      </c>
      <c r="E10" s="477">
        <f>transport!E54</f>
        <v>0</v>
      </c>
      <c r="F10" s="477">
        <f>transport!F54</f>
        <v>0</v>
      </c>
      <c r="G10" s="477">
        <f>transport!G54</f>
        <v>2770.4236182097065</v>
      </c>
      <c r="H10" s="477">
        <f>transport!H54</f>
        <v>0</v>
      </c>
      <c r="I10" s="477">
        <f>transport!I54</f>
        <v>0</v>
      </c>
      <c r="J10" s="477">
        <f>transport!J54</f>
        <v>0</v>
      </c>
      <c r="K10" s="477">
        <f>transport!K54</f>
        <v>0</v>
      </c>
      <c r="L10" s="477">
        <f>transport!L54</f>
        <v>0</v>
      </c>
      <c r="M10" s="477">
        <f>transport!M54</f>
        <v>85.932342694769901</v>
      </c>
      <c r="N10" s="477">
        <f>transport!N54</f>
        <v>0</v>
      </c>
      <c r="O10" s="477">
        <f>transport!O54</f>
        <v>0</v>
      </c>
      <c r="P10" s="478">
        <f>transport!P54</f>
        <v>0</v>
      </c>
      <c r="Q10" s="476">
        <f t="shared" si="0"/>
        <v>2856.3559609044764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1279.6466277999998</v>
      </c>
      <c r="C14" s="484"/>
      <c r="D14" s="484">
        <f>'SEAP template'!E25</f>
        <v>3203.4207872000002</v>
      </c>
      <c r="E14" s="484"/>
      <c r="F14" s="484"/>
      <c r="G14" s="484"/>
      <c r="H14" s="484"/>
      <c r="I14" s="484"/>
      <c r="J14" s="484"/>
      <c r="K14" s="484"/>
      <c r="L14" s="484"/>
      <c r="M14" s="484"/>
      <c r="N14" s="484"/>
      <c r="O14" s="484"/>
      <c r="P14" s="485"/>
      <c r="Q14" s="476">
        <f t="shared" si="0"/>
        <v>4483.0674149999995</v>
      </c>
    </row>
    <row r="15" spans="1:17" s="486" customFormat="1">
      <c r="A15" s="1038" t="s">
        <v>558</v>
      </c>
      <c r="B15" s="978">
        <f ca="1">SUM(B4:B14)</f>
        <v>101775.2012907676</v>
      </c>
      <c r="C15" s="978">
        <f t="shared" ref="C15:Q15" ca="1" si="1">SUM(C4:C14)</f>
        <v>0</v>
      </c>
      <c r="D15" s="978">
        <f t="shared" ca="1" si="1"/>
        <v>178907.77290111114</v>
      </c>
      <c r="E15" s="978">
        <f t="shared" si="1"/>
        <v>6094.4322721948192</v>
      </c>
      <c r="F15" s="978">
        <f t="shared" ca="1" si="1"/>
        <v>42400.121620030324</v>
      </c>
      <c r="G15" s="978">
        <f t="shared" si="1"/>
        <v>215498.96265383525</v>
      </c>
      <c r="H15" s="978">
        <f t="shared" si="1"/>
        <v>48503.969889392196</v>
      </c>
      <c r="I15" s="978">
        <f t="shared" si="1"/>
        <v>0</v>
      </c>
      <c r="J15" s="978">
        <f t="shared" si="1"/>
        <v>288.58548646479198</v>
      </c>
      <c r="K15" s="978">
        <f t="shared" si="1"/>
        <v>0</v>
      </c>
      <c r="L15" s="978">
        <f t="shared" ca="1" si="1"/>
        <v>0</v>
      </c>
      <c r="M15" s="978">
        <f t="shared" si="1"/>
        <v>8241.4124878192761</v>
      </c>
      <c r="N15" s="978">
        <f t="shared" ca="1" si="1"/>
        <v>20435.880495687692</v>
      </c>
      <c r="O15" s="978">
        <f t="shared" si="1"/>
        <v>192.29</v>
      </c>
      <c r="P15" s="978">
        <f t="shared" si="1"/>
        <v>629.19999999999993</v>
      </c>
      <c r="Q15" s="978">
        <f t="shared" ca="1" si="1"/>
        <v>622967.8290973031</v>
      </c>
    </row>
    <row r="17" spans="1:17">
      <c r="A17" s="487" t="s">
        <v>559</v>
      </c>
      <c r="B17" s="786">
        <f ca="1">huishoudens!B10</f>
        <v>0.19061751438935126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8055.6031508390543</v>
      </c>
      <c r="C22" s="477">
        <f t="shared" ref="C22:C32" ca="1" si="3">C4*$C$17</f>
        <v>0</v>
      </c>
      <c r="D22" s="477">
        <f t="shared" ref="D22:D32" si="4">D4*$D$17</f>
        <v>22776.866061735724</v>
      </c>
      <c r="E22" s="477">
        <f t="shared" ref="E22:E32" si="5">E4*$E$17</f>
        <v>784.27296509401469</v>
      </c>
      <c r="F22" s="477">
        <f t="shared" ref="F22:F32" si="6">F4*$F$17</f>
        <v>7353.3704222655406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38970.112599934335</v>
      </c>
    </row>
    <row r="23" spans="1:17">
      <c r="A23" s="476" t="s">
        <v>156</v>
      </c>
      <c r="B23" s="477">
        <f t="shared" ca="1" si="2"/>
        <v>6906.787756226955</v>
      </c>
      <c r="C23" s="477">
        <f t="shared" ca="1" si="3"/>
        <v>0</v>
      </c>
      <c r="D23" s="477">
        <f t="shared" ca="1" si="4"/>
        <v>7643.88951470968</v>
      </c>
      <c r="E23" s="477">
        <f t="shared" si="5"/>
        <v>154.23763370919602</v>
      </c>
      <c r="F23" s="477">
        <f t="shared" ca="1" si="6"/>
        <v>2509.4424502003867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17214.357354846215</v>
      </c>
    </row>
    <row r="24" spans="1:17">
      <c r="A24" s="476" t="s">
        <v>194</v>
      </c>
      <c r="B24" s="477">
        <f t="shared" ca="1" si="2"/>
        <v>397.87898766512308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397.87898766512308</v>
      </c>
    </row>
    <row r="25" spans="1:17">
      <c r="A25" s="476" t="s">
        <v>112</v>
      </c>
      <c r="B25" s="477">
        <f t="shared" ca="1" si="2"/>
        <v>42.03316696157907</v>
      </c>
      <c r="C25" s="477">
        <f t="shared" ca="1" si="3"/>
        <v>0</v>
      </c>
      <c r="D25" s="477">
        <f t="shared" si="4"/>
        <v>32.979648195488764</v>
      </c>
      <c r="E25" s="477">
        <f t="shared" si="5"/>
        <v>1.2907491522537806</v>
      </c>
      <c r="F25" s="477">
        <f t="shared" si="6"/>
        <v>215.20411994006059</v>
      </c>
      <c r="G25" s="477">
        <f t="shared" si="7"/>
        <v>0</v>
      </c>
      <c r="H25" s="477">
        <f t="shared" si="8"/>
        <v>0</v>
      </c>
      <c r="I25" s="477">
        <f t="shared" si="9"/>
        <v>0</v>
      </c>
      <c r="J25" s="477">
        <f t="shared" si="10"/>
        <v>11.23787260558133</v>
      </c>
      <c r="K25" s="477">
        <f t="shared" si="11"/>
        <v>0</v>
      </c>
      <c r="L25" s="477">
        <f t="shared" si="12"/>
        <v>0</v>
      </c>
      <c r="M25" s="477">
        <f t="shared" si="13"/>
        <v>0</v>
      </c>
      <c r="N25" s="477">
        <f t="shared" si="14"/>
        <v>0</v>
      </c>
      <c r="O25" s="477">
        <f t="shared" si="15"/>
        <v>0</v>
      </c>
      <c r="P25" s="478">
        <f t="shared" si="16"/>
        <v>0</v>
      </c>
      <c r="Q25" s="476">
        <f t="shared" ca="1" si="17"/>
        <v>302.74555685496358</v>
      </c>
    </row>
    <row r="26" spans="1:17">
      <c r="A26" s="476" t="s">
        <v>638</v>
      </c>
      <c r="B26" s="477">
        <f t="shared" ca="1" si="2"/>
        <v>3741.0799353071779</v>
      </c>
      <c r="C26" s="477">
        <f t="shared" ca="1" si="3"/>
        <v>0</v>
      </c>
      <c r="D26" s="477">
        <f t="shared" si="4"/>
        <v>5002.5034442459119</v>
      </c>
      <c r="E26" s="477">
        <f t="shared" si="5"/>
        <v>272.01099601679533</v>
      </c>
      <c r="F26" s="477">
        <f t="shared" si="6"/>
        <v>1242.8154801421097</v>
      </c>
      <c r="G26" s="477">
        <f t="shared" si="7"/>
        <v>0</v>
      </c>
      <c r="H26" s="477">
        <f t="shared" si="8"/>
        <v>0</v>
      </c>
      <c r="I26" s="477">
        <f t="shared" si="9"/>
        <v>0</v>
      </c>
      <c r="J26" s="477">
        <f t="shared" si="10"/>
        <v>90.921389602955031</v>
      </c>
      <c r="K26" s="477">
        <f t="shared" si="11"/>
        <v>0</v>
      </c>
      <c r="L26" s="477">
        <f t="shared" si="12"/>
        <v>0</v>
      </c>
      <c r="M26" s="477">
        <f t="shared" si="13"/>
        <v>0</v>
      </c>
      <c r="N26" s="477">
        <f t="shared" si="14"/>
        <v>0</v>
      </c>
      <c r="O26" s="477">
        <f t="shared" si="15"/>
        <v>0</v>
      </c>
      <c r="P26" s="478">
        <f t="shared" si="16"/>
        <v>0</v>
      </c>
      <c r="Q26" s="476">
        <f t="shared" ca="1" si="17"/>
        <v>10349.331245314948</v>
      </c>
    </row>
    <row r="27" spans="1:17" s="482" customFormat="1">
      <c r="A27" s="480" t="s">
        <v>564</v>
      </c>
      <c r="B27" s="780">
        <f t="shared" ca="1" si="2"/>
        <v>12.829840034172534</v>
      </c>
      <c r="C27" s="481">
        <f t="shared" ca="1" si="3"/>
        <v>0</v>
      </c>
      <c r="D27" s="481">
        <f t="shared" si="4"/>
        <v>36.040458123244626</v>
      </c>
      <c r="E27" s="481">
        <f t="shared" si="5"/>
        <v>171.62378181596412</v>
      </c>
      <c r="F27" s="481">
        <f t="shared" si="6"/>
        <v>0</v>
      </c>
      <c r="G27" s="481">
        <f t="shared" si="7"/>
        <v>56798.519922512023</v>
      </c>
      <c r="H27" s="481">
        <f t="shared" si="8"/>
        <v>12077.488502458657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69096.502504944059</v>
      </c>
    </row>
    <row r="28" spans="1:17">
      <c r="A28" s="476" t="s">
        <v>554</v>
      </c>
      <c r="B28" s="477">
        <f t="shared" ca="1" si="2"/>
        <v>0</v>
      </c>
      <c r="C28" s="477">
        <f t="shared" ca="1" si="3"/>
        <v>0</v>
      </c>
      <c r="D28" s="477">
        <f t="shared" si="4"/>
        <v>0</v>
      </c>
      <c r="E28" s="477">
        <f t="shared" si="5"/>
        <v>0</v>
      </c>
      <c r="F28" s="477">
        <f t="shared" si="6"/>
        <v>0</v>
      </c>
      <c r="G28" s="477">
        <f t="shared" si="7"/>
        <v>739.70310606199166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739.70310606199166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243.92305948795129</v>
      </c>
      <c r="C32" s="477">
        <f t="shared" ca="1" si="3"/>
        <v>0</v>
      </c>
      <c r="D32" s="477">
        <f t="shared" si="4"/>
        <v>647.09099901440004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891.0140585023513</v>
      </c>
    </row>
    <row r="33" spans="1:17" s="486" customFormat="1">
      <c r="A33" s="1038" t="s">
        <v>558</v>
      </c>
      <c r="B33" s="978">
        <f ca="1">SUM(B22:B32)</f>
        <v>19400.135896522013</v>
      </c>
      <c r="C33" s="978">
        <f t="shared" ref="C33:Q33" ca="1" si="18">SUM(C22:C32)</f>
        <v>0</v>
      </c>
      <c r="D33" s="978">
        <f t="shared" ca="1" si="18"/>
        <v>36139.370126024449</v>
      </c>
      <c r="E33" s="978">
        <f t="shared" si="18"/>
        <v>1383.436125788224</v>
      </c>
      <c r="F33" s="978">
        <f t="shared" ca="1" si="18"/>
        <v>11320.832472548098</v>
      </c>
      <c r="G33" s="978">
        <f t="shared" si="18"/>
        <v>57538.223028574015</v>
      </c>
      <c r="H33" s="978">
        <f t="shared" si="18"/>
        <v>12077.488502458657</v>
      </c>
      <c r="I33" s="978">
        <f t="shared" si="18"/>
        <v>0</v>
      </c>
      <c r="J33" s="978">
        <f t="shared" si="18"/>
        <v>102.15926220853636</v>
      </c>
      <c r="K33" s="978">
        <f t="shared" si="18"/>
        <v>0</v>
      </c>
      <c r="L33" s="978">
        <f t="shared" ca="1" si="18"/>
        <v>0</v>
      </c>
      <c r="M33" s="978">
        <f t="shared" si="18"/>
        <v>0</v>
      </c>
      <c r="N33" s="978">
        <f t="shared" ca="1" si="18"/>
        <v>0</v>
      </c>
      <c r="O33" s="978">
        <f t="shared" si="18"/>
        <v>0</v>
      </c>
      <c r="P33" s="978">
        <f t="shared" si="18"/>
        <v>0</v>
      </c>
      <c r="Q33" s="978">
        <f t="shared" ca="1" si="18"/>
        <v>137961.64541412401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7055.4051800892894</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6936.3757644248544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13991.780944514143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0.19061751438935126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0.19061751438935126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2019-08-12T08:23:07Z</dcterms:modified>
</cp:coreProperties>
</file>