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H9" i="18"/>
  <c r="M77" i="14" s="1"/>
  <c r="M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N90"/>
  <c r="R78"/>
  <c r="K78"/>
  <c r="J56"/>
  <c r="H56"/>
  <c r="I56"/>
  <c r="Q52"/>
  <c r="P52"/>
  <c r="R44"/>
  <c r="R25"/>
  <c r="E25"/>
  <c r="E55" s="1"/>
  <c r="C25"/>
  <c r="N26"/>
  <c r="L26"/>
  <c r="J26"/>
  <c r="I26"/>
  <c r="D22"/>
  <c r="M22"/>
  <c r="K22"/>
  <c r="R12"/>
  <c r="O78" l="1"/>
  <c r="O9" i="59"/>
  <c r="G8"/>
  <c r="G10" s="1"/>
  <c r="G78" i="14"/>
  <c r="H10" i="59"/>
  <c r="K90" i="14"/>
  <c r="O22"/>
  <c r="L90"/>
  <c r="Q11" i="48"/>
  <c r="O20" i="59"/>
  <c r="L78" i="14"/>
  <c r="L8" i="59"/>
  <c r="L10" s="1"/>
  <c r="H18"/>
  <c r="H78" i="14"/>
  <c r="H8" i="59"/>
  <c r="K20"/>
  <c r="O10"/>
  <c r="N10"/>
  <c r="L20"/>
  <c r="H89" i="14"/>
  <c r="H19" i="59" s="1"/>
  <c r="O19" i="18"/>
  <c r="K10" i="59"/>
  <c r="H20"/>
  <c r="C98" i="18"/>
  <c r="I101" s="1"/>
  <c r="H8" s="1"/>
  <c r="D13" i="15"/>
  <c r="O90" i="14"/>
  <c r="B10" i="18"/>
  <c r="C13" i="15"/>
  <c r="L13"/>
  <c r="N13"/>
  <c r="Q77" i="14"/>
  <c r="P9" i="59" s="1"/>
  <c r="O9" i="18"/>
  <c r="O18"/>
  <c r="B89" i="14"/>
  <c r="B19" i="59" s="1"/>
  <c r="G88" i="14"/>
  <c r="F89"/>
  <c r="E101" i="18"/>
  <c r="E8" s="1"/>
  <c r="H101"/>
  <c r="D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G101" i="18"/>
  <c r="I8" s="1"/>
  <c r="O8" s="1"/>
  <c r="O10" s="1"/>
  <c r="C101"/>
  <c r="J8" s="1"/>
  <c r="H90" i="14"/>
  <c r="F101" i="18"/>
  <c r="B101"/>
  <c r="C8" s="1"/>
  <c r="Q88" i="14"/>
  <c r="P18" i="59"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G32" i="48"/>
  <c r="G26"/>
  <c r="G25"/>
  <c r="G29"/>
  <c r="G30"/>
  <c r="G24"/>
  <c r="G22"/>
  <c r="G23"/>
  <c r="C11" i="14"/>
  <c r="B4" i="48"/>
  <c r="F27"/>
  <c r="F32"/>
  <c r="F31"/>
  <c r="F29"/>
  <c r="F30"/>
  <c r="F28"/>
  <c r="F24"/>
  <c r="N27"/>
  <c r="N32"/>
  <c r="N31"/>
  <c r="N29"/>
  <c r="N28"/>
  <c r="N30"/>
  <c r="N24"/>
  <c r="B10"/>
  <c r="C19" i="14"/>
  <c r="E32" i="48"/>
  <c r="E31"/>
  <c r="E29"/>
  <c r="E30"/>
  <c r="E28"/>
  <c r="E24"/>
  <c r="M32"/>
  <c r="M25"/>
  <c r="M26"/>
  <c r="M29"/>
  <c r="M22"/>
  <c r="M24"/>
  <c r="M30"/>
  <c r="M23"/>
  <c r="K5"/>
  <c r="L10" i="14"/>
  <c r="L16" s="1"/>
  <c r="L27" s="1"/>
  <c r="D30" i="48"/>
  <c r="D29"/>
  <c r="D28"/>
  <c r="D31"/>
  <c r="D24"/>
  <c r="D32"/>
  <c r="L32"/>
  <c r="L29"/>
  <c r="L28"/>
  <c r="L24"/>
  <c r="L22"/>
  <c r="L30"/>
  <c r="L31"/>
  <c r="L27"/>
  <c r="P5"/>
  <c r="P23" s="1"/>
  <c r="Q10" i="14"/>
  <c r="K32" i="48"/>
  <c r="K25"/>
  <c r="K26"/>
  <c r="K28"/>
  <c r="K27"/>
  <c r="K30"/>
  <c r="K29"/>
  <c r="K31"/>
  <c r="K24"/>
  <c r="K22"/>
  <c r="B7"/>
  <c r="C24" i="14"/>
  <c r="C26" s="1"/>
  <c r="J28" i="48"/>
  <c r="J27"/>
  <c r="J32"/>
  <c r="J29"/>
  <c r="J30"/>
  <c r="J24"/>
  <c r="J31"/>
  <c r="P4"/>
  <c r="Q11" i="14"/>
  <c r="O4" i="48"/>
  <c r="P11" i="14"/>
  <c r="I28" i="48"/>
  <c r="I27"/>
  <c r="I32"/>
  <c r="I29"/>
  <c r="I25"/>
  <c r="I31"/>
  <c r="I24"/>
  <c r="I26"/>
  <c r="I22"/>
  <c r="I30"/>
  <c r="D4"/>
  <c r="D22" s="1"/>
  <c r="E11" i="14"/>
  <c r="H28" i="48"/>
  <c r="H32"/>
  <c r="H25"/>
  <c r="H29"/>
  <c r="H24"/>
  <c r="H22"/>
  <c r="H30"/>
  <c r="H26"/>
  <c r="H23"/>
  <c r="J15" i="16"/>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Q16" s="1"/>
  <c r="Q27" s="1"/>
  <c r="Q63" s="1"/>
  <c r="E9" i="48"/>
  <c r="E27" s="1"/>
  <c r="F20" i="14"/>
  <c r="F22" s="1"/>
  <c r="E20"/>
  <c r="E22" s="1"/>
  <c r="D9" i="48"/>
  <c r="D27" s="1"/>
  <c r="O5"/>
  <c r="O23" s="1"/>
  <c r="P10" i="14"/>
  <c r="K24"/>
  <c r="K26" s="1"/>
  <c r="J7" i="48"/>
  <c r="J25" s="1"/>
  <c r="C20" i="14"/>
  <c r="B9" i="48"/>
  <c r="P15"/>
  <c r="P22"/>
  <c r="P33" s="1"/>
  <c r="F4"/>
  <c r="F22" s="1"/>
  <c r="G11" i="14"/>
  <c r="I5" i="48"/>
  <c r="J10" i="14"/>
  <c r="J16" s="1"/>
  <c r="J27" s="1"/>
  <c r="M12" i="22"/>
  <c r="M13" i="48"/>
  <c r="M31" s="1"/>
  <c r="N18" i="14"/>
  <c r="O22" i="48"/>
  <c r="G13"/>
  <c r="H18" i="14"/>
  <c r="H13" i="48"/>
  <c r="H31" s="1"/>
  <c r="I18" i="14"/>
  <c r="K23" i="48"/>
  <c r="K15"/>
  <c r="K33"/>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R11" s="1"/>
  <c r="K11"/>
  <c r="J4" i="48"/>
  <c r="E7"/>
  <c r="E25" s="1"/>
  <c r="F24" i="14"/>
  <c r="F26" s="1"/>
  <c r="M9" i="48"/>
  <c r="N20" i="14"/>
  <c r="O22" i="16"/>
  <c r="P43" i="14" s="1"/>
  <c r="P46" s="1"/>
  <c r="P61" s="1"/>
  <c r="P63" s="1"/>
  <c r="O8" i="48"/>
  <c r="P13" i="14"/>
  <c r="I20"/>
  <c r="H9" i="48"/>
  <c r="M10"/>
  <c r="M28" s="1"/>
  <c r="N19" i="14"/>
  <c r="G10" i="48"/>
  <c r="H19" i="14"/>
  <c r="R19" s="1"/>
  <c r="G31" i="48"/>
  <c r="Q13"/>
  <c r="R18" i="14"/>
  <c r="I23" i="48"/>
  <c r="I33" s="1"/>
  <c r="I15"/>
  <c r="J63" i="14"/>
  <c r="I22"/>
  <c r="I27" s="1"/>
  <c r="G14" i="22"/>
  <c r="N22" i="14"/>
  <c r="N27" s="1"/>
  <c r="P16"/>
  <c r="P27" s="1"/>
  <c r="C22"/>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E22" i="48" l="1"/>
  <c r="Q4"/>
  <c r="O26"/>
  <c r="O33" s="1"/>
  <c r="O15"/>
  <c r="H20" i="14"/>
  <c r="R20" s="1"/>
  <c r="R22" s="1"/>
  <c r="G9" i="48"/>
  <c r="J22"/>
  <c r="E5"/>
  <c r="E23" s="1"/>
  <c r="F10" i="14"/>
  <c r="H27" i="48"/>
  <c r="H33" s="1"/>
  <c r="H15"/>
  <c r="J5"/>
  <c r="J23" s="1"/>
  <c r="K10" i="14"/>
  <c r="M27" i="48"/>
  <c r="M33" s="1"/>
  <c r="M15"/>
  <c r="G28"/>
  <c r="Q10"/>
  <c r="I63" i="14"/>
  <c r="H22"/>
  <c r="H27" s="1"/>
  <c r="Q7" i="48"/>
  <c r="E20" i="15"/>
  <c r="F40" i="14" s="1"/>
  <c r="J18" i="16"/>
  <c r="E18"/>
  <c r="F18"/>
  <c r="F22" s="1"/>
  <c r="G43" i="14" s="1"/>
  <c r="N18" i="16"/>
  <c r="G18" i="22"/>
  <c r="H50" i="14" s="1"/>
  <c r="H52" s="1"/>
  <c r="H61" s="1"/>
  <c r="H63" s="1"/>
  <c r="H18" i="22"/>
  <c r="I50" i="14" s="1"/>
  <c r="I52" s="1"/>
  <c r="I61" s="1"/>
  <c r="E8" i="48" l="1"/>
  <c r="E26" s="1"/>
  <c r="F13" i="14"/>
  <c r="G27" i="48"/>
  <c r="G33" s="1"/>
  <c r="G15"/>
  <c r="Q9"/>
  <c r="J22" i="16"/>
  <c r="K43" i="14" s="1"/>
  <c r="K46" s="1"/>
  <c r="K61" s="1"/>
  <c r="J8" i="48"/>
  <c r="J26" s="1"/>
  <c r="K13" i="14"/>
  <c r="K16" s="1"/>
  <c r="K27" s="1"/>
  <c r="F16"/>
  <c r="F27" s="1"/>
  <c r="E22" i="16"/>
  <c r="F43" i="14" s="1"/>
  <c r="J15" i="48"/>
  <c r="F46" i="14"/>
  <c r="F61" s="1"/>
  <c r="F63" s="1"/>
  <c r="J33" i="48"/>
  <c r="E33"/>
  <c r="E15"/>
  <c r="N8"/>
  <c r="N26" s="1"/>
  <c r="O13" i="14"/>
  <c r="N22" i="16"/>
  <c r="O43" i="14" s="1"/>
  <c r="G13"/>
  <c r="R13" s="1"/>
  <c r="F8" i="48"/>
  <c r="K63" i="14" l="1"/>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<sst xmlns="http://schemas.openxmlformats.org/spreadsheetml/2006/main" count="2392" uniqueCount="890">
  <si>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</si>
  <si>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</si>
  <si>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</si>
  <si>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</si>
  <si>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</si>
  <si>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</si>
  <si>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</si>
  <si>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</si>
  <si>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</si>
  <si>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</si>
  <si>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</si>
  <si>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</si>
  <si>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</si>
  <si>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</si>
  <si>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</si>
  <si>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</si>
  <si>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</si>
  <si>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</si>
  <si>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</si>
  <si>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</si>
  <si>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</si>
  <si>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</si>
  <si>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</si>
  <si>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</si>
  <si>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</si>
  <si>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</si>
  <si>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</si>
  <si>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</si>
  <si>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</si>
  <si>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</si>
  <si>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</si>
  <si>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</si>
  <si>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</si>
  <si>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</si>
  <si>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</si>
  <si>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</si>
  <si>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</si>
  <si>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</si>
  <si>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</si>
  <si>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</si>
  <si>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</si>
  <si>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</si>
  <si>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</si>
  <si>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</si>
  <si>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</si>
  <si>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</si>
  <si>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</si>
  <si>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</si>
  <si>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</si>
  <si>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</si>
  <si>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</si>
  <si>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</si>
  <si>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</si>
  <si>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</si>
  <si>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</si>
  <si>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</si>
  <si>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</si>
  <si>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</si>
  <si>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</si>
  <si>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</si>
  <si>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</si>
  <si>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</si>
  <si>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</si>
  <si>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</si>
  <si>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</si>
  <si>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</si>
  <si>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</si>
  <si>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</si>
  <si>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</si>
  <si>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</si>
  <si>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</si>
  <si>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</si>
  <si>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</si>
  <si>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</si>
  <si>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</si>
  <si>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</si>
  <si>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</si>
  <si>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</si>
  <si>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</si>
  <si>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</si>
  <si>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</si>
  <si>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</si>
  <si>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</si>
  <si>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</si>
  <si>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</si>
  <si>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</si>
  <si>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</si>
  <si>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</si>
  <si>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</si>
  <si>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</si>
  <si>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</si>
  <si>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</si>
  <si>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</si>
  <si>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</si>
  <si>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</si>
  <si>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</si>
  <si>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</si>
  <si>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</si>
  <si>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</si>
  <si>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</si>
  <si>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</si>
  <si>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</si>
  <si>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</si>
  <si>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</si>
  <si>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</si>
  <si>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</si>
  <si>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</si>
  <si>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</si>
  <si>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</si>
  <si>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</si>
  <si>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</si>
  <si>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</si>
  <si>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</si>
  <si>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</si>
  <si>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</si>
  <si>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</si>
  <si>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</si>
  <si>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</si>
  <si>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</si>
  <si>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</si>
  <si>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</si>
  <si>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</si>
  <si>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</si>
  <si>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</si>
  <si>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</si>
  <si>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</si>
  <si>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</si>
  <si>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</si>
  <si>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</si>
  <si>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</si>
  <si>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</si>
  <si>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</si>
  <si>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</si>
  <si>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</si>
  <si>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</si>
  <si>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</si>
  <si>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</si>
  <si>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</si>
  <si>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</si>
  <si>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</si>
  <si>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</si>
  <si>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</si>
  <si>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</si>
  <si>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</si>
  <si>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</si>
  <si>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</si>
  <si>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</si>
  <si>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</si>
  <si>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</si>
  <si>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</si>
  <si>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</si>
  <si>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</si>
  <si>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</si>
  <si>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</si>
  <si>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</si>
  <si>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</si>
  <si>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</si>
  <si>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</si>
  <si>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</si>
  <si>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</si>
  <si>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</si>
  <si>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</si>
  <si>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</si>
  <si>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</si>
  <si>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</si>
  <si>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</si>
  <si>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</si>
  <si>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</si>
  <si>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</si>
  <si>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</si>
  <si>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</si>
  <si>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</si>
  <si>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</si>
  <si>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</si>
  <si>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</si>
  <si>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</si>
  <si>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</si>
  <si>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</si>
  <si>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</si>
  <si>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</si>
  <si>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</si>
  <si>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</si>
  <si>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</si>
  <si>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</si>
  <si>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</si>
  <si>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</si>
  <si>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</si>
  <si>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</si>
  <si>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</si>
  <si>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</si>
  <si>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</si>
  <si>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</si>
  <si>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</si>
  <si>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</si>
  <si>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</si>
  <si>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</si>
  <si>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</si>
  <si>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</si>
  <si>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</si>
  <si>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</si>
  <si>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</si>
  <si>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</si>
  <si>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</si>
  <si>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</si>
  <si>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</si>
  <si>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</si>
  <si>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</si>
  <si>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</si>
  <si>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</si>
  <si>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</si>
  <si>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</si>
  <si>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</si>
  <si>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</si>
  <si>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</si>
  <si>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</si>
  <si>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</si>
  <si>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</si>
  <si>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</si>
  <si>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</si>
  <si>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</si>
  <si>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</si>
  <si>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</si>
  <si>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</si>
  <si>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</si>
  <si>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</si>
  <si>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</si>
  <si>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</si>
  <si>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</si>
  <si>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</si>
  <si>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</si>
  <si>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</si>
  <si>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</si>
  <si>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</si>
  <si>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</si>
  <si>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</si>
  <si>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</si>
  <si>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</si>
  <si>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</si>
  <si>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</si>
  <si>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</si>
  <si>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</si>
  <si>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</si>
  <si>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</si>
  <si>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</si>
  <si>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</si>
  <si>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</si>
  <si>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</si>
  <si>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</si>
  <si>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</si>
  <si>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</si>
  <si>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</si>
  <si>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</si>
  <si>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</si>
  <si>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</si>
  <si>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</si>
  <si>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</si>
  <si>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</si>
  <si>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</si>
  <si>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</si>
  <si>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</si>
  <si>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</si>
  <si>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</si>
  <si>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</si>
  <si>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</si>
  <si>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</si>
  <si>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</si>
  <si>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</si>
  <si>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</si>
  <si>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</si>
  <si>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</si>
  <si>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</si>
  <si>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</si>
  <si>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</si>
  <si>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</si>
  <si>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</si>
  <si>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</si>
  <si>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</si>
  <si>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</si>
  <si>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</si>
  <si>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</si>
  <si>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</si>
  <si>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</si>
  <si>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</si>
  <si>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</si>
  <si>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</si>
  <si>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</si>
  <si>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</si>
  <si>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</si>
  <si>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</si>
  <si>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</si>
  <si>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</si>
  <si>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</si>
  <si>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</si>
  <si>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</si>
  <si>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</si>
  <si>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</si>
  <si>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</si>
  <si>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</si>
  <si>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</si>
  <si>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</si>
  <si>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</si>
  <si>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</si>
  <si>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</si>
  <si>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</si>
  <si>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</si>
  <si>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</si>
  <si>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</si>
  <si>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</si>
  <si>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</si>
  <si>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</si>
  <si>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</si>
  <si>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</si>
  <si>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</si>
  <si>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</si>
  <si>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</si>
  <si>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</si>
  <si>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</si>
  <si>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</si>
  <si>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</si>
  <si>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</si>
  <si>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</si>
  <si>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</si>
  <si>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</si>
  <si>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</si>
  <si>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</si>
  <si>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</si>
  <si>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</si>
  <si>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</si>
  <si>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</si>
  <si>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</si>
  <si>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</si>
  <si>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</si>
  <si>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</si>
  <si>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</si>
  <si>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</si>
  <si>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</si>
  <si>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</si>
  <si>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</si>
  <si>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</si>
  <si>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</si>
  <si>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</si>
  <si>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</si>
  <si>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</si>
  <si>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</si>
  <si>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</si>
  <si>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</si>
  <si>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</si>
  <si>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</si>
  <si>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</si>
  <si>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</si>
  <si>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</si>
  <si>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</si>
  <si>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</si>
  <si>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</si>
  <si>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</si>
  <si>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</si>
  <si>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</si>
  <si>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</si>
  <si>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</si>
  <si>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</si>
  <si>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</si>
  <si>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</si>
  <si>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</si>
  <si>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</si>
  <si>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</si>
  <si>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</si>
  <si>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</si>
  <si>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</si>
  <si>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</si>
  <si>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</si>
  <si>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</si>
  <si>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</si>
  <si>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</si>
  <si>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</si>
  <si>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</si>
  <si>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</si>
  <si>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</si>
  <si>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</si>
  <si>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</si>
  <si>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</si>
  <si>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</si>
  <si>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</si>
  <si>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</si>
  <si>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</si>
  <si>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</si>
  <si>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</si>
  <si>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</si>
  <si>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</si>
  <si>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</si>
  <si>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</si>
  <si>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</si>
  <si>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</si>
  <si>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</si>
  <si>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</si>
  <si>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</si>
  <si>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</si>
  <si>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</si>
  <si>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</si>
  <si>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</si>
  <si>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</si>
  <si>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</si>
  <si>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</si>
  <si>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</si>
  <si>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</si>
  <si>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</si>
  <si>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</si>
  <si>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</si>
  <si>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</si>
  <si>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</si>
  <si>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</si>
  <si>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</si>
  <si>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</si>
  <si>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</si>
  <si>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</si>
  <si>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</si>
  <si>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</si>
  <si>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</si>
  <si>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</si>
  <si>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</si>
  <si>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</si>
  <si>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</si>
  <si>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</si>
  <si>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</si>
  <si>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</si>
  <si>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</si>
  <si>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</si>
  <si>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</si>
  <si>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</si>
  <si>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</si>
  <si>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</si>
  <si>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</si>
  <si>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</si>
  <si>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</si>
  <si>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</si>
  <si>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</si>
  <si>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</si>
  <si>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</si>
  <si>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</si>
  <si>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</si>
  <si>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</si>
  <si>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</si>
  <si>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</si>
  <si>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</si>
  <si>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</si>
  <si>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</si>
  <si>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</si>
  <si>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</si>
  <si>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</si>
  <si>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</si>
  <si>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</si>
  <si>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</si>
  <si>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</si>
  <si>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</si>
  <si>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</si>
  <si>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</si>
  <si>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</si>
  <si>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</si>
  <si>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</si>
  <si>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</si>
  <si>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</si>
  <si>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</si>
  <si>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</si>
  <si>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</si>
  <si>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</si>
  <si>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</si>
  <si>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</si>
  <si>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</si>
  <si>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</si>
  <si>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</si>
  <si>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</si>
  <si>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</si>
  <si>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</si>
  <si>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</si>
  <si>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</si>
  <si>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</si>
  <si>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</si>
  <si>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</si>
  <si>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</si>
  <si>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</si>
  <si>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</si>
  <si>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</si>
  <si>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</si>
  <si>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</si>
  <si>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</si>
  <si>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</si>
  <si>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</si>
  <si>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</si>
  <si>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</si>
  <si>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</si>
  <si>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</si>
  <si>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</si>
  <si>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</si>
  <si>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</si>
  <si>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</si>
  <si>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</si>
  <si>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</si>
  <si>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</si>
  <si>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</si>
  <si>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</si>
  <si>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</si>
  <si>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</si>
  <si>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</si>
  <si>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</si>
  <si>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</si>
  <si>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</si>
  <si>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</si>
  <si>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</si>
  <si>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</si>
  <si>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</si>
  <si>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</si>
  <si>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</si>
  <si>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</si>
  <si>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</si>
  <si>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</si>
  <si>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</si>
  <si>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</si>
  <si>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</si>
  <si>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</si>
  <si>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</si>
  <si>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</si>
  <si>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</si>
  <si>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</si>
  <si>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</si>
  <si>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</si>
  <si>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</si>
  <si>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</si>
  <si>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</si>
  <si>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</si>
  <si>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</si>
  <si>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</si>
  <si>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</si>
  <si>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</si>
  <si>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</si>
  <si>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</si>
  <si>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</si>
  <si>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</si>
  <si>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</si>
  <si>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</si>
  <si>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</si>
  <si>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</si>
  <si>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</si>
  <si>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</si>
  <si>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</si>
  <si>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</si>
  <si>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</si>
  <si>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</si>
  <si>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</si>
  <si>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</si>
  <si>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</si>
  <si>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</si>
  <si>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</si>
  <si>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</si>
  <si>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</si>
  <si>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</si>
  <si>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</si>
  <si>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</si>
  <si>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</si>
  <si>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</si>
  <si>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</si>
  <si>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</si>
  <si>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</si>
  <si>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</si>
  <si>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</si>
  <si>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</si>
  <si>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</si>
  <si>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</si>
  <si>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</si>
  <si>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</si>
  <si>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</si>
  <si>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</si>
  <si>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</si>
  <si>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</si>
  <si>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</si>
  <si>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</si>
  <si>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</si>
  <si>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</si>
  <si>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</si>
  <si>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</si>
  <si>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</si>
  <si>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</si>
  <si>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</si>
  <si>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</si>
  <si>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</si>
  <si>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</si>
  <si>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</si>
  <si>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</si>
  <si>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</si>
  <si>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</si>
  <si>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</si>
  <si>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</si>
  <si>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</si>
  <si>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</si>
  <si>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</si>
  <si>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</si>
  <si>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</si>
  <si>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</si>
  <si>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</si>
  <si>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</si>
  <si>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</si>
  <si>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</si>
  <si>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</si>
  <si>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</si>
  <si>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</si>
  <si>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</si>
  <si>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</si>
  <si>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</si>
  <si>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</si>
  <si>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</si>
  <si>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</si>
  <si>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</si>
  <si>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</si>
  <si>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</si>
  <si>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</si>
  <si>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</si>
  <si>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</si>
  <si>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</si>
  <si>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</si>
  <si>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</si>
  <si>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</si>
  <si>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</si>
  <si>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</si>
  <si>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</si>
  <si>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</si>
  <si>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</si>
  <si>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</si>
  <si>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</si>
  <si>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</si>
  <si>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</si>
  <si>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</si>
  <si>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</si>
  <si>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</si>
  <si>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</si>
  <si>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</si>
  <si>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</si>
  <si>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</si>
  <si>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</si>
  <si>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</si>
  <si>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</si>
  <si>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</si>
  <si>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</si>
  <si>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</si>
  <si>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</si>
  <si>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</si>
  <si>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</si>
  <si>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</si>
  <si>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</si>
  <si>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</si>
  <si>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</si>
  <si>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</si>
  <si>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</si>
  <si>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</si>
  <si>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</si>
  <si>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</si>
  <si>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</si>
  <si>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</si>
  <si>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</si>
  <si>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</si>
  <si>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</si>
  <si>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</si>
  <si>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</si>
  <si>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</si>
  <si>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</si>
  <si>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</si>
  <si>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</si>
  <si>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</si>
  <si>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</si>
  <si>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</si>
  <si>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</si>
  <si>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</si>
  <si>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</si>
  <si>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</si>
  <si>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</si>
  <si>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</si>
  <si>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</si>
  <si>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</si>
  <si>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</si>
  <si>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</si>
  <si>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</si>
  <si>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</si>
  <si>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</si>
  <si>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</si>
  <si>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</si>
  <si>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</si>
  <si>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</si>
  <si>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</si>
  <si>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</si>
  <si>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</si>
  <si>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</si>
  <si>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</si>
  <si>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</si>
  <si>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</si>
  <si>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</si>
  <si>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</si>
  <si>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</si>
  <si>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</si>
  <si>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</si>
  <si>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</si>
  <si>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</si>
  <si>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</si>
  <si>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</si>
  <si>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</si>
  <si>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</si>
  <si>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</si>
  <si>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</si>
  <si>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</si>
  <si>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</si>
  <si>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</si>
  <si>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</si>
  <si>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</si>
  <si>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</si>
  <si>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</si>
  <si>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</si>
  <si>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</si>
  <si>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</si>
  <si>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</si>
  <si>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</si>
  <si>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</si>
  <si>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</si>
  <si>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</si>
  <si>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</si>
  <si>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</si>
  <si>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</si>
  <si>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</si>
  <si>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</si>
  <si>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</si>
  <si>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</si>
  <si>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</si>
  <si>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</si>
  <si>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</si>
  <si>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</si>
  <si>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</si>
  <si>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</si>
  <si>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</si>
  <si>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</si>
  <si>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</si>
  <si>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</si>
  <si>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</si>
  <si>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</si>
  <si>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</si>
  <si>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</si>
  <si>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</si>
  <si>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</si>
  <si>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</si>
  <si>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</si>
  <si>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</si>
  <si>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</si>
  <si>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</si>
  <si>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</si>
  <si>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</si>
  <si>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</si>
  <si>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</si>
  <si>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</si>
  <si>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</si>
  <si>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</si>
  <si>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</si>
  <si>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</si>
  <si>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</si>
  <si>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</si>
  <si>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</si>
  <si>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</si>
  <si>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</si>
  <si>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</si>
  <si>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</si>
  <si>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</si>
  <si>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</si>
  <si>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</si>
  <si>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</si>
  <si>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</si>
  <si>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</si>
  <si>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</si>
  <si>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</si>
  <si>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</si>
  <si>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</si>
  <si>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</si>
  <si>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</si>
  <si>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</si>
  <si>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</si>
  <si>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</si>
  <si>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</si>
  <si>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</si>
  <si>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</si>
  <si>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</si>
  <si>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</si>
  <si>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</si>
  <si>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</si>
  <si>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</si>
  <si>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</si>
  <si>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</si>
  <si>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</si>
  <si>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</si>
  <si>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</si>
  <si>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</si>
  <si>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</si>
  <si>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</si>
  <si>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</si>
  <si>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</si>
  <si>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</si>
  <si>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</si>
  <si>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</si>
  <si>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</si>
  <si>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</si>
  <si>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</si>
  <si>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</si>
  <si>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</si>
  <si>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</si>
  <si>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</si>
  <si>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</si>
  <si>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</si>
  <si>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</si>
  <si>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</si>
  <si>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</si>
  <si>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</si>
  <si>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</si>
  <si>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</si>
  <si>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</si>
  <si>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</si>
  <si>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</si>
  <si>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</si>
  <si>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</si>
  <si>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</si>
  <si>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</si>
  <si>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</si>
  <si>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</si>
  <si>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</si>
  <si>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</si>
  <si>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</si>
  <si>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</si>
  <si>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</si>
  <si>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</si>
  <si>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</si>
  <si>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</si>
  <si>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</si>
  <si>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</si>
  <si>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</si>
  <si>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</si>
  <si>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</si>
  <si>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</si>
  <si>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</si>
  <si>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</si>
  <si>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</si>
  <si>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</si>
  <si>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</si>
  <si>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</si>
  <si>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</si>
  <si>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</si>
  <si>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</si>
  <si>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</si>
  <si>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</si>
  <si>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</si>
  <si>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</si>
  <si>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</si>
  <si>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</si>
  <si>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</si>
  <si>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</si>
  <si>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</si>
  <si>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</si>
  <si>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</si>
  <si>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</si>
  <si>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</si>
  <si>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</si>
  <si>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</si>
  <si>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</si>
  <si>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</si>
  <si>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</si>
  <si>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</si>
  <si>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</si>
  <si>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</si>
  <si>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</si>
  <si>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</si>
  <si>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</si>
  <si>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</si>
  <si>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</si>
  <si>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</si>
  <si>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</si>
  <si>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</si>
  <si>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</si>
  <si>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</si>
  <si>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</si>
  <si>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</si>
  <si>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</si>
  <si>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</si>
  <si>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</si>
  <si>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23002</t>
  </si>
  <si>
    <t>ASSE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</si>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</sst>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239446.01216388462</c:v>
                </c:pt>
                <c:pt idx="1">
                  <c:v>197639.43141345054</c:v>
                </c:pt>
                <c:pt idx="2">
                  <c:v>2019.4090000000001</c:v>
                </c:pt>
                <c:pt idx="3">
                  <c:v>6118.1085182335346</c:v>
                </c:pt>
                <c:pt idx="4">
                  <c:v>43414.77388751931</c:v>
                </c:pt>
                <c:pt idx="5">
                  <c:v>329798.36121495481</c:v>
                </c:pt>
                <c:pt idx="6">
                  <c:v>4941.8851697179962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239446.01216388462</c:v>
                </c:pt>
                <c:pt idx="1">
                  <c:v>197639.43141345054</c:v>
                </c:pt>
                <c:pt idx="2">
                  <c:v>2019.4090000000001</c:v>
                </c:pt>
                <c:pt idx="3">
                  <c:v>6118.1085182335346</c:v>
                </c:pt>
                <c:pt idx="4">
                  <c:v>43414.77388751931</c:v>
                </c:pt>
                <c:pt idx="5">
                  <c:v>329798.36121495481</c:v>
                </c:pt>
                <c:pt idx="6">
                  <c:v>4941.8851697179962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48366.514839453783</c:v>
                </c:pt>
                <c:pt idx="2">
                  <c:v>39176.559125077991</c:v>
                </c:pt>
                <c:pt idx="3">
                  <c:v>377.89151634424286</c:v>
                </c:pt>
                <c:pt idx="4">
                  <c:v>1481.8987274851152</c:v>
                </c:pt>
                <c:pt idx="5">
                  <c:v>6964.3116330569665</c:v>
                </c:pt>
                <c:pt idx="6">
                  <c:v>84412.716662186111</c:v>
                </c:pt>
                <c:pt idx="7">
                  <c:v>1279.7872043526945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62624"/>
        <c:axId val="184034048"/>
      </c:barChart>
      <c:catAx>
        <c:axId val="183962624"/>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96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48366.514839453783</c:v>
                </c:pt>
                <c:pt idx="2">
                  <c:v>39176.559125077991</c:v>
                </c:pt>
                <c:pt idx="3">
                  <c:v>377.89151634424286</c:v>
                </c:pt>
                <c:pt idx="4">
                  <c:v>1481.8987274851152</c:v>
                </c:pt>
                <c:pt idx="5">
                  <c:v>6964.3116330569665</c:v>
                </c:pt>
                <c:pt idx="6">
                  <c:v>84412.716662186111</c:v>
                </c:pt>
                <c:pt idx="7">
                  <c:v>1279.7872043526945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23002</v>
      </c>
      <c r="B6" s="415"/>
      <c r="C6" s="416"/>
    </row>
    <row r="7" spans="1:7" s="413" customFormat="1" ht="15.75" customHeight="1">
      <c r="A7" s="417" t="str">
        <f>txtMunicipality</f>
        <v>ASSE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0.18712975744103488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0.18712975744103488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12956</v>
      </c>
      <c r="C9" s="342">
        <v>13543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2412.6799999999998</v>
      </c>
    </row>
    <row r="15" spans="1:6">
      <c r="A15" s="348" t="s">
        <v>184</v>
      </c>
      <c r="B15" s="334">
        <v>914</v>
      </c>
    </row>
    <row r="16" spans="1:6">
      <c r="A16" s="348" t="s">
        <v>6</v>
      </c>
      <c r="B16" s="334">
        <v>274</v>
      </c>
    </row>
    <row r="17" spans="1:6">
      <c r="A17" s="348" t="s">
        <v>7</v>
      </c>
      <c r="B17" s="334">
        <v>446</v>
      </c>
    </row>
    <row r="18" spans="1:6">
      <c r="A18" s="348" t="s">
        <v>8</v>
      </c>
      <c r="B18" s="334">
        <v>547</v>
      </c>
    </row>
    <row r="19" spans="1:6">
      <c r="A19" s="348" t="s">
        <v>9</v>
      </c>
      <c r="B19" s="334">
        <v>542</v>
      </c>
    </row>
    <row r="20" spans="1:6">
      <c r="A20" s="348" t="s">
        <v>10</v>
      </c>
      <c r="B20" s="334">
        <v>462</v>
      </c>
    </row>
    <row r="21" spans="1:6">
      <c r="A21" s="348" t="s">
        <v>11</v>
      </c>
      <c r="B21" s="334">
        <v>445</v>
      </c>
    </row>
    <row r="22" spans="1:6">
      <c r="A22" s="348" t="s">
        <v>12</v>
      </c>
      <c r="B22" s="334">
        <v>4275</v>
      </c>
    </row>
    <row r="23" spans="1:6">
      <c r="A23" s="348" t="s">
        <v>13</v>
      </c>
      <c r="B23" s="334">
        <v>22</v>
      </c>
    </row>
    <row r="24" spans="1:6">
      <c r="A24" s="348" t="s">
        <v>14</v>
      </c>
      <c r="B24" s="334">
        <v>1</v>
      </c>
    </row>
    <row r="25" spans="1:6">
      <c r="A25" s="348" t="s">
        <v>15</v>
      </c>
      <c r="B25" s="334">
        <v>200</v>
      </c>
    </row>
    <row r="26" spans="1:6">
      <c r="A26" s="348" t="s">
        <v>16</v>
      </c>
      <c r="B26" s="334">
        <v>245</v>
      </c>
    </row>
    <row r="27" spans="1:6">
      <c r="A27" s="348" t="s">
        <v>17</v>
      </c>
      <c r="B27" s="334">
        <v>0</v>
      </c>
    </row>
    <row r="28" spans="1:6" s="356" customFormat="1">
      <c r="A28" s="355" t="s">
        <v>18</v>
      </c>
      <c r="B28" s="355">
        <v>64501</v>
      </c>
    </row>
    <row r="29" spans="1:6">
      <c r="A29" s="355" t="s">
        <v>884</v>
      </c>
      <c r="B29" s="355">
        <v>371</v>
      </c>
      <c r="C29" s="356"/>
      <c r="D29" s="356"/>
      <c r="E29" s="356"/>
      <c r="F29" s="356"/>
    </row>
    <row r="30" spans="1:6">
      <c r="A30" s="355" t="s">
        <v>885</v>
      </c>
      <c r="B30" s="341">
        <v>74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9521.3416216999995</v>
      </c>
    </row>
    <row r="39" spans="1:6">
      <c r="A39" s="348" t="s">
        <v>30</v>
      </c>
      <c r="B39" s="348" t="s">
        <v>31</v>
      </c>
      <c r="C39" s="334">
        <v>7814</v>
      </c>
      <c r="D39" s="334">
        <v>123304406.93000001</v>
      </c>
      <c r="E39" s="334">
        <v>13000</v>
      </c>
      <c r="F39" s="334">
        <v>47782608.837346099</v>
      </c>
    </row>
    <row r="40" spans="1:6">
      <c r="A40" s="348" t="s">
        <v>30</v>
      </c>
      <c r="B40" s="348" t="s">
        <v>29</v>
      </c>
      <c r="C40" s="334">
        <v>0</v>
      </c>
      <c r="D40" s="334">
        <v>0</v>
      </c>
      <c r="E40" s="334">
        <v>0</v>
      </c>
      <c r="F40" s="334">
        <v>0</v>
      </c>
    </row>
    <row r="41" spans="1:6">
      <c r="A41" s="348" t="s">
        <v>32</v>
      </c>
      <c r="B41" s="348" t="s">
        <v>33</v>
      </c>
      <c r="C41" s="334">
        <v>87</v>
      </c>
      <c r="D41" s="334">
        <v>2400133.571</v>
      </c>
      <c r="E41" s="334">
        <v>218</v>
      </c>
      <c r="F41" s="334">
        <v>1764175.1403000001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128577.93697</v>
      </c>
    </row>
    <row r="45" spans="1:6">
      <c r="A45" s="348" t="s">
        <v>32</v>
      </c>
      <c r="B45" s="348" t="s">
        <v>37</v>
      </c>
      <c r="C45" s="334">
        <v>5</v>
      </c>
      <c r="D45" s="334">
        <v>100989.70656000001</v>
      </c>
      <c r="E45" s="334">
        <v>4</v>
      </c>
      <c r="F45" s="334">
        <v>23044.679947000001</v>
      </c>
    </row>
    <row r="46" spans="1:6">
      <c r="A46" s="348" t="s">
        <v>32</v>
      </c>
      <c r="B46" s="348" t="s">
        <v>38</v>
      </c>
      <c r="C46" s="334">
        <v>0</v>
      </c>
      <c r="D46" s="334">
        <v>0</v>
      </c>
      <c r="E46" s="334">
        <v>0</v>
      </c>
      <c r="F46" s="334">
        <v>0</v>
      </c>
    </row>
    <row r="47" spans="1:6">
      <c r="A47" s="348" t="s">
        <v>32</v>
      </c>
      <c r="B47" s="348" t="s">
        <v>39</v>
      </c>
      <c r="C47" s="334">
        <v>5</v>
      </c>
      <c r="D47" s="334">
        <v>4787529.1328999996</v>
      </c>
      <c r="E47" s="334">
        <v>6</v>
      </c>
      <c r="F47" s="334">
        <v>3491634.6571</v>
      </c>
    </row>
    <row r="48" spans="1:6">
      <c r="A48" s="348" t="s">
        <v>32</v>
      </c>
      <c r="B48" s="348" t="s">
        <v>29</v>
      </c>
      <c r="C48" s="334">
        <v>41</v>
      </c>
      <c r="D48" s="334">
        <v>4836807.8327000001</v>
      </c>
      <c r="E48" s="334">
        <v>54</v>
      </c>
      <c r="F48" s="334">
        <v>4751781.2358999997</v>
      </c>
    </row>
    <row r="49" spans="1:6">
      <c r="A49" s="348" t="s">
        <v>32</v>
      </c>
      <c r="B49" s="348" t="s">
        <v>40</v>
      </c>
      <c r="C49" s="334">
        <v>0</v>
      </c>
      <c r="D49" s="334">
        <v>0</v>
      </c>
      <c r="E49" s="334">
        <v>0</v>
      </c>
      <c r="F49" s="334">
        <v>0</v>
      </c>
    </row>
    <row r="50" spans="1:6">
      <c r="A50" s="348" t="s">
        <v>32</v>
      </c>
      <c r="B50" s="348" t="s">
        <v>41</v>
      </c>
      <c r="C50" s="334">
        <v>4</v>
      </c>
      <c r="D50" s="334">
        <v>4731206.6157</v>
      </c>
      <c r="E50" s="334">
        <v>6</v>
      </c>
      <c r="F50" s="334">
        <v>3981976.5232000002</v>
      </c>
    </row>
    <row r="51" spans="1:6">
      <c r="A51" s="348" t="s">
        <v>42</v>
      </c>
      <c r="B51" s="348" t="s">
        <v>43</v>
      </c>
      <c r="C51" s="334">
        <v>7</v>
      </c>
      <c r="D51" s="334">
        <v>1158708.0168999999</v>
      </c>
      <c r="E51" s="334">
        <v>75</v>
      </c>
      <c r="F51" s="334">
        <v>875752.33469000005</v>
      </c>
    </row>
    <row r="52" spans="1:6">
      <c r="A52" s="348" t="s">
        <v>42</v>
      </c>
      <c r="B52" s="348" t="s">
        <v>29</v>
      </c>
      <c r="C52" s="334">
        <v>7</v>
      </c>
      <c r="D52" s="334">
        <v>257584.90419</v>
      </c>
      <c r="E52" s="334">
        <v>10</v>
      </c>
      <c r="F52" s="334">
        <v>127495.89005</v>
      </c>
    </row>
    <row r="53" spans="1:6">
      <c r="A53" s="348" t="s">
        <v>44</v>
      </c>
      <c r="B53" s="348" t="s">
        <v>45</v>
      </c>
      <c r="C53" s="334">
        <v>215</v>
      </c>
      <c r="D53" s="334">
        <v>6877756.7126000002</v>
      </c>
      <c r="E53" s="334">
        <v>534</v>
      </c>
      <c r="F53" s="334">
        <v>3899378.4931999999</v>
      </c>
    </row>
    <row r="54" spans="1:6">
      <c r="A54" s="348" t="s">
        <v>46</v>
      </c>
      <c r="B54" s="348" t="s">
        <v>47</v>
      </c>
      <c r="C54" s="334">
        <v>0</v>
      </c>
      <c r="D54" s="334">
        <v>0</v>
      </c>
      <c r="E54" s="334">
        <v>1</v>
      </c>
      <c r="F54" s="334">
        <v>2019409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76</v>
      </c>
      <c r="D57" s="334">
        <v>5570085.9447999997</v>
      </c>
      <c r="E57" s="334">
        <v>141</v>
      </c>
      <c r="F57" s="334">
        <v>3009659.0666999999</v>
      </c>
    </row>
    <row r="58" spans="1:6">
      <c r="A58" s="348" t="s">
        <v>49</v>
      </c>
      <c r="B58" s="348" t="s">
        <v>51</v>
      </c>
      <c r="C58" s="334">
        <v>41</v>
      </c>
      <c r="D58" s="334">
        <v>1316348.1810999999</v>
      </c>
      <c r="E58" s="334">
        <v>80</v>
      </c>
      <c r="F58" s="334">
        <v>1114703.1740000001</v>
      </c>
    </row>
    <row r="59" spans="1:6">
      <c r="A59" s="348" t="s">
        <v>49</v>
      </c>
      <c r="B59" s="348" t="s">
        <v>52</v>
      </c>
      <c r="C59" s="334">
        <v>171</v>
      </c>
      <c r="D59" s="334">
        <v>22769424.971000001</v>
      </c>
      <c r="E59" s="334">
        <v>402</v>
      </c>
      <c r="F59" s="334">
        <v>46620291.522</v>
      </c>
    </row>
    <row r="60" spans="1:6">
      <c r="A60" s="348" t="s">
        <v>49</v>
      </c>
      <c r="B60" s="348" t="s">
        <v>53</v>
      </c>
      <c r="C60" s="334">
        <v>87</v>
      </c>
      <c r="D60" s="334">
        <v>3127362.7094000001</v>
      </c>
      <c r="E60" s="334">
        <v>126</v>
      </c>
      <c r="F60" s="334">
        <v>2319106.5326</v>
      </c>
    </row>
    <row r="61" spans="1:6">
      <c r="A61" s="348" t="s">
        <v>49</v>
      </c>
      <c r="B61" s="348" t="s">
        <v>54</v>
      </c>
      <c r="C61" s="334">
        <v>269</v>
      </c>
      <c r="D61" s="334">
        <v>21811407.539000001</v>
      </c>
      <c r="E61" s="334">
        <v>804</v>
      </c>
      <c r="F61" s="334">
        <v>23997241.228999998</v>
      </c>
    </row>
    <row r="62" spans="1:6">
      <c r="A62" s="348" t="s">
        <v>49</v>
      </c>
      <c r="B62" s="348" t="s">
        <v>55</v>
      </c>
      <c r="C62" s="334">
        <v>18</v>
      </c>
      <c r="D62" s="334">
        <v>1795676.9472000001</v>
      </c>
      <c r="E62" s="334">
        <v>13</v>
      </c>
      <c r="F62" s="334">
        <v>281019.14652000001</v>
      </c>
    </row>
    <row r="63" spans="1:6">
      <c r="A63" s="348" t="s">
        <v>49</v>
      </c>
      <c r="B63" s="348" t="s">
        <v>29</v>
      </c>
      <c r="C63" s="334">
        <v>195</v>
      </c>
      <c r="D63" s="334">
        <v>27226475.949999999</v>
      </c>
      <c r="E63" s="334">
        <v>196</v>
      </c>
      <c r="F63" s="334">
        <v>17040420.513</v>
      </c>
    </row>
    <row r="64" spans="1:6">
      <c r="A64" s="348" t="s">
        <v>56</v>
      </c>
      <c r="B64" s="348" t="s">
        <v>57</v>
      </c>
      <c r="C64" s="334">
        <v>0</v>
      </c>
      <c r="D64" s="334">
        <v>0</v>
      </c>
      <c r="E64" s="334">
        <v>0</v>
      </c>
      <c r="F64" s="334">
        <v>0</v>
      </c>
    </row>
    <row r="65" spans="1:6">
      <c r="A65" s="348" t="s">
        <v>56</v>
      </c>
      <c r="B65" s="348" t="s">
        <v>29</v>
      </c>
      <c r="C65" s="334">
        <v>8</v>
      </c>
      <c r="D65" s="334">
        <v>232139.98772</v>
      </c>
      <c r="E65" s="334">
        <v>5</v>
      </c>
      <c r="F65" s="334">
        <v>83144.237280000001</v>
      </c>
    </row>
    <row r="66" spans="1:6">
      <c r="A66" s="348" t="s">
        <v>56</v>
      </c>
      <c r="B66" s="348" t="s">
        <v>58</v>
      </c>
      <c r="C66" s="334">
        <v>4</v>
      </c>
      <c r="D66" s="334">
        <v>157225.30658</v>
      </c>
      <c r="E66" s="334">
        <v>32</v>
      </c>
      <c r="F66" s="334">
        <v>734084.37300999998</v>
      </c>
    </row>
    <row r="67" spans="1:6">
      <c r="A67" s="355" t="s">
        <v>56</v>
      </c>
      <c r="B67" s="355" t="s">
        <v>59</v>
      </c>
      <c r="C67" s="334">
        <v>0</v>
      </c>
      <c r="D67" s="334">
        <v>0</v>
      </c>
      <c r="E67" s="334">
        <v>0</v>
      </c>
      <c r="F67" s="334">
        <v>0</v>
      </c>
    </row>
    <row r="68" spans="1:6">
      <c r="A68" s="341" t="s">
        <v>56</v>
      </c>
      <c r="B68" s="341" t="s">
        <v>60</v>
      </c>
      <c r="C68" s="334">
        <v>12</v>
      </c>
      <c r="D68" s="334">
        <v>638088.54619000002</v>
      </c>
      <c r="E68" s="334">
        <v>44</v>
      </c>
      <c r="F68" s="334">
        <v>1596428.2675999999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146366272</v>
      </c>
      <c r="E73" s="475">
        <v>150246757.46871951</v>
      </c>
    </row>
    <row r="74" spans="1:6">
      <c r="A74" s="348" t="s">
        <v>64</v>
      </c>
      <c r="B74" s="348" t="s">
        <v>667</v>
      </c>
      <c r="C74" s="1294" t="s">
        <v>669</v>
      </c>
      <c r="D74" s="475">
        <v>12234822.508284388</v>
      </c>
      <c r="E74" s="475">
        <v>12375903.96425138</v>
      </c>
    </row>
    <row r="75" spans="1:6">
      <c r="A75" s="348" t="s">
        <v>65</v>
      </c>
      <c r="B75" s="348" t="s">
        <v>666</v>
      </c>
      <c r="C75" s="1294" t="s">
        <v>670</v>
      </c>
      <c r="D75" s="475">
        <v>61890163</v>
      </c>
      <c r="E75" s="475">
        <v>63109571.028129458</v>
      </c>
    </row>
    <row r="76" spans="1:6">
      <c r="A76" s="348" t="s">
        <v>65</v>
      </c>
      <c r="B76" s="348" t="s">
        <v>667</v>
      </c>
      <c r="C76" s="1294" t="s">
        <v>671</v>
      </c>
      <c r="D76" s="475">
        <v>3408651.5082843872</v>
      </c>
      <c r="E76" s="475">
        <v>3477958.7019442003</v>
      </c>
    </row>
    <row r="77" spans="1:6">
      <c r="A77" s="348" t="s">
        <v>66</v>
      </c>
      <c r="B77" s="348" t="s">
        <v>666</v>
      </c>
      <c r="C77" s="1294" t="s">
        <v>672</v>
      </c>
      <c r="D77" s="475">
        <v>144940458</v>
      </c>
      <c r="E77" s="475">
        <v>146876525.53910089</v>
      </c>
    </row>
    <row r="78" spans="1:6">
      <c r="A78" s="341" t="s">
        <v>66</v>
      </c>
      <c r="B78" s="341" t="s">
        <v>667</v>
      </c>
      <c r="C78" s="341" t="s">
        <v>673</v>
      </c>
      <c r="D78" s="1295">
        <v>17314334</v>
      </c>
      <c r="E78" s="1295">
        <v>17757833.428267155</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1327322.9834312252</v>
      </c>
      <c r="C83" s="475">
        <v>1327322.9834312252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14110.810360178579</v>
      </c>
    </row>
    <row r="91" spans="1:6">
      <c r="A91" s="348" t="s">
        <v>68</v>
      </c>
      <c r="B91" s="334">
        <v>3705.5690661416902</v>
      </c>
    </row>
    <row r="92" spans="1:6">
      <c r="A92" s="341" t="s">
        <v>69</v>
      </c>
      <c r="B92" s="342">
        <v>7780.4221187899948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4799</v>
      </c>
    </row>
    <row r="98" spans="1:6">
      <c r="A98" s="348" t="s">
        <v>72</v>
      </c>
      <c r="B98" s="334">
        <v>4</v>
      </c>
    </row>
    <row r="99" spans="1:6">
      <c r="A99" s="348" t="s">
        <v>73</v>
      </c>
      <c r="B99" s="334">
        <v>99</v>
      </c>
    </row>
    <row r="100" spans="1:6">
      <c r="A100" s="348" t="s">
        <v>74</v>
      </c>
      <c r="B100" s="334">
        <v>830</v>
      </c>
    </row>
    <row r="101" spans="1:6">
      <c r="A101" s="348" t="s">
        <v>75</v>
      </c>
      <c r="B101" s="334">
        <v>75</v>
      </c>
    </row>
    <row r="102" spans="1:6">
      <c r="A102" s="348" t="s">
        <v>76</v>
      </c>
      <c r="B102" s="334">
        <v>177</v>
      </c>
    </row>
    <row r="103" spans="1:6">
      <c r="A103" s="348" t="s">
        <v>77</v>
      </c>
      <c r="B103" s="334">
        <v>217</v>
      </c>
    </row>
    <row r="104" spans="1:6">
      <c r="A104" s="348" t="s">
        <v>78</v>
      </c>
      <c r="B104" s="334">
        <v>4999</v>
      </c>
    </row>
    <row r="105" spans="1:6">
      <c r="A105" s="341" t="s">
        <v>79</v>
      </c>
      <c r="B105" s="341">
        <v>15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23</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94</v>
      </c>
    </row>
    <row r="130" spans="1:6">
      <c r="A130" s="348" t="s">
        <v>295</v>
      </c>
      <c r="B130" s="334">
        <v>2</v>
      </c>
    </row>
    <row r="131" spans="1:6">
      <c r="A131" s="348" t="s">
        <v>296</v>
      </c>
      <c r="B131" s="334">
        <v>1</v>
      </c>
    </row>
    <row r="132" spans="1:6">
      <c r="A132" s="341" t="s">
        <v>297</v>
      </c>
      <c r="B132" s="342">
        <v>33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167016.61145830937</v>
      </c>
      <c r="C3" s="43" t="s">
        <v>170</v>
      </c>
      <c r="D3" s="43"/>
      <c r="E3" s="154"/>
      <c r="F3" s="43"/>
      <c r="G3" s="43"/>
      <c r="H3" s="43"/>
      <c r="I3" s="43"/>
      <c r="J3" s="43"/>
      <c r="K3" s="96"/>
    </row>
    <row r="4" spans="1:11">
      <c r="A4" s="383" t="s">
        <v>171</v>
      </c>
      <c r="B4" s="49">
        <f>IF(ISERROR('SEAP template'!B78+'SEAP template'!C78),0,'SEAP template'!B78+'SEAP template'!C78)</f>
        <v>25596.801545110262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0.18712975744103488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2019.4090000000001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2019.4090000000001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0.18712975744103488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377.89151634424286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47782.608837346103</v>
      </c>
      <c r="C5" s="17">
        <f>IF(ISERROR('Eigen informatie GS &amp; warmtenet'!B57),0,'Eigen informatie GS &amp; warmtenet'!B57)</f>
        <v>0</v>
      </c>
      <c r="D5" s="30">
        <f>(SUM(HH_hh_gas_kWh,HH_rest_gas_kWh)/1000)*0.902</f>
        <v>111220.57505086002</v>
      </c>
      <c r="E5" s="17">
        <f>B46*B57</f>
        <v>6214.5913236651431</v>
      </c>
      <c r="F5" s="17">
        <f>B51*B62</f>
        <v>55633.99328294961</v>
      </c>
      <c r="G5" s="18"/>
      <c r="H5" s="17"/>
      <c r="I5" s="17"/>
      <c r="J5" s="17">
        <f>B50*B61+C50*C61</f>
        <v>0</v>
      </c>
      <c r="K5" s="17"/>
      <c r="L5" s="17"/>
      <c r="M5" s="17"/>
      <c r="N5" s="17">
        <f>B48*B59+C48*C59</f>
        <v>13371.097936255395</v>
      </c>
      <c r="O5" s="17">
        <f>B69*B70*B71</f>
        <v>182.91000000000003</v>
      </c>
      <c r="P5" s="17">
        <f>B77*B78*B79/1000-B77*B78*B79/1000/B80</f>
        <v>1334.6666666666667</v>
      </c>
    </row>
    <row r="6" spans="1:16">
      <c r="A6" s="16" t="s">
        <v>624</v>
      </c>
      <c r="B6" s="788">
        <f>kWh_PV_kleiner_dan_10kW</f>
        <v>3705.5690661416902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51488.177903487791</v>
      </c>
      <c r="C8" s="21">
        <f>C5</f>
        <v>0</v>
      </c>
      <c r="D8" s="21">
        <f>D5</f>
        <v>111220.57505086002</v>
      </c>
      <c r="E8" s="21">
        <f>E5</f>
        <v>6214.5913236651431</v>
      </c>
      <c r="F8" s="21">
        <f>F5</f>
        <v>55633.99328294961</v>
      </c>
      <c r="G8" s="21"/>
      <c r="H8" s="21"/>
      <c r="I8" s="21"/>
      <c r="J8" s="21">
        <f>J5</f>
        <v>0</v>
      </c>
      <c r="K8" s="21"/>
      <c r="L8" s="21">
        <f>L5</f>
        <v>0</v>
      </c>
      <c r="M8" s="21">
        <f>M5</f>
        <v>0</v>
      </c>
      <c r="N8" s="21">
        <f>N5</f>
        <v>13371.097936255395</v>
      </c>
      <c r="O8" s="21">
        <f>O5</f>
        <v>182.91000000000003</v>
      </c>
      <c r="P8" s="21">
        <f>P5</f>
        <v>1334.6666666666667</v>
      </c>
    </row>
    <row r="9" spans="1:16">
      <c r="B9" s="19"/>
      <c r="C9" s="19"/>
      <c r="D9" s="258"/>
      <c r="E9" s="19"/>
      <c r="F9" s="19"/>
      <c r="G9" s="19"/>
      <c r="H9" s="19"/>
      <c r="I9" s="19"/>
      <c r="J9" s="19"/>
      <c r="K9" s="19"/>
      <c r="L9" s="19"/>
      <c r="M9" s="19"/>
      <c r="N9" s="19"/>
      <c r="O9" s="19"/>
      <c r="P9" s="19"/>
    </row>
    <row r="10" spans="1:16">
      <c r="A10" s="24" t="s">
        <v>214</v>
      </c>
      <c r="B10" s="25">
        <f ca="1">'EF ele_warmte'!B12</f>
        <v>0.18712975744103488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9634.9702421605216</v>
      </c>
      <c r="C12" s="23">
        <f ca="1">C10*C8</f>
        <v>0</v>
      </c>
      <c r="D12" s="23">
        <f>D8*D10</f>
        <v>22466.556160273725</v>
      </c>
      <c r="E12" s="23">
        <f>E10*E8</f>
        <v>1410.7122304719876</v>
      </c>
      <c r="F12" s="23">
        <f>F10*F8</f>
        <v>14854.276206547547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4799</v>
      </c>
      <c r="C18" s="166" t="s">
        <v>111</v>
      </c>
      <c r="D18" s="228"/>
      <c r="E18" s="15"/>
    </row>
    <row r="19" spans="1:7">
      <c r="A19" s="171" t="s">
        <v>72</v>
      </c>
      <c r="B19" s="37">
        <f>aantalw2001_ander</f>
        <v>4</v>
      </c>
      <c r="C19" s="166" t="s">
        <v>111</v>
      </c>
      <c r="D19" s="229"/>
      <c r="E19" s="15"/>
    </row>
    <row r="20" spans="1:7">
      <c r="A20" s="171" t="s">
        <v>73</v>
      </c>
      <c r="B20" s="37">
        <f>aantalw2001_propaan</f>
        <v>99</v>
      </c>
      <c r="C20" s="167">
        <f>IF(ISERROR(B20/SUM($B$20,$B$21,$B$22)*100),0,B20/SUM($B$20,$B$21,$B$22)*100)</f>
        <v>9.860557768924302</v>
      </c>
      <c r="D20" s="229"/>
      <c r="E20" s="15"/>
    </row>
    <row r="21" spans="1:7">
      <c r="A21" s="171" t="s">
        <v>74</v>
      </c>
      <c r="B21" s="37">
        <f>aantalw2001_elektriciteit</f>
        <v>830</v>
      </c>
      <c r="C21" s="167">
        <f>IF(ISERROR(B21/SUM($B$20,$B$21,$B$22)*100),0,B21/SUM($B$20,$B$21,$B$22)*100)</f>
        <v>82.669322709163353</v>
      </c>
      <c r="D21" s="229"/>
      <c r="E21" s="15"/>
    </row>
    <row r="22" spans="1:7">
      <c r="A22" s="171" t="s">
        <v>75</v>
      </c>
      <c r="B22" s="37">
        <f>aantalw2001_hout</f>
        <v>75</v>
      </c>
      <c r="C22" s="167">
        <f>IF(ISERROR(B22/SUM($B$20,$B$21,$B$22)*100),0,B22/SUM($B$20,$B$21,$B$22)*100)</f>
        <v>7.4701195219123511</v>
      </c>
      <c r="D22" s="229"/>
      <c r="E22" s="15"/>
    </row>
    <row r="23" spans="1:7">
      <c r="A23" s="171" t="s">
        <v>76</v>
      </c>
      <c r="B23" s="37">
        <f>aantalw2001_niet_gespec</f>
        <v>177</v>
      </c>
      <c r="C23" s="166" t="s">
        <v>111</v>
      </c>
      <c r="D23" s="228"/>
      <c r="E23" s="15"/>
    </row>
    <row r="24" spans="1:7">
      <c r="A24" s="171" t="s">
        <v>77</v>
      </c>
      <c r="B24" s="37">
        <f>aantalw2001_steenkool</f>
        <v>217</v>
      </c>
      <c r="C24" s="166" t="s">
        <v>111</v>
      </c>
      <c r="D24" s="229"/>
      <c r="E24" s="15"/>
    </row>
    <row r="25" spans="1:7">
      <c r="A25" s="171" t="s">
        <v>78</v>
      </c>
      <c r="B25" s="37">
        <f>aantalw2001_stookolie</f>
        <v>4999</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698</v>
      </c>
      <c r="B28" s="37">
        <f>aantalHuishoudens2011</f>
        <v>12956</v>
      </c>
      <c r="C28" s="36"/>
      <c r="D28" s="228"/>
    </row>
    <row r="29" spans="1:7" s="15" customFormat="1">
      <c r="A29" s="230" t="s">
        <v>699</v>
      </c>
      <c r="B29" s="37">
        <f>SUM(HH_hh_gas_aantal,HH_rest_gas_aantal)</f>
        <v>7814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7814</v>
      </c>
      <c r="C32" s="167">
        <f>IF(ISERROR(B32/SUM($B$32,$B$34,$B$35,$B$36,$B$38,$B$39)*100),0,B32/SUM($B$32,$B$34,$B$35,$B$36,$B$38,$B$39)*100)</f>
        <v>60.639453670650326</v>
      </c>
      <c r="D32" s="233"/>
      <c r="G32" s="15"/>
    </row>
    <row r="33" spans="1:7">
      <c r="A33" s="171" t="s">
        <v>72</v>
      </c>
      <c r="B33" s="34" t="s">
        <v>111</v>
      </c>
      <c r="C33" s="167"/>
      <c r="D33" s="233"/>
      <c r="G33" s="15"/>
    </row>
    <row r="34" spans="1:7">
      <c r="A34" s="171" t="s">
        <v>73</v>
      </c>
      <c r="B34" s="33">
        <f>IF((($B$28-$B$32-$B$39-$B$77-$B$38)*C20/100)&lt;0,0,($B$28-$B$32-$B$39-$B$77-$B$38)*C20/100)</f>
        <v>274.76444223107569</v>
      </c>
      <c r="C34" s="167">
        <f>IF(ISERROR(B34/SUM($B$32,$B$34,$B$35,$B$36,$B$38,$B$39)*100),0,B34/SUM($B$32,$B$34,$B$35,$B$36,$B$38,$B$39)*100)</f>
        <v>2.1322710090879693</v>
      </c>
      <c r="D34" s="233"/>
      <c r="G34" s="15"/>
    </row>
    <row r="35" spans="1:7">
      <c r="A35" s="171" t="s">
        <v>74</v>
      </c>
      <c r="B35" s="33">
        <f>IF((($B$28-$B$32-$B$39-$B$77-$B$38)*C21/100)&lt;0,0,($B$28-$B$32-$B$39-$B$77-$B$38)*C21/100)</f>
        <v>2303.5806772908368</v>
      </c>
      <c r="C35" s="167">
        <f>IF(ISERROR(B35/SUM($B$32,$B$34,$B$35,$B$36,$B$38,$B$39)*100),0,B35/SUM($B$32,$B$34,$B$35,$B$36,$B$38,$B$39)*100)</f>
        <v>17.876615530737521</v>
      </c>
      <c r="D35" s="233"/>
      <c r="G35" s="15"/>
    </row>
    <row r="36" spans="1:7">
      <c r="A36" s="171" t="s">
        <v>75</v>
      </c>
      <c r="B36" s="33">
        <f>IF((($B$28-$B$32-$B$39-$B$77-$B$38)*C22/100)&lt;0,0,($B$28-$B$32-$B$39-$B$77-$B$38)*C22/100)</f>
        <v>208.15488047808765</v>
      </c>
      <c r="C36" s="167">
        <f>IF(ISERROR(B36/SUM($B$32,$B$34,$B$35,$B$36,$B$38,$B$39)*100),0,B36/SUM($B$32,$B$34,$B$35,$B$36,$B$38,$B$39)*100)</f>
        <v>1.6153568250666432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2285.5</v>
      </c>
      <c r="C39" s="167">
        <f>IF(ISERROR(B39/SUM($B$32,$B$34,$B$35,$B$36,$B$38,$B$39)*100),0,B39/SUM($B$32,$B$34,$B$35,$B$36,$B$38,$B$39)*100)</f>
        <v>17.736302964457551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7814</v>
      </c>
      <c r="C44" s="34" t="s">
        <v>111</v>
      </c>
      <c r="D44" s="174"/>
    </row>
    <row r="45" spans="1:7">
      <c r="A45" s="171" t="s">
        <v>72</v>
      </c>
      <c r="B45" s="33" t="str">
        <f t="shared" si="0"/>
        <v>-</v>
      </c>
      <c r="C45" s="34" t="s">
        <v>111</v>
      </c>
      <c r="D45" s="174"/>
    </row>
    <row r="46" spans="1:7">
      <c r="A46" s="171" t="s">
        <v>73</v>
      </c>
      <c r="B46" s="33">
        <f t="shared" si="0"/>
        <v>274.76444223107569</v>
      </c>
      <c r="C46" s="34" t="s">
        <v>111</v>
      </c>
      <c r="D46" s="174"/>
    </row>
    <row r="47" spans="1:7">
      <c r="A47" s="171" t="s">
        <v>74</v>
      </c>
      <c r="B47" s="33">
        <f t="shared" si="0"/>
        <v>2303.5806772908368</v>
      </c>
      <c r="C47" s="34" t="s">
        <v>111</v>
      </c>
      <c r="D47" s="174"/>
    </row>
    <row r="48" spans="1:7">
      <c r="A48" s="171" t="s">
        <v>75</v>
      </c>
      <c r="B48" s="33">
        <f t="shared" si="0"/>
        <v>208.15488047808765</v>
      </c>
      <c r="C48" s="33">
        <f>B48*10</f>
        <v>2081.5488047808767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2285.5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94382.441183820003</v>
      </c>
      <c r="C5" s="17">
        <f>IF(ISERROR('Eigen informatie GS &amp; warmtenet'!B58),0,'Eigen informatie GS &amp; warmtenet'!B58)</f>
        <v>0</v>
      </c>
      <c r="D5" s="30">
        <f>SUM(D6:D12)</f>
        <v>75422.337582734996</v>
      </c>
      <c r="E5" s="17">
        <f>SUM(E6:E12)</f>
        <v>2167.4951956157256</v>
      </c>
      <c r="F5" s="17">
        <f>SUM(F6:F12)</f>
        <v>21675.88838404409</v>
      </c>
      <c r="G5" s="18"/>
      <c r="H5" s="17"/>
      <c r="I5" s="17"/>
      <c r="J5" s="17">
        <f>SUM(J6:J12)</f>
        <v>0</v>
      </c>
      <c r="K5" s="17"/>
      <c r="L5" s="17"/>
      <c r="M5" s="17"/>
      <c r="N5" s="17">
        <f>SUM(N6:N12)</f>
        <v>3969.0757339023639</v>
      </c>
      <c r="O5" s="17">
        <f>B38*B39*B40</f>
        <v>3.1266666666666669</v>
      </c>
      <c r="P5" s="17">
        <f>B46*B47*B48/1000-B46*B47*B48/1000/B49</f>
        <v>19.066666666666666</v>
      </c>
      <c r="R5" s="32"/>
    </row>
    <row r="6" spans="1:18">
      <c r="A6" s="32" t="s">
        <v>54</v>
      </c>
      <c r="B6" s="37">
        <f>B26</f>
        <v>23997.241228999999</v>
      </c>
      <c r="C6" s="33"/>
      <c r="D6" s="37">
        <f>IF(ISERROR(TER_kantoor_gas_kWh/1000),0,TER_kantoor_gas_kWh/1000)*0.902</f>
        <v>19673.889600178001</v>
      </c>
      <c r="E6" s="33">
        <f>$C$26*'E Balans VL '!I12/100/3.6*1000000</f>
        <v>314.15344800243952</v>
      </c>
      <c r="F6" s="33">
        <f>$C$26*('E Balans VL '!L12+'E Balans VL '!N12)/100/3.6*1000000</f>
        <v>6119.0485351673424</v>
      </c>
      <c r="G6" s="34"/>
      <c r="H6" s="33"/>
      <c r="I6" s="33"/>
      <c r="J6" s="33">
        <f>$C$26*('E Balans VL '!D12+'E Balans VL '!E12)/100/3.6*1000000</f>
        <v>0</v>
      </c>
      <c r="K6" s="33"/>
      <c r="L6" s="33"/>
      <c r="M6" s="33"/>
      <c r="N6" s="33">
        <f>$C$26*'E Balans VL '!Y12/100/3.6*1000000</f>
        <v>24.078050653479004</v>
      </c>
      <c r="O6" s="33"/>
      <c r="P6" s="33"/>
      <c r="R6" s="32"/>
    </row>
    <row r="7" spans="1:18">
      <c r="A7" s="32" t="s">
        <v>53</v>
      </c>
      <c r="B7" s="37">
        <f t="shared" ref="B7:B12" si="0">B27</f>
        <v>2319.1065325999998</v>
      </c>
      <c r="C7" s="33"/>
      <c r="D7" s="37">
        <f>IF(ISERROR(TER_horeca_gas_kWh/1000),0,TER_horeca_gas_kWh/1000)*0.902</f>
        <v>2820.8811638787997</v>
      </c>
      <c r="E7" s="33">
        <f>$C$27*'E Balans VL '!I9/100/3.6*1000000</f>
        <v>76.748319577243095</v>
      </c>
      <c r="F7" s="33">
        <f>$C$27*('E Balans VL '!L9+'E Balans VL '!N9)/100/3.6*1000000</f>
        <v>997.20692112519203</v>
      </c>
      <c r="G7" s="34"/>
      <c r="H7" s="33"/>
      <c r="I7" s="33"/>
      <c r="J7" s="33">
        <f>$C$27*('E Balans VL '!D9+'E Balans VL '!E9)/100/3.6*1000000</f>
        <v>0</v>
      </c>
      <c r="K7" s="33"/>
      <c r="L7" s="33"/>
      <c r="M7" s="33"/>
      <c r="N7" s="33">
        <f>$C$27*'E Balans VL '!Y9/100/3.6*1000000</f>
        <v>0.55824261951943033</v>
      </c>
      <c r="O7" s="33"/>
      <c r="P7" s="33"/>
      <c r="R7" s="32"/>
    </row>
    <row r="8" spans="1:18">
      <c r="A8" s="6" t="s">
        <v>52</v>
      </c>
      <c r="B8" s="37">
        <f t="shared" si="0"/>
        <v>46620.291522</v>
      </c>
      <c r="C8" s="33"/>
      <c r="D8" s="37">
        <f>IF(ISERROR(TER_handel_gas_kWh/1000),0,TER_handel_gas_kWh/1000)*0.902</f>
        <v>20538.021323842</v>
      </c>
      <c r="E8" s="33">
        <f>$C$28*'E Balans VL '!I13/100/3.6*1000000</f>
        <v>1471.407634119382</v>
      </c>
      <c r="F8" s="33">
        <f>$C$28*('E Balans VL '!L13+'E Balans VL '!N13)/100/3.6*1000000</f>
        <v>9143.0600998299033</v>
      </c>
      <c r="G8" s="34"/>
      <c r="H8" s="33"/>
      <c r="I8" s="33"/>
      <c r="J8" s="33">
        <f>$C$28*('E Balans VL '!D13+'E Balans VL '!E13)/100/3.6*1000000</f>
        <v>0</v>
      </c>
      <c r="K8" s="33"/>
      <c r="L8" s="33"/>
      <c r="M8" s="33"/>
      <c r="N8" s="33">
        <f>$C$28*'E Balans VL '!Y13/100/3.6*1000000</f>
        <v>55.32923481813198</v>
      </c>
      <c r="O8" s="33"/>
      <c r="P8" s="33"/>
      <c r="R8" s="32"/>
    </row>
    <row r="9" spans="1:18">
      <c r="A9" s="32" t="s">
        <v>51</v>
      </c>
      <c r="B9" s="37">
        <f t="shared" si="0"/>
        <v>1114.7031740000002</v>
      </c>
      <c r="C9" s="33"/>
      <c r="D9" s="37">
        <f>IF(ISERROR(TER_gezond_gas_kWh/1000),0,TER_gezond_gas_kWh/1000)*0.902</f>
        <v>1187.3460593522</v>
      </c>
      <c r="E9" s="33">
        <f>$C$29*'E Balans VL '!I10/100/3.6*1000000</f>
        <v>0.14271461618980247</v>
      </c>
      <c r="F9" s="33">
        <f>$C$29*('E Balans VL '!L10+'E Balans VL '!N10)/100/3.6*1000000</f>
        <v>232.23939263593795</v>
      </c>
      <c r="G9" s="34"/>
      <c r="H9" s="33"/>
      <c r="I9" s="33"/>
      <c r="J9" s="33">
        <f>$C$29*('E Balans VL '!D10+'E Balans VL '!E10)/100/3.6*1000000</f>
        <v>0</v>
      </c>
      <c r="K9" s="33"/>
      <c r="L9" s="33"/>
      <c r="M9" s="33"/>
      <c r="N9" s="33">
        <f>$C$29*'E Balans VL '!Y10/100/3.6*1000000</f>
        <v>13.092715656616486</v>
      </c>
      <c r="O9" s="33"/>
      <c r="P9" s="33"/>
      <c r="R9" s="32"/>
    </row>
    <row r="10" spans="1:18">
      <c r="A10" s="32" t="s">
        <v>50</v>
      </c>
      <c r="B10" s="37">
        <f t="shared" si="0"/>
        <v>3009.6590667</v>
      </c>
      <c r="C10" s="33"/>
      <c r="D10" s="37">
        <f>IF(ISERROR(TER_ander_gas_kWh/1000),0,TER_ander_gas_kWh/1000)*0.902</f>
        <v>5024.2175222096002</v>
      </c>
      <c r="E10" s="33">
        <f>$C$30*'E Balans VL '!I14/100/3.6*1000000</f>
        <v>4.5258194680729398</v>
      </c>
      <c r="F10" s="33">
        <f>$C$30*('E Balans VL '!L14+'E Balans VL '!N14)/100/3.6*1000000</f>
        <v>664.43570678027504</v>
      </c>
      <c r="G10" s="34"/>
      <c r="H10" s="33"/>
      <c r="I10" s="33"/>
      <c r="J10" s="33">
        <f>$C$30*('E Balans VL '!D14+'E Balans VL '!E14)/100/3.6*1000000</f>
        <v>0</v>
      </c>
      <c r="K10" s="33"/>
      <c r="L10" s="33"/>
      <c r="M10" s="33"/>
      <c r="N10" s="33">
        <f>$C$30*'E Balans VL '!Y14/100/3.6*1000000</f>
        <v>2371.8138869781792</v>
      </c>
      <c r="O10" s="33"/>
      <c r="P10" s="33"/>
      <c r="R10" s="32"/>
    </row>
    <row r="11" spans="1:18">
      <c r="A11" s="32" t="s">
        <v>55</v>
      </c>
      <c r="B11" s="37">
        <f t="shared" si="0"/>
        <v>281.01914651999999</v>
      </c>
      <c r="C11" s="33"/>
      <c r="D11" s="37">
        <f>IF(ISERROR(TER_onderwijs_gas_kWh/1000),0,TER_onderwijs_gas_kWh/1000)*0.902</f>
        <v>1619.7006063744002</v>
      </c>
      <c r="E11" s="33">
        <f>$C$31*'E Balans VL '!I11/100/3.6*1000000</f>
        <v>0.49489826634479672</v>
      </c>
      <c r="F11" s="33">
        <f>$C$31*('E Balans VL '!L11+'E Balans VL '!N11)/100/3.6*1000000</f>
        <v>129.75162498132997</v>
      </c>
      <c r="G11" s="34"/>
      <c r="H11" s="33"/>
      <c r="I11" s="33"/>
      <c r="J11" s="33">
        <f>$C$31*('E Balans VL '!D11+'E Balans VL '!E11)/100/3.6*1000000</f>
        <v>0</v>
      </c>
      <c r="K11" s="33"/>
      <c r="L11" s="33"/>
      <c r="M11" s="33"/>
      <c r="N11" s="33">
        <f>$C$31*'E Balans VL '!Y11/100/3.6*1000000</f>
        <v>0.52354255611835054</v>
      </c>
      <c r="O11" s="33"/>
      <c r="P11" s="33"/>
      <c r="R11" s="32"/>
    </row>
    <row r="12" spans="1:18">
      <c r="A12" s="32" t="s">
        <v>260</v>
      </c>
      <c r="B12" s="37">
        <f t="shared" si="0"/>
        <v>17040.420513000001</v>
      </c>
      <c r="C12" s="33"/>
      <c r="D12" s="37">
        <f>IF(ISERROR(TER_rest_gas_kWh/1000),0,TER_rest_gas_kWh/1000)*0.902</f>
        <v>24558.2813069</v>
      </c>
      <c r="E12" s="33">
        <f>$C$32*'E Balans VL '!I8/100/3.6*1000000</f>
        <v>300.02236156605346</v>
      </c>
      <c r="F12" s="33">
        <f>$C$32*('E Balans VL '!L8+'E Balans VL '!N8)/100/3.6*1000000</f>
        <v>4390.14610352411</v>
      </c>
      <c r="G12" s="34"/>
      <c r="H12" s="33"/>
      <c r="I12" s="33"/>
      <c r="J12" s="33">
        <f>$C$32*('E Balans VL '!D8+'E Balans VL '!E8)/100/3.6*1000000</f>
        <v>0</v>
      </c>
      <c r="K12" s="33"/>
      <c r="L12" s="33"/>
      <c r="M12" s="33"/>
      <c r="N12" s="33">
        <f>$C$32*'E Balans VL '!Y8/100/3.6*1000000</f>
        <v>1503.6800606203194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94382.441183820003</v>
      </c>
      <c r="C16" s="21">
        <f t="shared" ca="1" si="1"/>
        <v>0</v>
      </c>
      <c r="D16" s="21">
        <f t="shared" ca="1" si="1"/>
        <v>75422.337582734996</v>
      </c>
      <c r="E16" s="21">
        <f t="shared" si="1"/>
        <v>2167.4951956157256</v>
      </c>
      <c r="F16" s="21">
        <f t="shared" ca="1" si="1"/>
        <v>21675.88838404409</v>
      </c>
      <c r="G16" s="21">
        <f t="shared" si="1"/>
        <v>0</v>
      </c>
      <c r="H16" s="21">
        <f t="shared" si="1"/>
        <v>0</v>
      </c>
      <c r="I16" s="21">
        <f t="shared" si="1"/>
        <v>0</v>
      </c>
      <c r="J16" s="21">
        <f t="shared" si="1"/>
        <v>0</v>
      </c>
      <c r="K16" s="21">
        <f t="shared" si="1"/>
        <v>0</v>
      </c>
      <c r="L16" s="21">
        <f t="shared" ca="1" si="1"/>
        <v>0</v>
      </c>
      <c r="M16" s="21">
        <f t="shared" si="1"/>
        <v>0</v>
      </c>
      <c r="N16" s="21">
        <f t="shared" ca="1" si="1"/>
        <v>3969.0757339023639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0.18712975744103488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17661.76332542098</v>
      </c>
      <c r="C20" s="23">
        <f t="shared" ref="C20:P20" ca="1" si="2">C16*C18</f>
        <v>0</v>
      </c>
      <c r="D20" s="23">
        <f t="shared" ca="1" si="2"/>
        <v>15235.31219171247</v>
      </c>
      <c r="E20" s="23">
        <f t="shared" si="2"/>
        <v>492.02140940476971</v>
      </c>
      <c r="F20" s="23">
        <f t="shared" ca="1" si="2"/>
        <v>5787.4621985397725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23997.241228999999</v>
      </c>
      <c r="C26" s="39">
        <f>IF(ISERROR(B26*3.6/1000000/'E Balans VL '!Z12*100),0,B26*3.6/1000000/'E Balans VL '!Z12*100)</f>
        <v>0.51403954985595168</v>
      </c>
      <c r="D26" s="237" t="s">
        <v>660</v>
      </c>
      <c r="F26" s="6"/>
    </row>
    <row r="27" spans="1:18">
      <c r="A27" s="231" t="s">
        <v>53</v>
      </c>
      <c r="B27" s="33">
        <f>IF(ISERROR(TER_horeca_ele_kWh/1000),0,TER_horeca_ele_kWh/1000)</f>
        <v>2319.1065325999998</v>
      </c>
      <c r="C27" s="39">
        <f>IF(ISERROR(B27*3.6/1000000/'E Balans VL '!Z9*100),0,B27*3.6/1000000/'E Balans VL '!Z9*100)</f>
        <v>0.18610023810912396</v>
      </c>
      <c r="D27" s="237" t="s">
        <v>660</v>
      </c>
      <c r="F27" s="6"/>
    </row>
    <row r="28" spans="1:18">
      <c r="A28" s="171" t="s">
        <v>52</v>
      </c>
      <c r="B28" s="33">
        <f>IF(ISERROR(TER_handel_ele_kWh/1000),0,TER_handel_ele_kWh/1000)</f>
        <v>46620.291522</v>
      </c>
      <c r="C28" s="39">
        <f>IF(ISERROR(B28*3.6/1000000/'E Balans VL '!Z13*100),0,B28*3.6/1000000/'E Balans VL '!Z13*100)</f>
        <v>1.375031196572682</v>
      </c>
      <c r="D28" s="237" t="s">
        <v>660</v>
      </c>
      <c r="F28" s="6"/>
    </row>
    <row r="29" spans="1:18">
      <c r="A29" s="231" t="s">
        <v>51</v>
      </c>
      <c r="B29" s="33">
        <f>IF(ISERROR(TER_gezond_ele_kWh/1000),0,TER_gezond_ele_kWh/1000)</f>
        <v>1114.7031740000002</v>
      </c>
      <c r="C29" s="39">
        <f>IF(ISERROR(B29*3.6/1000000/'E Balans VL '!Z10*100),0,B29*3.6/1000000/'E Balans VL '!Z10*100)</f>
        <v>0.11902041267037759</v>
      </c>
      <c r="D29" s="237" t="s">
        <v>660</v>
      </c>
      <c r="F29" s="6"/>
    </row>
    <row r="30" spans="1:18">
      <c r="A30" s="231" t="s">
        <v>50</v>
      </c>
      <c r="B30" s="33">
        <f>IF(ISERROR(TER_ander_ele_kWh/1000),0,TER_ander_ele_kWh/1000)</f>
        <v>3009.6590667</v>
      </c>
      <c r="C30" s="39">
        <f>IF(ISERROR(B30*3.6/1000000/'E Balans VL '!Z14*100),0,B30*3.6/1000000/'E Balans VL '!Z14*100)</f>
        <v>0.22733136776228879</v>
      </c>
      <c r="D30" s="237" t="s">
        <v>660</v>
      </c>
      <c r="F30" s="6"/>
    </row>
    <row r="31" spans="1:18">
      <c r="A31" s="231" t="s">
        <v>55</v>
      </c>
      <c r="B31" s="33">
        <f>IF(ISERROR(TER_onderwijs_ele_kWh/1000),0,TER_onderwijs_ele_kWh/1000)</f>
        <v>281.01914651999999</v>
      </c>
      <c r="C31" s="39">
        <f>IF(ISERROR(B31*3.6/1000000/'E Balans VL '!Z11*100),0,B31*3.6/1000000/'E Balans VL '!Z11*100)</f>
        <v>5.6747146826231699E-2</v>
      </c>
      <c r="D31" s="237" t="s">
        <v>660</v>
      </c>
    </row>
    <row r="32" spans="1:18">
      <c r="A32" s="231" t="s">
        <v>260</v>
      </c>
      <c r="B32" s="33">
        <f>IF(ISERROR(TER_rest_ele_kWh/1000),0,TER_rest_ele_kWh/1000)</f>
        <v>17040.420513000001</v>
      </c>
      <c r="C32" s="39">
        <f>IF(ISERROR(B32*3.6/1000000/'E Balans VL '!Z8*100),0,B32*3.6/1000000/'E Balans VL '!Z8*100)</f>
        <v>0.14128881466715329</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14141.190173417001</v>
      </c>
      <c r="C5" s="17">
        <f>IF(ISERROR('Eigen informatie GS &amp; warmtenet'!B59),0,'Eigen informatie GS &amp; warmtenet'!B59)</f>
        <v>0</v>
      </c>
      <c r="D5" s="30">
        <f>SUM(D6:D15)</f>
        <v>15204.713506691718</v>
      </c>
      <c r="E5" s="17">
        <f>SUM(E6:E15)</f>
        <v>829.38866140006917</v>
      </c>
      <c r="F5" s="17">
        <f>SUM(F6:F15)</f>
        <v>3603.2136726534745</v>
      </c>
      <c r="G5" s="18"/>
      <c r="H5" s="17"/>
      <c r="I5" s="17"/>
      <c r="J5" s="17">
        <f>SUM(J6:J15)</f>
        <v>272.29587821999007</v>
      </c>
      <c r="K5" s="17"/>
      <c r="L5" s="17"/>
      <c r="M5" s="17"/>
      <c r="N5" s="17">
        <f>SUM(N6:N15)</f>
        <v>9363.9719951370516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128.57793697</v>
      </c>
      <c r="C8" s="33"/>
      <c r="D8" s="37">
        <f>IF( ISERROR(IND_metaal_Gas_kWH/1000),0,IND_metaal_Gas_kWH/1000)*0.902</f>
        <v>0</v>
      </c>
      <c r="E8" s="33">
        <f>C30*'E Balans VL '!I18/100/3.6*1000000</f>
        <v>4.6266231468077486</v>
      </c>
      <c r="F8" s="33">
        <f>C30*'E Balans VL '!L18/100/3.6*1000000+C30*'E Balans VL '!N18/100/3.6*1000000</f>
        <v>56.145817026522202</v>
      </c>
      <c r="G8" s="34"/>
      <c r="H8" s="33"/>
      <c r="I8" s="33"/>
      <c r="J8" s="40">
        <f>C30*'E Balans VL '!D18/100/3.6*1000000+C30*'E Balans VL '!E18/100/3.6*1000000</f>
        <v>0</v>
      </c>
      <c r="K8" s="33"/>
      <c r="L8" s="33"/>
      <c r="M8" s="33"/>
      <c r="N8" s="33">
        <f>C30*'E Balans VL '!Y18/100/3.6*1000000</f>
        <v>6.4442388229696936</v>
      </c>
      <c r="O8" s="33"/>
      <c r="P8" s="33"/>
      <c r="R8" s="32"/>
    </row>
    <row r="9" spans="1:18">
      <c r="A9" s="6" t="s">
        <v>33</v>
      </c>
      <c r="B9" s="37">
        <f t="shared" si="0"/>
        <v>1764.1751403000001</v>
      </c>
      <c r="C9" s="33"/>
      <c r="D9" s="37">
        <f>IF( ISERROR(IND_andere_gas_kWh/1000),0,IND_andere_gas_kWh/1000)*0.902</f>
        <v>2164.9204810420001</v>
      </c>
      <c r="E9" s="33">
        <f>C31*'E Balans VL '!I19/100/3.6*1000000</f>
        <v>450.17758022401688</v>
      </c>
      <c r="F9" s="33">
        <f>C31*'E Balans VL '!L19/100/3.6*1000000+C31*'E Balans VL '!N19/100/3.6*1000000</f>
        <v>1518.8221952396882</v>
      </c>
      <c r="G9" s="34"/>
      <c r="H9" s="33"/>
      <c r="I9" s="33"/>
      <c r="J9" s="40">
        <f>C31*'E Balans VL '!D19/100/3.6*1000000+C31*'E Balans VL '!E19/100/3.6*1000000</f>
        <v>0</v>
      </c>
      <c r="K9" s="33"/>
      <c r="L9" s="33"/>
      <c r="M9" s="33"/>
      <c r="N9" s="33">
        <f>C31*'E Balans VL '!Y19/100/3.6*1000000</f>
        <v>551.71798306052017</v>
      </c>
      <c r="O9" s="33"/>
      <c r="P9" s="33"/>
      <c r="R9" s="32"/>
    </row>
    <row r="10" spans="1:18">
      <c r="A10" s="6" t="s">
        <v>41</v>
      </c>
      <c r="B10" s="37">
        <f t="shared" si="0"/>
        <v>3981.9765232</v>
      </c>
      <c r="C10" s="33"/>
      <c r="D10" s="37">
        <f>IF( ISERROR(IND_voed_gas_kWh/1000),0,IND_voed_gas_kWh/1000)*0.902</f>
        <v>4267.5483673613999</v>
      </c>
      <c r="E10" s="33">
        <f>C32*'E Balans VL '!I20/100/3.6*1000000</f>
        <v>101.22731092157926</v>
      </c>
      <c r="F10" s="33">
        <f>C32*'E Balans VL '!L20/100/3.6*1000000+C32*'E Balans VL '!N20/100/3.6*1000000</f>
        <v>901.06151257757995</v>
      </c>
      <c r="G10" s="34"/>
      <c r="H10" s="33"/>
      <c r="I10" s="33"/>
      <c r="J10" s="40">
        <f>C32*'E Balans VL '!D20/100/3.6*1000000+C32*'E Balans VL '!E20/100/3.6*1000000</f>
        <v>0</v>
      </c>
      <c r="K10" s="33"/>
      <c r="L10" s="33"/>
      <c r="M10" s="33"/>
      <c r="N10" s="33">
        <f>C32*'E Balans VL '!Y20/100/3.6*1000000</f>
        <v>1493.3491319191678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23.044679946999999</v>
      </c>
      <c r="C12" s="33"/>
      <c r="D12" s="37">
        <f>IF( ISERROR(IND_min_gas_kWh/1000),0,IND_min_gas_kWh/1000)*0.902</f>
        <v>91.09271531712001</v>
      </c>
      <c r="E12" s="33">
        <f>C34*'E Balans VL '!I22/100/3.6*1000000</f>
        <v>0.48964169378492983</v>
      </c>
      <c r="F12" s="33">
        <f>C34*'E Balans VL '!L22/100/3.6*1000000+C34*'E Balans VL '!N22/100/3.6*1000000</f>
        <v>3.7599359223881219</v>
      </c>
      <c r="G12" s="34"/>
      <c r="H12" s="33"/>
      <c r="I12" s="33"/>
      <c r="J12" s="40">
        <f>C34*'E Balans VL '!D22/100/3.6*1000000+C34*'E Balans VL '!E22/100/3.6*1000000</f>
        <v>2.6849202679585387E-2</v>
      </c>
      <c r="K12" s="33"/>
      <c r="L12" s="33"/>
      <c r="M12" s="33"/>
      <c r="N12" s="33">
        <f>C34*'E Balans VL '!Y22/100/3.6*1000000</f>
        <v>0</v>
      </c>
      <c r="O12" s="33"/>
      <c r="P12" s="33"/>
      <c r="R12" s="32"/>
    </row>
    <row r="13" spans="1:18">
      <c r="A13" s="6" t="s">
        <v>39</v>
      </c>
      <c r="B13" s="37">
        <f t="shared" si="0"/>
        <v>3491.6346570999999</v>
      </c>
      <c r="C13" s="33"/>
      <c r="D13" s="37">
        <f>IF( ISERROR(IND_papier_gas_kWh/1000),0,IND_papier_gas_kWh/1000)*0.902</f>
        <v>4318.3512778757995</v>
      </c>
      <c r="E13" s="33">
        <f>C35*'E Balans VL '!I23/100/3.6*1000000</f>
        <v>14.974605265686417</v>
      </c>
      <c r="F13" s="33">
        <f>C35*'E Balans VL '!L23/100/3.6*1000000+C35*'E Balans VL '!N23/100/3.6*1000000</f>
        <v>87.755616276992853</v>
      </c>
      <c r="G13" s="34"/>
      <c r="H13" s="33"/>
      <c r="I13" s="33"/>
      <c r="J13" s="40">
        <f>C35*'E Balans VL '!D23/100/3.6*1000000+C35*'E Balans VL '!E23/100/3.6*1000000</f>
        <v>233.74578946453849</v>
      </c>
      <c r="K13" s="33"/>
      <c r="L13" s="33"/>
      <c r="M13" s="33"/>
      <c r="N13" s="33">
        <f>C35*'E Balans VL '!Y23/100/3.6*1000000</f>
        <v>6355.605418322988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4751.7812359</v>
      </c>
      <c r="C15" s="33"/>
      <c r="D15" s="37">
        <f>IF( ISERROR(IND_rest_gas_kWh/1000),0,IND_rest_gas_kWh/1000)*0.902</f>
        <v>4362.8006650954003</v>
      </c>
      <c r="E15" s="33">
        <f>C37*'E Balans VL '!I15/100/3.6*1000000</f>
        <v>257.89290014819386</v>
      </c>
      <c r="F15" s="33">
        <f>C37*'E Balans VL '!L15/100/3.6*1000000+C37*'E Balans VL '!N15/100/3.6*1000000</f>
        <v>1035.6685956103029</v>
      </c>
      <c r="G15" s="34"/>
      <c r="H15" s="33"/>
      <c r="I15" s="33"/>
      <c r="J15" s="40">
        <f>C37*'E Balans VL '!D15/100/3.6*1000000+C37*'E Balans VL '!E15/100/3.6*1000000</f>
        <v>38.523239552772019</v>
      </c>
      <c r="K15" s="33"/>
      <c r="L15" s="33"/>
      <c r="M15" s="33"/>
      <c r="N15" s="33">
        <f>C37*'E Balans VL '!Y15/100/3.6*1000000</f>
        <v>956.85522301140611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14141.190173417001</v>
      </c>
      <c r="C18" s="21">
        <f>C5+C16</f>
        <v>0</v>
      </c>
      <c r="D18" s="21">
        <f>MAX((D5+D16),0)</f>
        <v>15204.713506691718</v>
      </c>
      <c r="E18" s="21">
        <f>MAX((E5+E16),0)</f>
        <v>829.38866140006917</v>
      </c>
      <c r="F18" s="21">
        <f>MAX((F5+F16),0)</f>
        <v>3603.2136726534745</v>
      </c>
      <c r="G18" s="21"/>
      <c r="H18" s="21"/>
      <c r="I18" s="21"/>
      <c r="J18" s="21">
        <f>MAX((J5+J16),0)</f>
        <v>272.29587821999007</v>
      </c>
      <c r="K18" s="21"/>
      <c r="L18" s="21">
        <f>MAX((L5+L16),0)</f>
        <v>0</v>
      </c>
      <c r="M18" s="21"/>
      <c r="N18" s="21">
        <f>MAX((N5+N16),0)</f>
        <v>9363.9719951370516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0.18712975744103488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2646.2374870790695</v>
      </c>
      <c r="C22" s="23">
        <f ca="1">C18*C20</f>
        <v>0</v>
      </c>
      <c r="D22" s="23">
        <f>D18*D20</f>
        <v>3071.3521283517271</v>
      </c>
      <c r="E22" s="23">
        <f>E18*E20</f>
        <v>188.27122613781572</v>
      </c>
      <c r="F22" s="23">
        <f>F18*F20</f>
        <v>962.05805059847773</v>
      </c>
      <c r="G22" s="23"/>
      <c r="H22" s="23"/>
      <c r="I22" s="23"/>
      <c r="J22" s="23">
        <f>J18*J20</f>
        <v>96.392740889876478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128.57793697</v>
      </c>
      <c r="C30" s="39">
        <f>IF(ISERROR(B30*3.6/1000000/'E Balans VL '!Z18*100),0,B30*3.6/1000000/'E Balans VL '!Z18*100)</f>
        <v>2.724290820562706E-2</v>
      </c>
      <c r="D30" s="237" t="s">
        <v>660</v>
      </c>
    </row>
    <row r="31" spans="1:18">
      <c r="A31" s="6" t="s">
        <v>33</v>
      </c>
      <c r="B31" s="37">
        <f>IF( ISERROR(IND_ander_ele_kWh/1000),0,IND_ander_ele_kWh/1000)</f>
        <v>1764.1751403000001</v>
      </c>
      <c r="C31" s="39">
        <f>IF(ISERROR(B31*3.6/1000000/'E Balans VL '!Z19*100),0,B31*3.6/1000000/'E Balans VL '!Z19*100)</f>
        <v>7.4258137506212241E-2</v>
      </c>
      <c r="D31" s="237" t="s">
        <v>660</v>
      </c>
    </row>
    <row r="32" spans="1:18">
      <c r="A32" s="171" t="s">
        <v>41</v>
      </c>
      <c r="B32" s="37">
        <f>IF( ISERROR(IND_voed_ele_kWh/1000),0,IND_voed_ele_kWh/1000)</f>
        <v>3981.9765232</v>
      </c>
      <c r="C32" s="39">
        <f>IF(ISERROR(B32*3.6/1000000/'E Balans VL '!Z20*100),0,B32*3.6/1000000/'E Balans VL '!Z20*100)</f>
        <v>0.66523423116632685</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23.044679946999999</v>
      </c>
      <c r="C34" s="39">
        <f>IF(ISERROR(B34*3.6/1000000/'E Balans VL '!Z22*100),0,B34*3.6/1000000/'E Balans VL '!Z22*100)</f>
        <v>2.9210374628741492E-3</v>
      </c>
      <c r="D34" s="237" t="s">
        <v>660</v>
      </c>
    </row>
    <row r="35" spans="1:5">
      <c r="A35" s="171" t="s">
        <v>39</v>
      </c>
      <c r="B35" s="37">
        <f>IF( ISERROR(IND_papier_ele_kWh/1000),0,IND_papier_ele_kWh/1000)</f>
        <v>3491.6346570999999</v>
      </c>
      <c r="C35" s="39">
        <f>IF(ISERROR(B35*3.6/1000000/'E Balans VL '!Z22*100),0,B35*3.6/1000000/'E Balans VL '!Z22*100)</f>
        <v>0.44258352311751609</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4751.7812359</v>
      </c>
      <c r="C37" s="39">
        <f>IF(ISERROR(B37*3.6/1000000/'E Balans VL '!Z15*100),0,B37*3.6/1000000/'E Balans VL '!Z15*100)</f>
        <v>3.8362969891448141E-2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1003.2482247400001</v>
      </c>
      <c r="C5" s="17">
        <f>'Eigen informatie GS &amp; warmtenet'!B60</f>
        <v>0</v>
      </c>
      <c r="D5" s="30">
        <f>IF(ISERROR(SUM(LB_lb_gas_kWh,LB_rest_gas_kWh)/1000),0,SUM(LB_lb_gas_kWh,LB_rest_gas_kWh)/1000)*0.902</f>
        <v>1277.49621482318</v>
      </c>
      <c r="E5" s="17">
        <f>B17*'E Balans VL '!I25/3.6*1000000/100</f>
        <v>25.869919688212864</v>
      </c>
      <c r="F5" s="17">
        <f>B17*('E Balans VL '!L25/3.6*1000000+'E Balans VL '!N25/3.6*1000000)/100</f>
        <v>3667.0633207679853</v>
      </c>
      <c r="G5" s="18"/>
      <c r="H5" s="17"/>
      <c r="I5" s="17"/>
      <c r="J5" s="17">
        <f>('E Balans VL '!D25+'E Balans VL '!E25)/3.6*1000000*landbouw!B17/100</f>
        <v>144.4308382141563</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1003.2482247400001</v>
      </c>
      <c r="C8" s="21">
        <f>C5+C6</f>
        <v>0</v>
      </c>
      <c r="D8" s="21">
        <f>MAX((D5+D6),0)</f>
        <v>1277.49621482318</v>
      </c>
      <c r="E8" s="21">
        <f>MAX((E5+E6),0)</f>
        <v>25.869919688212864</v>
      </c>
      <c r="F8" s="21">
        <f>MAX((F5+F6),0)</f>
        <v>3667.0633207679853</v>
      </c>
      <c r="G8" s="21"/>
      <c r="H8" s="21"/>
      <c r="I8" s="21"/>
      <c r="J8" s="21">
        <f>MAX((J5+J6),0)</f>
        <v>144.4308382141563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0.18712975744103488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187.73759694874505</v>
      </c>
      <c r="C12" s="23">
        <f ca="1">C8*C10</f>
        <v>0</v>
      </c>
      <c r="D12" s="23">
        <f>D8*D10</f>
        <v>258.05423539428239</v>
      </c>
      <c r="E12" s="23">
        <f>E8*E10</f>
        <v>5.8724717692243207</v>
      </c>
      <c r="F12" s="23">
        <f>F8*F10</f>
        <v>979.10590664505207</v>
      </c>
      <c r="G12" s="23"/>
      <c r="H12" s="23"/>
      <c r="I12" s="23"/>
      <c r="J12" s="23">
        <f>J8*J10</f>
        <v>51.128516727811324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0.14146464505557246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168.96396061616582</v>
      </c>
      <c r="C26" s="247">
        <f>B26*'GWP N2O_CH4'!B5</f>
        <v>3548.2431729394821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46.534838094921639</v>
      </c>
      <c r="C27" s="247">
        <f>B27*'GWP N2O_CH4'!B5</f>
        <v>977.23159999335439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3.1206767794379542</v>
      </c>
      <c r="C28" s="247">
        <f>B28*'GWP N2O_CH4'!B4</f>
        <v>967.40980162576579</v>
      </c>
      <c r="D28" s="50"/>
    </row>
    <row r="29" spans="1:4">
      <c r="A29" s="41" t="s">
        <v>277</v>
      </c>
      <c r="B29" s="247">
        <f>B34*'ha_N2O bodem landbouw'!B4</f>
        <v>15.916644460294197</v>
      </c>
      <c r="C29" s="247">
        <f>B29*'GWP N2O_CH4'!B4</f>
        <v>4934.1597826912011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3.5821099391866208E-3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2.9795932672046317E-4</v>
      </c>
      <c r="C5" s="463" t="s">
        <v>211</v>
      </c>
      <c r="D5" s="448">
        <f>SUM(D6:D11)</f>
        <v>6.8338005134526607E-4</v>
      </c>
      <c r="E5" s="448">
        <f>SUM(E6:E11)</f>
        <v>2.8812950195720335E-3</v>
      </c>
      <c r="F5" s="461" t="s">
        <v>211</v>
      </c>
      <c r="G5" s="448">
        <f>SUM(G6:G11)</f>
        <v>0.96105483294021532</v>
      </c>
      <c r="H5" s="448">
        <f>SUM(H6:H11)</f>
        <v>0.18649110760032703</v>
      </c>
      <c r="I5" s="463" t="s">
        <v>211</v>
      </c>
      <c r="J5" s="463" t="s">
        <v>211</v>
      </c>
      <c r="K5" s="463" t="s">
        <v>211</v>
      </c>
      <c r="L5" s="463" t="s">
        <v>211</v>
      </c>
      <c r="M5" s="448">
        <f>SUM(M6:M11)</f>
        <v>3.5865525435657193E-2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1.2347559314374878E-4</v>
      </c>
      <c r="C6" s="449"/>
      <c r="D6" s="892">
        <f>vkm_2011_GW_PW*SUMIFS(TableVerdeelsleutelVkm[CNG],TableVerdeelsleutelVkm[Voertuigtype],"Lichte voertuigen")*SUMIFS(TableECFTransport[EnergieConsumptieFactor (PJ per km)],TableECFTransport[Index],CONCATENATE($A6,"_CNG_CNG"))</f>
        <v>2.4534816644111127E-4</v>
      </c>
      <c r="E6" s="892">
        <f>vkm_2011_GW_PW*SUMIFS(TableVerdeelsleutelVkm[LPG],TableVerdeelsleutelVkm[Voertuigtype],"Lichte voertuigen")*SUMIFS(TableECFTransport[EnergieConsumptieFactor (PJ per km)],TableECFTransport[Index],CONCATENATE($A6,"_LPG_LPG"))</f>
        <v>9.6553298567026281E-4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0.22957061462382047</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6.6423129792014812E-2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9.2234384006173314E-3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0.117236487910552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3.7872393176747059E-5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3.6939423533172968E-3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5.2210966924048563E-5</v>
      </c>
      <c r="C8" s="449"/>
      <c r="D8" s="451">
        <f>vkm_2011_NGW_PW*SUMIFS(TableVerdeelsleutelVkm[CNG],TableVerdeelsleutelVkm[Voertuigtype],"Lichte voertuigen")*SUMIFS(TableECFTransport[EnergieConsumptieFactor (PJ per km)],TableECFTransport[Index],CONCATENATE($A8,"_CNG_CNG"))</f>
        <v>1.8369296658671223E-4</v>
      </c>
      <c r="E8" s="451">
        <f>vkm_2011_NGW_PW*SUMIFS(TableVerdeelsleutelVkm[LPG],TableVerdeelsleutelVkm[Voertuigtype],"Lichte voertuigen")*SUMIFS(TableECFTransport[EnergieConsumptieFactor (PJ per km)],TableECFTransport[Index],CONCATENATE($A8,"_LPG_LPG"))</f>
        <v>6.68552636515886E-4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0.14843747900537543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4.8222093605940229E-2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6.1219357568481399E-3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4.1690339847354797E-2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1.2736752320150619E-5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1.3135768939052848E-3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1.2227276665266579E-4</v>
      </c>
      <c r="C10" s="449"/>
      <c r="D10" s="451">
        <f>vkm_2011_SW_PW*SUMIFS(TableVerdeelsleutelVkm[CNG],TableVerdeelsleutelVkm[Voertuigtype],"Lichte voertuigen")*SUMIFS(TableECFTransport[EnergieConsumptieFactor (PJ per km)],TableECFTransport[Index],CONCATENATE($A10,"_CNG_CNG"))</f>
        <v>2.543389183174426E-4</v>
      </c>
      <c r="E10" s="451">
        <f>vkm_2011_SW_PW*SUMIFS(TableVerdeelsleutelVkm[LPG],TableVerdeelsleutelVkm[Voertuigtype],"Lichte voertuigen")*SUMIFS(TableECFTransport[EnergieConsumptieFactor (PJ per km)],TableECFTransport[Index],CONCATENATE($A10,"_LPG_LPG"))</f>
        <v>1.2472093973858846E-3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0.26564128165416662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7.1740115224259812E-2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1.0519093980088892E-2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0.15847862989894596</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5.5159832615291022E-5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4.9935380508802484E-3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82.76647964457311</v>
      </c>
      <c r="C14" s="21"/>
      <c r="D14" s="21">
        <f t="shared" ref="D14:M14" si="0">((D5)*10^9/3600)+D12</f>
        <v>189.82779204035168</v>
      </c>
      <c r="E14" s="21">
        <f t="shared" si="0"/>
        <v>800.35972765889824</v>
      </c>
      <c r="F14" s="21"/>
      <c r="G14" s="21">
        <f t="shared" si="0"/>
        <v>266959.67581672646</v>
      </c>
      <c r="H14" s="21">
        <f t="shared" si="0"/>
        <v>51803.085444535282</v>
      </c>
      <c r="I14" s="21"/>
      <c r="J14" s="21"/>
      <c r="K14" s="21"/>
      <c r="L14" s="21"/>
      <c r="M14" s="21">
        <f t="shared" si="0"/>
        <v>9962.6459543492219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0.18712975744103488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15.488071260137318</v>
      </c>
      <c r="C18" s="23"/>
      <c r="D18" s="23">
        <f t="shared" ref="D18:M18" si="1">D14*D16</f>
        <v>38.345213992151045</v>
      </c>
      <c r="E18" s="23">
        <f t="shared" si="1"/>
        <v>181.6816581785699</v>
      </c>
      <c r="F18" s="23"/>
      <c r="G18" s="23">
        <f t="shared" si="1"/>
        <v>71278.233443065968</v>
      </c>
      <c r="H18" s="23">
        <f t="shared" si="1"/>
        <v>12898.968275689285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1.7255557811497006E-2</v>
      </c>
      <c r="H50" s="321">
        <f t="shared" si="2"/>
        <v>0</v>
      </c>
      <c r="I50" s="321">
        <f t="shared" si="2"/>
        <v>0</v>
      </c>
      <c r="J50" s="321">
        <f t="shared" si="2"/>
        <v>0</v>
      </c>
      <c r="K50" s="321">
        <f t="shared" si="2"/>
        <v>0</v>
      </c>
      <c r="L50" s="321">
        <f t="shared" si="2"/>
        <v>0</v>
      </c>
      <c r="M50" s="321">
        <f t="shared" si="2"/>
        <v>5.3522879948778056E-4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1.7255557811497006E-2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5.3522879948778056E-4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4793.2105031936126</v>
      </c>
      <c r="H54" s="21">
        <f t="shared" si="3"/>
        <v>0</v>
      </c>
      <c r="I54" s="21">
        <f t="shared" si="3"/>
        <v>0</v>
      </c>
      <c r="J54" s="21">
        <f t="shared" si="3"/>
        <v>0</v>
      </c>
      <c r="K54" s="21">
        <f t="shared" si="3"/>
        <v>0</v>
      </c>
      <c r="L54" s="21">
        <f t="shared" si="3"/>
        <v>0</v>
      </c>
      <c r="M54" s="21">
        <f t="shared" si="3"/>
        <v>148.6746665243835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0.18712975744103488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1279.7872043526945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96401.850183820003</v>
      </c>
      <c r="D10" s="1012">
        <f ca="1">tertiair!C16</f>
        <v>0</v>
      </c>
      <c r="E10" s="1012">
        <f ca="1">tertiair!D16</f>
        <v>75422.337582734996</v>
      </c>
      <c r="F10" s="1012">
        <f>tertiair!E16</f>
        <v>2167.4951956157256</v>
      </c>
      <c r="G10" s="1012">
        <f ca="1">tertiair!F16</f>
        <v>21675.88838404409</v>
      </c>
      <c r="H10" s="1012">
        <f>tertiair!G16</f>
        <v>0</v>
      </c>
      <c r="I10" s="1012">
        <f>tertiair!H16</f>
        <v>0</v>
      </c>
      <c r="J10" s="1012">
        <f>tertiair!I16</f>
        <v>0</v>
      </c>
      <c r="K10" s="1012">
        <f>tertiair!J16</f>
        <v>0</v>
      </c>
      <c r="L10" s="1012">
        <f>tertiair!K16</f>
        <v>0</v>
      </c>
      <c r="M10" s="1012">
        <f ca="1">tertiair!L16</f>
        <v>0</v>
      </c>
      <c r="N10" s="1012">
        <f>tertiair!M16</f>
        <v>0</v>
      </c>
      <c r="O10" s="1012">
        <f ca="1">tertiair!N16</f>
        <v>3969.0757339023639</v>
      </c>
      <c r="P10" s="1012">
        <f>tertiair!O16</f>
        <v>3.1266666666666669</v>
      </c>
      <c r="Q10" s="1013">
        <f>tertiair!P16</f>
        <v>19.066666666666666</v>
      </c>
      <c r="R10" s="700">
        <f ca="1">SUM(C10:Q10)</f>
        <v>199658.84041345053</v>
      </c>
      <c r="S10" s="67"/>
    </row>
    <row r="11" spans="1:19" s="473" customFormat="1">
      <c r="A11" s="809" t="s">
        <v>225</v>
      </c>
      <c r="B11" s="814"/>
      <c r="C11" s="1012">
        <f>huishoudens!B8</f>
        <v>51488.177903487791</v>
      </c>
      <c r="D11" s="1012">
        <f>huishoudens!C8</f>
        <v>0</v>
      </c>
      <c r="E11" s="1012">
        <f>huishoudens!D8</f>
        <v>111220.57505086002</v>
      </c>
      <c r="F11" s="1012">
        <f>huishoudens!E8</f>
        <v>6214.5913236651431</v>
      </c>
      <c r="G11" s="1012">
        <f>huishoudens!F8</f>
        <v>55633.99328294961</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13371.097936255395</v>
      </c>
      <c r="P11" s="1012">
        <f>huishoudens!O8</f>
        <v>182.91000000000003</v>
      </c>
      <c r="Q11" s="1013">
        <f>huishoudens!P8</f>
        <v>1334.6666666666667</v>
      </c>
      <c r="R11" s="700">
        <f>SUM(C11:Q11)</f>
        <v>239446.01216388462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14141.190173417001</v>
      </c>
      <c r="D13" s="1012">
        <f>industrie!C18</f>
        <v>0</v>
      </c>
      <c r="E13" s="1012">
        <f>industrie!D18</f>
        <v>15204.713506691718</v>
      </c>
      <c r="F13" s="1012">
        <f>industrie!E18</f>
        <v>829.38866140006917</v>
      </c>
      <c r="G13" s="1012">
        <f>industrie!F18</f>
        <v>3603.2136726534745</v>
      </c>
      <c r="H13" s="1012">
        <f>industrie!G18</f>
        <v>0</v>
      </c>
      <c r="I13" s="1012">
        <f>industrie!H18</f>
        <v>0</v>
      </c>
      <c r="J13" s="1012">
        <f>industrie!I18</f>
        <v>0</v>
      </c>
      <c r="K13" s="1012">
        <f>industrie!J18</f>
        <v>272.29587821999007</v>
      </c>
      <c r="L13" s="1012">
        <f>industrie!K18</f>
        <v>0</v>
      </c>
      <c r="M13" s="1012">
        <f>industrie!L18</f>
        <v>0</v>
      </c>
      <c r="N13" s="1012">
        <f>industrie!M18</f>
        <v>0</v>
      </c>
      <c r="O13" s="1012">
        <f>industrie!N18</f>
        <v>9363.9719951370516</v>
      </c>
      <c r="P13" s="1012">
        <f>industrie!O18</f>
        <v>0</v>
      </c>
      <c r="Q13" s="1013">
        <f>industrie!P18</f>
        <v>0</v>
      </c>
      <c r="R13" s="700">
        <f>SUM(C13:Q13)</f>
        <v>43414.77388751931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162031.2182607248</v>
      </c>
      <c r="D16" s="732">
        <f t="shared" ref="D16:R16" ca="1" si="0">SUM(D9:D15)</f>
        <v>0</v>
      </c>
      <c r="E16" s="732">
        <f t="shared" ca="1" si="0"/>
        <v>201847.62614028671</v>
      </c>
      <c r="F16" s="732">
        <f t="shared" si="0"/>
        <v>9211.4751806809381</v>
      </c>
      <c r="G16" s="732">
        <f t="shared" ca="1" si="0"/>
        <v>80913.095339647174</v>
      </c>
      <c r="H16" s="732">
        <f t="shared" si="0"/>
        <v>0</v>
      </c>
      <c r="I16" s="732">
        <f t="shared" si="0"/>
        <v>0</v>
      </c>
      <c r="J16" s="732">
        <f t="shared" si="0"/>
        <v>0</v>
      </c>
      <c r="K16" s="732">
        <f t="shared" si="0"/>
        <v>272.29587821999007</v>
      </c>
      <c r="L16" s="732">
        <f t="shared" si="0"/>
        <v>0</v>
      </c>
      <c r="M16" s="732">
        <f t="shared" ca="1" si="0"/>
        <v>0</v>
      </c>
      <c r="N16" s="732">
        <f t="shared" si="0"/>
        <v>0</v>
      </c>
      <c r="O16" s="732">
        <f t="shared" ca="1" si="0"/>
        <v>26704.145665294811</v>
      </c>
      <c r="P16" s="732">
        <f t="shared" si="0"/>
        <v>186.03666666666669</v>
      </c>
      <c r="Q16" s="732">
        <f t="shared" si="0"/>
        <v>1353.7333333333333</v>
      </c>
      <c r="R16" s="732">
        <f t="shared" ca="1" si="0"/>
        <v>482519.62646485446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4793.2105031936126</v>
      </c>
      <c r="I19" s="1012">
        <f>transport!H54</f>
        <v>0</v>
      </c>
      <c r="J19" s="1012">
        <f>transport!I54</f>
        <v>0</v>
      </c>
      <c r="K19" s="1012">
        <f>transport!J54</f>
        <v>0</v>
      </c>
      <c r="L19" s="1012">
        <f>transport!K54</f>
        <v>0</v>
      </c>
      <c r="M19" s="1012">
        <f>transport!L54</f>
        <v>0</v>
      </c>
      <c r="N19" s="1012">
        <f>transport!M54</f>
        <v>148.6746665243835</v>
      </c>
      <c r="O19" s="1012">
        <f>transport!N54</f>
        <v>0</v>
      </c>
      <c r="P19" s="1012">
        <f>transport!O54</f>
        <v>0</v>
      </c>
      <c r="Q19" s="1013">
        <f>transport!P54</f>
        <v>0</v>
      </c>
      <c r="R19" s="700">
        <f>SUM(C19:Q19)</f>
        <v>4941.8851697179962</v>
      </c>
      <c r="S19" s="67"/>
    </row>
    <row r="20" spans="1:19" s="473" customFormat="1">
      <c r="A20" s="809" t="s">
        <v>307</v>
      </c>
      <c r="B20" s="814"/>
      <c r="C20" s="1012">
        <f>transport!B14</f>
        <v>82.76647964457311</v>
      </c>
      <c r="D20" s="1012">
        <f>transport!C14</f>
        <v>0</v>
      </c>
      <c r="E20" s="1012">
        <f>transport!D14</f>
        <v>189.82779204035168</v>
      </c>
      <c r="F20" s="1012">
        <f>transport!E14</f>
        <v>800.35972765889824</v>
      </c>
      <c r="G20" s="1012">
        <f>transport!F14</f>
        <v>0</v>
      </c>
      <c r="H20" s="1012">
        <f>transport!G14</f>
        <v>266959.67581672646</v>
      </c>
      <c r="I20" s="1012">
        <f>transport!H14</f>
        <v>51803.085444535282</v>
      </c>
      <c r="J20" s="1012">
        <f>transport!I14</f>
        <v>0</v>
      </c>
      <c r="K20" s="1012">
        <f>transport!J14</f>
        <v>0</v>
      </c>
      <c r="L20" s="1012">
        <f>transport!K14</f>
        <v>0</v>
      </c>
      <c r="M20" s="1012">
        <f>transport!L14</f>
        <v>0</v>
      </c>
      <c r="N20" s="1012">
        <f>transport!M14</f>
        <v>9962.6459543492219</v>
      </c>
      <c r="O20" s="1012">
        <f>transport!N14</f>
        <v>0</v>
      </c>
      <c r="P20" s="1012">
        <f>transport!O14</f>
        <v>0</v>
      </c>
      <c r="Q20" s="1013">
        <f>transport!P14</f>
        <v>0</v>
      </c>
      <c r="R20" s="700">
        <f>SUM(C20:Q20)</f>
        <v>329798.36121495481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82.76647964457311</v>
      </c>
      <c r="D22" s="812">
        <f t="shared" ref="D22:R22" si="1">SUM(D18:D21)</f>
        <v>0</v>
      </c>
      <c r="E22" s="812">
        <f t="shared" si="1"/>
        <v>189.82779204035168</v>
      </c>
      <c r="F22" s="812">
        <f t="shared" si="1"/>
        <v>800.35972765889824</v>
      </c>
      <c r="G22" s="812">
        <f t="shared" si="1"/>
        <v>0</v>
      </c>
      <c r="H22" s="812">
        <f t="shared" si="1"/>
        <v>271752.88631992007</v>
      </c>
      <c r="I22" s="812">
        <f t="shared" si="1"/>
        <v>51803.085444535282</v>
      </c>
      <c r="J22" s="812">
        <f t="shared" si="1"/>
        <v>0</v>
      </c>
      <c r="K22" s="812">
        <f t="shared" si="1"/>
        <v>0</v>
      </c>
      <c r="L22" s="812">
        <f t="shared" si="1"/>
        <v>0</v>
      </c>
      <c r="M22" s="812">
        <f t="shared" si="1"/>
        <v>0</v>
      </c>
      <c r="N22" s="812">
        <f t="shared" si="1"/>
        <v>10111.320620873605</v>
      </c>
      <c r="O22" s="812">
        <f t="shared" si="1"/>
        <v>0</v>
      </c>
      <c r="P22" s="812">
        <f t="shared" si="1"/>
        <v>0</v>
      </c>
      <c r="Q22" s="812">
        <f t="shared" si="1"/>
        <v>0</v>
      </c>
      <c r="R22" s="812">
        <f t="shared" si="1"/>
        <v>334740.24638467282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1003.2482247400001</v>
      </c>
      <c r="D24" s="1012">
        <f>+landbouw!C8</f>
        <v>0</v>
      </c>
      <c r="E24" s="1012">
        <f>+landbouw!D8</f>
        <v>1277.49621482318</v>
      </c>
      <c r="F24" s="1012">
        <f>+landbouw!E8</f>
        <v>25.869919688212864</v>
      </c>
      <c r="G24" s="1012">
        <f>+landbouw!F8</f>
        <v>3667.0633207679853</v>
      </c>
      <c r="H24" s="1012">
        <f>+landbouw!G8</f>
        <v>0</v>
      </c>
      <c r="I24" s="1012">
        <f>+landbouw!H8</f>
        <v>0</v>
      </c>
      <c r="J24" s="1012">
        <f>+landbouw!I8</f>
        <v>0</v>
      </c>
      <c r="K24" s="1012">
        <f>+landbouw!J8</f>
        <v>144.4308382141563</v>
      </c>
      <c r="L24" s="1012">
        <f>+landbouw!K8</f>
        <v>0</v>
      </c>
      <c r="M24" s="1012">
        <f>+landbouw!L8</f>
        <v>0</v>
      </c>
      <c r="N24" s="1012">
        <f>+landbouw!M8</f>
        <v>0</v>
      </c>
      <c r="O24" s="1012">
        <f>+landbouw!N8</f>
        <v>0</v>
      </c>
      <c r="P24" s="1012">
        <f>+landbouw!O8</f>
        <v>0</v>
      </c>
      <c r="Q24" s="1013">
        <f>+landbouw!P8</f>
        <v>0</v>
      </c>
      <c r="R24" s="700">
        <f>SUM(C24:Q24)</f>
        <v>6118.1085182335346</v>
      </c>
      <c r="S24" s="67"/>
    </row>
    <row r="25" spans="1:19" s="473" customFormat="1" ht="15" thickBot="1">
      <c r="A25" s="831" t="s">
        <v>848</v>
      </c>
      <c r="B25" s="1015"/>
      <c r="C25" s="1016">
        <f>IF(Onbekend_ele_kWh="---",0,Onbekend_ele_kWh)/1000+IF(REST_rest_ele_kWh="---",0,REST_rest_ele_kWh)/1000</f>
        <v>3899.3784931999999</v>
      </c>
      <c r="D25" s="1016"/>
      <c r="E25" s="1016">
        <f>IF(onbekend_gas_kWh="---",0,onbekend_gas_kWh)/1000+IF(REST_rest_gas_kWh="---",0,REST_rest_gas_kWh)/1000</f>
        <v>6877.7567126000004</v>
      </c>
      <c r="F25" s="1016"/>
      <c r="G25" s="1016"/>
      <c r="H25" s="1016"/>
      <c r="I25" s="1016"/>
      <c r="J25" s="1016"/>
      <c r="K25" s="1016"/>
      <c r="L25" s="1016"/>
      <c r="M25" s="1016"/>
      <c r="N25" s="1016"/>
      <c r="O25" s="1016"/>
      <c r="P25" s="1016"/>
      <c r="Q25" s="1017"/>
      <c r="R25" s="700">
        <f>SUM(C25:Q25)</f>
        <v>10777.135205800001</v>
      </c>
      <c r="S25" s="67"/>
    </row>
    <row r="26" spans="1:19" s="473" customFormat="1" ht="15.75" thickBot="1">
      <c r="A26" s="705" t="s">
        <v>849</v>
      </c>
      <c r="B26" s="817"/>
      <c r="C26" s="812">
        <f>SUM(C24:C25)</f>
        <v>4902.6267179400002</v>
      </c>
      <c r="D26" s="812">
        <f t="shared" ref="D26:R26" si="2">SUM(D24:D25)</f>
        <v>0</v>
      </c>
      <c r="E26" s="812">
        <f t="shared" si="2"/>
        <v>8155.2529274231802</v>
      </c>
      <c r="F26" s="812">
        <f t="shared" si="2"/>
        <v>25.869919688212864</v>
      </c>
      <c r="G26" s="812">
        <f t="shared" si="2"/>
        <v>3667.0633207679853</v>
      </c>
      <c r="H26" s="812">
        <f t="shared" si="2"/>
        <v>0</v>
      </c>
      <c r="I26" s="812">
        <f t="shared" si="2"/>
        <v>0</v>
      </c>
      <c r="J26" s="812">
        <f t="shared" si="2"/>
        <v>0</v>
      </c>
      <c r="K26" s="812">
        <f t="shared" si="2"/>
        <v>144.4308382141563</v>
      </c>
      <c r="L26" s="812">
        <f t="shared" si="2"/>
        <v>0</v>
      </c>
      <c r="M26" s="812">
        <f t="shared" si="2"/>
        <v>0</v>
      </c>
      <c r="N26" s="812">
        <f t="shared" si="2"/>
        <v>0</v>
      </c>
      <c r="O26" s="812">
        <f t="shared" si="2"/>
        <v>0</v>
      </c>
      <c r="P26" s="812">
        <f t="shared" si="2"/>
        <v>0</v>
      </c>
      <c r="Q26" s="812">
        <f t="shared" si="2"/>
        <v>0</v>
      </c>
      <c r="R26" s="812">
        <f t="shared" si="2"/>
        <v>16895.243724033535</v>
      </c>
      <c r="S26" s="67"/>
    </row>
    <row r="27" spans="1:19" s="473" customFormat="1" ht="17.25" thickTop="1" thickBot="1">
      <c r="A27" s="706" t="s">
        <v>116</v>
      </c>
      <c r="B27" s="805"/>
      <c r="C27" s="707">
        <f ca="1">C22+C16+C26</f>
        <v>167016.61145830937</v>
      </c>
      <c r="D27" s="707">
        <f t="shared" ref="D27:R27" ca="1" si="3">D22+D16+D26</f>
        <v>0</v>
      </c>
      <c r="E27" s="707">
        <f t="shared" ca="1" si="3"/>
        <v>210192.70685975027</v>
      </c>
      <c r="F27" s="707">
        <f t="shared" si="3"/>
        <v>10037.704828028051</v>
      </c>
      <c r="G27" s="707">
        <f t="shared" ca="1" si="3"/>
        <v>84580.158660415153</v>
      </c>
      <c r="H27" s="707">
        <f t="shared" si="3"/>
        <v>271752.88631992007</v>
      </c>
      <c r="I27" s="707">
        <f t="shared" si="3"/>
        <v>51803.085444535282</v>
      </c>
      <c r="J27" s="707">
        <f t="shared" si="3"/>
        <v>0</v>
      </c>
      <c r="K27" s="707">
        <f t="shared" si="3"/>
        <v>416.7267164341464</v>
      </c>
      <c r="L27" s="707">
        <f t="shared" si="3"/>
        <v>0</v>
      </c>
      <c r="M27" s="707">
        <f t="shared" ca="1" si="3"/>
        <v>0</v>
      </c>
      <c r="N27" s="707">
        <f t="shared" si="3"/>
        <v>10111.320620873605</v>
      </c>
      <c r="O27" s="707">
        <f t="shared" ca="1" si="3"/>
        <v>26704.145665294811</v>
      </c>
      <c r="P27" s="707">
        <f t="shared" si="3"/>
        <v>186.03666666666669</v>
      </c>
      <c r="Q27" s="707">
        <f t="shared" si="3"/>
        <v>1353.7333333333333</v>
      </c>
      <c r="R27" s="707">
        <f t="shared" ca="1" si="3"/>
        <v>834155.11657356087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18039.654841765223</v>
      </c>
      <c r="D40" s="1012">
        <f ca="1">tertiair!C20</f>
        <v>0</v>
      </c>
      <c r="E40" s="1012">
        <f ca="1">tertiair!D20</f>
        <v>15235.31219171247</v>
      </c>
      <c r="F40" s="1012">
        <f>tertiair!E20</f>
        <v>492.02140940476971</v>
      </c>
      <c r="G40" s="1012">
        <f ca="1">tertiair!F20</f>
        <v>5787.4621985397725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39554.450641422234</v>
      </c>
    </row>
    <row r="41" spans="1:18">
      <c r="A41" s="822" t="s">
        <v>225</v>
      </c>
      <c r="B41" s="829"/>
      <c r="C41" s="1012">
        <f ca="1">huishoudens!B12</f>
        <v>9634.9702421605216</v>
      </c>
      <c r="D41" s="1012">
        <f ca="1">huishoudens!C12</f>
        <v>0</v>
      </c>
      <c r="E41" s="1012">
        <f>huishoudens!D12</f>
        <v>22466.556160273725</v>
      </c>
      <c r="F41" s="1012">
        <f>huishoudens!E12</f>
        <v>1410.7122304719876</v>
      </c>
      <c r="G41" s="1012">
        <f>huishoudens!F12</f>
        <v>14854.276206547547</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48366.514839453783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2646.2374870790695</v>
      </c>
      <c r="D43" s="1012">
        <f ca="1">industrie!C22</f>
        <v>0</v>
      </c>
      <c r="E43" s="1012">
        <f>industrie!D22</f>
        <v>3071.3521283517271</v>
      </c>
      <c r="F43" s="1012">
        <f>industrie!E22</f>
        <v>188.27122613781572</v>
      </c>
      <c r="G43" s="1012">
        <f>industrie!F22</f>
        <v>962.05805059847773</v>
      </c>
      <c r="H43" s="1012">
        <f>industrie!G22</f>
        <v>0</v>
      </c>
      <c r="I43" s="1012">
        <f>industrie!H22</f>
        <v>0</v>
      </c>
      <c r="J43" s="1012">
        <f>industrie!I22</f>
        <v>0</v>
      </c>
      <c r="K43" s="1012">
        <f>industrie!J22</f>
        <v>96.392740889876478</v>
      </c>
      <c r="L43" s="1012">
        <f>industrie!K22</f>
        <v>0</v>
      </c>
      <c r="M43" s="1012">
        <f>industrie!L22</f>
        <v>0</v>
      </c>
      <c r="N43" s="1012">
        <f>industrie!M22</f>
        <v>0</v>
      </c>
      <c r="O43" s="1012">
        <f>industrie!N22</f>
        <v>0</v>
      </c>
      <c r="P43" s="1012">
        <f>industrie!O22</f>
        <v>0</v>
      </c>
      <c r="Q43" s="774">
        <f>industrie!P22</f>
        <v>0</v>
      </c>
      <c r="R43" s="849">
        <f t="shared" ca="1" si="4"/>
        <v>6964.3116330569665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30320.862571004815</v>
      </c>
      <c r="D46" s="732">
        <f t="shared" ref="D46:Q46" ca="1" si="5">SUM(D39:D45)</f>
        <v>0</v>
      </c>
      <c r="E46" s="732">
        <f t="shared" ca="1" si="5"/>
        <v>40773.220480337921</v>
      </c>
      <c r="F46" s="732">
        <f t="shared" si="5"/>
        <v>2091.0048660145731</v>
      </c>
      <c r="G46" s="732">
        <f t="shared" ca="1" si="5"/>
        <v>21603.796455685795</v>
      </c>
      <c r="H46" s="732">
        <f t="shared" si="5"/>
        <v>0</v>
      </c>
      <c r="I46" s="732">
        <f t="shared" si="5"/>
        <v>0</v>
      </c>
      <c r="J46" s="732">
        <f t="shared" si="5"/>
        <v>0</v>
      </c>
      <c r="K46" s="732">
        <f t="shared" si="5"/>
        <v>96.392740889876478</v>
      </c>
      <c r="L46" s="732">
        <f t="shared" si="5"/>
        <v>0</v>
      </c>
      <c r="M46" s="732">
        <f t="shared" ca="1" si="5"/>
        <v>0</v>
      </c>
      <c r="N46" s="732">
        <f t="shared" si="5"/>
        <v>0</v>
      </c>
      <c r="O46" s="732">
        <f t="shared" ca="1" si="5"/>
        <v>0</v>
      </c>
      <c r="P46" s="732">
        <f t="shared" si="5"/>
        <v>0</v>
      </c>
      <c r="Q46" s="732">
        <f t="shared" si="5"/>
        <v>0</v>
      </c>
      <c r="R46" s="732">
        <f ca="1">SUM(R39:R45)</f>
        <v>94885.277113932971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1279.7872043526945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1279.7872043526945</v>
      </c>
    </row>
    <row r="50" spans="1:18">
      <c r="A50" s="825" t="s">
        <v>307</v>
      </c>
      <c r="B50" s="835"/>
      <c r="C50" s="703">
        <f ca="1">transport!B18</f>
        <v>15.488071260137318</v>
      </c>
      <c r="D50" s="703">
        <f>transport!C18</f>
        <v>0</v>
      </c>
      <c r="E50" s="703">
        <f>transport!D18</f>
        <v>38.345213992151045</v>
      </c>
      <c r="F50" s="703">
        <f>transport!E18</f>
        <v>181.6816581785699</v>
      </c>
      <c r="G50" s="703">
        <f>transport!F18</f>
        <v>0</v>
      </c>
      <c r="H50" s="703">
        <f>transport!G18</f>
        <v>71278.233443065968</v>
      </c>
      <c r="I50" s="703">
        <f>transport!H18</f>
        <v>12898.968275689285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84412.716662186111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15.488071260137318</v>
      </c>
      <c r="D52" s="732">
        <f t="shared" ref="D52:Q52" ca="1" si="6">SUM(D48:D51)</f>
        <v>0</v>
      </c>
      <c r="E52" s="732">
        <f t="shared" si="6"/>
        <v>38.345213992151045</v>
      </c>
      <c r="F52" s="732">
        <f t="shared" si="6"/>
        <v>181.6816581785699</v>
      </c>
      <c r="G52" s="732">
        <f t="shared" si="6"/>
        <v>0</v>
      </c>
      <c r="H52" s="732">
        <f t="shared" si="6"/>
        <v>72558.020647418656</v>
      </c>
      <c r="I52" s="732">
        <f t="shared" si="6"/>
        <v>12898.968275689285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85692.503866538798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187.73759694874505</v>
      </c>
      <c r="D54" s="703">
        <f ca="1">+landbouw!C12</f>
        <v>0</v>
      </c>
      <c r="E54" s="703">
        <f>+landbouw!D12</f>
        <v>258.05423539428239</v>
      </c>
      <c r="F54" s="703">
        <f>+landbouw!E12</f>
        <v>5.8724717692243207</v>
      </c>
      <c r="G54" s="703">
        <f>+landbouw!F12</f>
        <v>979.10590664505207</v>
      </c>
      <c r="H54" s="703">
        <f>+landbouw!G12</f>
        <v>0</v>
      </c>
      <c r="I54" s="703">
        <f>+landbouw!H12</f>
        <v>0</v>
      </c>
      <c r="J54" s="703">
        <f>+landbouw!I12</f>
        <v>0</v>
      </c>
      <c r="K54" s="703">
        <f>+landbouw!J12</f>
        <v>51.128516727811324</v>
      </c>
      <c r="L54" s="703">
        <f>+landbouw!K12</f>
        <v>0</v>
      </c>
      <c r="M54" s="703">
        <f>+landbouw!L12</f>
        <v>0</v>
      </c>
      <c r="N54" s="703">
        <f>+landbouw!M12</f>
        <v>0</v>
      </c>
      <c r="O54" s="703">
        <f>+landbouw!N12</f>
        <v>0</v>
      </c>
      <c r="P54" s="703">
        <f>+landbouw!O12</f>
        <v>0</v>
      </c>
      <c r="Q54" s="704">
        <f>+landbouw!P12</f>
        <v>0</v>
      </c>
      <c r="R54" s="731">
        <f ca="1">SUM(C54:Q54)</f>
        <v>1481.8987274851152</v>
      </c>
    </row>
    <row r="55" spans="1:18" ht="15" thickBot="1">
      <c r="A55" s="825" t="s">
        <v>848</v>
      </c>
      <c r="B55" s="835"/>
      <c r="C55" s="703">
        <f ca="1">C25*'EF ele_warmte'!B12</f>
        <v>729.6897516033041</v>
      </c>
      <c r="D55" s="703"/>
      <c r="E55" s="703">
        <f>E25*EF_CO2_aardgas</f>
        <v>1389.3068559452001</v>
      </c>
      <c r="F55" s="703"/>
      <c r="G55" s="703"/>
      <c r="H55" s="703"/>
      <c r="I55" s="703"/>
      <c r="J55" s="703"/>
      <c r="K55" s="703"/>
      <c r="L55" s="703"/>
      <c r="M55" s="703"/>
      <c r="N55" s="703"/>
      <c r="O55" s="703"/>
      <c r="P55" s="703"/>
      <c r="Q55" s="704"/>
      <c r="R55" s="731">
        <f ca="1">SUM(C55:Q55)</f>
        <v>2118.9966075485045</v>
      </c>
    </row>
    <row r="56" spans="1:18" ht="15.75" thickBot="1">
      <c r="A56" s="823" t="s">
        <v>849</v>
      </c>
      <c r="B56" s="836"/>
      <c r="C56" s="732">
        <f ca="1">SUM(C54:C55)</f>
        <v>917.42734855204912</v>
      </c>
      <c r="D56" s="732">
        <f t="shared" ref="D56:Q56" ca="1" si="7">SUM(D54:D55)</f>
        <v>0</v>
      </c>
      <c r="E56" s="732">
        <f t="shared" si="7"/>
        <v>1647.3610913394825</v>
      </c>
      <c r="F56" s="732">
        <f t="shared" si="7"/>
        <v>5.8724717692243207</v>
      </c>
      <c r="G56" s="732">
        <f t="shared" si="7"/>
        <v>979.10590664505207</v>
      </c>
      <c r="H56" s="732">
        <f t="shared" si="7"/>
        <v>0</v>
      </c>
      <c r="I56" s="732">
        <f t="shared" si="7"/>
        <v>0</v>
      </c>
      <c r="J56" s="732">
        <f t="shared" si="7"/>
        <v>0</v>
      </c>
      <c r="K56" s="732">
        <f t="shared" si="7"/>
        <v>51.128516727811324</v>
      </c>
      <c r="L56" s="732">
        <f t="shared" si="7"/>
        <v>0</v>
      </c>
      <c r="M56" s="732">
        <f t="shared" si="7"/>
        <v>0</v>
      </c>
      <c r="N56" s="732">
        <f t="shared" si="7"/>
        <v>0</v>
      </c>
      <c r="O56" s="732">
        <f t="shared" si="7"/>
        <v>0</v>
      </c>
      <c r="P56" s="732">
        <f t="shared" si="7"/>
        <v>0</v>
      </c>
      <c r="Q56" s="733">
        <f t="shared" si="7"/>
        <v>0</v>
      </c>
      <c r="R56" s="734">
        <f ca="1">SUM(R54:R55)</f>
        <v>3600.8953350336196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31253.777990817001</v>
      </c>
      <c r="D61" s="740">
        <f t="shared" ref="D61:Q61" ca="1" si="8">D46+D52+D56</f>
        <v>0</v>
      </c>
      <c r="E61" s="740">
        <f t="shared" ca="1" si="8"/>
        <v>42458.926785669551</v>
      </c>
      <c r="F61" s="740">
        <f t="shared" si="8"/>
        <v>2278.5589959623671</v>
      </c>
      <c r="G61" s="740">
        <f t="shared" ca="1" si="8"/>
        <v>22582.902362330846</v>
      </c>
      <c r="H61" s="740">
        <f t="shared" si="8"/>
        <v>72558.020647418656</v>
      </c>
      <c r="I61" s="740">
        <f t="shared" si="8"/>
        <v>12898.968275689285</v>
      </c>
      <c r="J61" s="740">
        <f t="shared" si="8"/>
        <v>0</v>
      </c>
      <c r="K61" s="740">
        <f t="shared" si="8"/>
        <v>147.52125761768781</v>
      </c>
      <c r="L61" s="740">
        <f t="shared" si="8"/>
        <v>0</v>
      </c>
      <c r="M61" s="740">
        <f t="shared" ca="1" si="8"/>
        <v>0</v>
      </c>
      <c r="N61" s="740">
        <f t="shared" si="8"/>
        <v>0</v>
      </c>
      <c r="O61" s="740">
        <f t="shared" ca="1" si="8"/>
        <v>0</v>
      </c>
      <c r="P61" s="740">
        <f t="shared" si="8"/>
        <v>0</v>
      </c>
      <c r="Q61" s="740">
        <f t="shared" si="8"/>
        <v>0</v>
      </c>
      <c r="R61" s="740">
        <f ca="1">R46+R52+R56</f>
        <v>184178.67631550538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0.18712975744103488</v>
      </c>
      <c r="D63" s="781">
        <f t="shared" ca="1" si="9"/>
        <v>0</v>
      </c>
      <c r="E63" s="1023">
        <f t="shared" ca="1" si="9"/>
        <v>0.20199999999999999</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14110.810360178579</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11485.991184931685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25596.801545110262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14110.810360178579</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11485.991184931685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25596.801545110262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51488.177903487791</v>
      </c>
      <c r="C4" s="477">
        <f>huishoudens!C8</f>
        <v>0</v>
      </c>
      <c r="D4" s="477">
        <f>huishoudens!D8</f>
        <v>111220.57505086002</v>
      </c>
      <c r="E4" s="477">
        <f>huishoudens!E8</f>
        <v>6214.5913236651431</v>
      </c>
      <c r="F4" s="477">
        <f>huishoudens!F8</f>
        <v>55633.99328294961</v>
      </c>
      <c r="G4" s="477">
        <f>huishoudens!G8</f>
        <v>0</v>
      </c>
      <c r="H4" s="477">
        <f>huishoudens!H8</f>
        <v>0</v>
      </c>
      <c r="I4" s="477">
        <f>huishoudens!I8</f>
        <v>0</v>
      </c>
      <c r="J4" s="477">
        <f>huishoudens!J8</f>
        <v>0</v>
      </c>
      <c r="K4" s="477">
        <f>huishoudens!K8</f>
        <v>0</v>
      </c>
      <c r="L4" s="477">
        <f>huishoudens!L8</f>
        <v>0</v>
      </c>
      <c r="M4" s="477">
        <f>huishoudens!M8</f>
        <v>0</v>
      </c>
      <c r="N4" s="477">
        <f>huishoudens!N8</f>
        <v>13371.097936255395</v>
      </c>
      <c r="O4" s="477">
        <f>huishoudens!O8</f>
        <v>182.91000000000003</v>
      </c>
      <c r="P4" s="478">
        <f>huishoudens!P8</f>
        <v>1334.6666666666667</v>
      </c>
      <c r="Q4" s="479">
        <f>SUM(B4:P4)</f>
        <v>239446.01216388462</v>
      </c>
    </row>
    <row r="5" spans="1:17">
      <c r="A5" s="476" t="s">
        <v>156</v>
      </c>
      <c r="B5" s="477">
        <f ca="1">tertiair!B16</f>
        <v>94382.441183820003</v>
      </c>
      <c r="C5" s="477">
        <f ca="1">tertiair!C16</f>
        <v>0</v>
      </c>
      <c r="D5" s="477">
        <f ca="1">tertiair!D16</f>
        <v>75422.337582734996</v>
      </c>
      <c r="E5" s="477">
        <f>tertiair!E16</f>
        <v>2167.4951956157256</v>
      </c>
      <c r="F5" s="477">
        <f ca="1">tertiair!F16</f>
        <v>21675.88838404409</v>
      </c>
      <c r="G5" s="477">
        <f>tertiair!G16</f>
        <v>0</v>
      </c>
      <c r="H5" s="477">
        <f>tertiair!H16</f>
        <v>0</v>
      </c>
      <c r="I5" s="477">
        <f>tertiair!I16</f>
        <v>0</v>
      </c>
      <c r="J5" s="477">
        <f>tertiair!J16</f>
        <v>0</v>
      </c>
      <c r="K5" s="477">
        <f>tertiair!K16</f>
        <v>0</v>
      </c>
      <c r="L5" s="477">
        <f ca="1">tertiair!L16</f>
        <v>0</v>
      </c>
      <c r="M5" s="477">
        <f>tertiair!M16</f>
        <v>0</v>
      </c>
      <c r="N5" s="477">
        <f ca="1">tertiair!N16</f>
        <v>3969.0757339023639</v>
      </c>
      <c r="O5" s="477">
        <f>tertiair!O16</f>
        <v>3.1266666666666669</v>
      </c>
      <c r="P5" s="478">
        <f>tertiair!P16</f>
        <v>19.066666666666666</v>
      </c>
      <c r="Q5" s="476">
        <f t="shared" ref="Q5:Q14" ca="1" si="0">SUM(B5:P5)</f>
        <v>197639.43141345054</v>
      </c>
    </row>
    <row r="6" spans="1:17">
      <c r="A6" s="476" t="s">
        <v>194</v>
      </c>
      <c r="B6" s="477">
        <f>'openbare verlichting'!B8</f>
        <v>2019.4090000000001</v>
      </c>
      <c r="C6" s="477"/>
      <c r="D6" s="477"/>
      <c r="E6" s="477"/>
      <c r="F6" s="477"/>
      <c r="G6" s="477"/>
      <c r="H6" s="477"/>
      <c r="I6" s="477"/>
      <c r="J6" s="477"/>
      <c r="K6" s="477"/>
      <c r="L6" s="477"/>
      <c r="M6" s="477"/>
      <c r="N6" s="477"/>
      <c r="O6" s="477"/>
      <c r="P6" s="478"/>
      <c r="Q6" s="476">
        <f t="shared" si="0"/>
        <v>2019.4090000000001</v>
      </c>
    </row>
    <row r="7" spans="1:17">
      <c r="A7" s="476" t="s">
        <v>112</v>
      </c>
      <c r="B7" s="477">
        <f>landbouw!B8</f>
        <v>1003.2482247400001</v>
      </c>
      <c r="C7" s="477">
        <f>landbouw!C8</f>
        <v>0</v>
      </c>
      <c r="D7" s="477">
        <f>landbouw!D8</f>
        <v>1277.49621482318</v>
      </c>
      <c r="E7" s="477">
        <f>landbouw!E8</f>
        <v>25.869919688212864</v>
      </c>
      <c r="F7" s="477">
        <f>landbouw!F8</f>
        <v>3667.0633207679853</v>
      </c>
      <c r="G7" s="477">
        <f>landbouw!G8</f>
        <v>0</v>
      </c>
      <c r="H7" s="477">
        <f>landbouw!H8</f>
        <v>0</v>
      </c>
      <c r="I7" s="477">
        <f>landbouw!I8</f>
        <v>0</v>
      </c>
      <c r="J7" s="477">
        <f>landbouw!J8</f>
        <v>144.4308382141563</v>
      </c>
      <c r="K7" s="477">
        <f>landbouw!K8</f>
        <v>0</v>
      </c>
      <c r="L7" s="477">
        <f>landbouw!L8</f>
        <v>0</v>
      </c>
      <c r="M7" s="477">
        <f>landbouw!M8</f>
        <v>0</v>
      </c>
      <c r="N7" s="477">
        <f>landbouw!N8</f>
        <v>0</v>
      </c>
      <c r="O7" s="477">
        <f>landbouw!O8</f>
        <v>0</v>
      </c>
      <c r="P7" s="478">
        <f>landbouw!P8</f>
        <v>0</v>
      </c>
      <c r="Q7" s="476">
        <f t="shared" si="0"/>
        <v>6118.1085182335346</v>
      </c>
    </row>
    <row r="8" spans="1:17">
      <c r="A8" s="476" t="s">
        <v>638</v>
      </c>
      <c r="B8" s="477">
        <f>industrie!B18</f>
        <v>14141.190173417001</v>
      </c>
      <c r="C8" s="477">
        <f>industrie!C18</f>
        <v>0</v>
      </c>
      <c r="D8" s="477">
        <f>industrie!D18</f>
        <v>15204.713506691718</v>
      </c>
      <c r="E8" s="477">
        <f>industrie!E18</f>
        <v>829.38866140006917</v>
      </c>
      <c r="F8" s="477">
        <f>industrie!F18</f>
        <v>3603.2136726534745</v>
      </c>
      <c r="G8" s="477">
        <f>industrie!G18</f>
        <v>0</v>
      </c>
      <c r="H8" s="477">
        <f>industrie!H18</f>
        <v>0</v>
      </c>
      <c r="I8" s="477">
        <f>industrie!I18</f>
        <v>0</v>
      </c>
      <c r="J8" s="477">
        <f>industrie!J18</f>
        <v>272.29587821999007</v>
      </c>
      <c r="K8" s="477">
        <f>industrie!K18</f>
        <v>0</v>
      </c>
      <c r="L8" s="477">
        <f>industrie!L18</f>
        <v>0</v>
      </c>
      <c r="M8" s="477">
        <f>industrie!M18</f>
        <v>0</v>
      </c>
      <c r="N8" s="477">
        <f>industrie!N18</f>
        <v>9363.9719951370516</v>
      </c>
      <c r="O8" s="477">
        <f>industrie!O18</f>
        <v>0</v>
      </c>
      <c r="P8" s="478">
        <f>industrie!P18</f>
        <v>0</v>
      </c>
      <c r="Q8" s="476">
        <f t="shared" si="0"/>
        <v>43414.77388751931</v>
      </c>
    </row>
    <row r="9" spans="1:17" s="482" customFormat="1">
      <c r="A9" s="480" t="s">
        <v>564</v>
      </c>
      <c r="B9" s="481">
        <f>transport!B14</f>
        <v>82.76647964457311</v>
      </c>
      <c r="C9" s="481">
        <f>transport!C14</f>
        <v>0</v>
      </c>
      <c r="D9" s="481">
        <f>transport!D14</f>
        <v>189.82779204035168</v>
      </c>
      <c r="E9" s="481">
        <f>transport!E14</f>
        <v>800.35972765889824</v>
      </c>
      <c r="F9" s="481">
        <f>transport!F14</f>
        <v>0</v>
      </c>
      <c r="G9" s="481">
        <f>transport!G14</f>
        <v>266959.67581672646</v>
      </c>
      <c r="H9" s="481">
        <f>transport!H14</f>
        <v>51803.085444535282</v>
      </c>
      <c r="I9" s="481">
        <f>transport!I14</f>
        <v>0</v>
      </c>
      <c r="J9" s="481">
        <f>transport!J14</f>
        <v>0</v>
      </c>
      <c r="K9" s="481">
        <f>transport!K14</f>
        <v>0</v>
      </c>
      <c r="L9" s="481">
        <f>transport!L14</f>
        <v>0</v>
      </c>
      <c r="M9" s="481">
        <f>transport!M14</f>
        <v>9962.6459543492219</v>
      </c>
      <c r="N9" s="481">
        <f>transport!N14</f>
        <v>0</v>
      </c>
      <c r="O9" s="481">
        <f>transport!O14</f>
        <v>0</v>
      </c>
      <c r="P9" s="481">
        <f>transport!P14</f>
        <v>0</v>
      </c>
      <c r="Q9" s="480">
        <f>SUM(B9:P9)</f>
        <v>329798.36121495481</v>
      </c>
    </row>
    <row r="10" spans="1:17">
      <c r="A10" s="476" t="s">
        <v>554</v>
      </c>
      <c r="B10" s="477">
        <f>transport!B54</f>
        <v>0</v>
      </c>
      <c r="C10" s="477">
        <f>transport!C54</f>
        <v>0</v>
      </c>
      <c r="D10" s="477">
        <f>transport!D54</f>
        <v>0</v>
      </c>
      <c r="E10" s="477">
        <f>transport!E54</f>
        <v>0</v>
      </c>
      <c r="F10" s="477">
        <f>transport!F54</f>
        <v>0</v>
      </c>
      <c r="G10" s="477">
        <f>transport!G54</f>
        <v>4793.2105031936126</v>
      </c>
      <c r="H10" s="477">
        <f>transport!H54</f>
        <v>0</v>
      </c>
      <c r="I10" s="477">
        <f>transport!I54</f>
        <v>0</v>
      </c>
      <c r="J10" s="477">
        <f>transport!J54</f>
        <v>0</v>
      </c>
      <c r="K10" s="477">
        <f>transport!K54</f>
        <v>0</v>
      </c>
      <c r="L10" s="477">
        <f>transport!L54</f>
        <v>0</v>
      </c>
      <c r="M10" s="477">
        <f>transport!M54</f>
        <v>148.6746665243835</v>
      </c>
      <c r="N10" s="477">
        <f>transport!N54</f>
        <v>0</v>
      </c>
      <c r="O10" s="477">
        <f>transport!O54</f>
        <v>0</v>
      </c>
      <c r="P10" s="478">
        <f>transport!P54</f>
        <v>0</v>
      </c>
      <c r="Q10" s="476">
        <f t="shared" si="0"/>
        <v>4941.8851697179962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3899.3784931999999</v>
      </c>
      <c r="C14" s="484"/>
      <c r="D14" s="484">
        <f>'SEAP template'!E25</f>
        <v>6877.7567126000004</v>
      </c>
      <c r="E14" s="484"/>
      <c r="F14" s="484"/>
      <c r="G14" s="484"/>
      <c r="H14" s="484"/>
      <c r="I14" s="484"/>
      <c r="J14" s="484"/>
      <c r="K14" s="484"/>
      <c r="L14" s="484"/>
      <c r="M14" s="484"/>
      <c r="N14" s="484"/>
      <c r="O14" s="484"/>
      <c r="P14" s="485"/>
      <c r="Q14" s="476">
        <f t="shared" si="0"/>
        <v>10777.135205800001</v>
      </c>
    </row>
    <row r="15" spans="1:17" s="486" customFormat="1">
      <c r="A15" s="1038" t="s">
        <v>558</v>
      </c>
      <c r="B15" s="978">
        <f ca="1">SUM(B4:B14)</f>
        <v>167016.6114583094</v>
      </c>
      <c r="C15" s="978">
        <f t="shared" ref="C15:Q15" ca="1" si="1">SUM(C4:C14)</f>
        <v>0</v>
      </c>
      <c r="D15" s="978">
        <f t="shared" ca="1" si="1"/>
        <v>210192.70685975027</v>
      </c>
      <c r="E15" s="978">
        <f t="shared" si="1"/>
        <v>10037.704828028051</v>
      </c>
      <c r="F15" s="978">
        <f t="shared" ca="1" si="1"/>
        <v>84580.158660415153</v>
      </c>
      <c r="G15" s="978">
        <f t="shared" si="1"/>
        <v>271752.88631992007</v>
      </c>
      <c r="H15" s="978">
        <f t="shared" si="1"/>
        <v>51803.085444535282</v>
      </c>
      <c r="I15" s="978">
        <f t="shared" si="1"/>
        <v>0</v>
      </c>
      <c r="J15" s="978">
        <f t="shared" si="1"/>
        <v>416.7267164341464</v>
      </c>
      <c r="K15" s="978">
        <f t="shared" si="1"/>
        <v>0</v>
      </c>
      <c r="L15" s="978">
        <f t="shared" ca="1" si="1"/>
        <v>0</v>
      </c>
      <c r="M15" s="978">
        <f t="shared" si="1"/>
        <v>10111.320620873605</v>
      </c>
      <c r="N15" s="978">
        <f t="shared" ca="1" si="1"/>
        <v>26704.145665294811</v>
      </c>
      <c r="O15" s="978">
        <f t="shared" si="1"/>
        <v>186.03666666666669</v>
      </c>
      <c r="P15" s="978">
        <f t="shared" si="1"/>
        <v>1353.7333333333333</v>
      </c>
      <c r="Q15" s="978">
        <f t="shared" ca="1" si="1"/>
        <v>834155.11657356075</v>
      </c>
    </row>
    <row r="17" spans="1:17">
      <c r="A17" s="487" t="s">
        <v>559</v>
      </c>
      <c r="B17" s="786">
        <f ca="1">huishoudens!B10</f>
        <v>0.18712975744103488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9634.9702421605216</v>
      </c>
      <c r="C22" s="477">
        <f t="shared" ref="C22:C32" ca="1" si="3">C4*$C$17</f>
        <v>0</v>
      </c>
      <c r="D22" s="477">
        <f t="shared" ref="D22:D32" si="4">D4*$D$17</f>
        <v>22466.556160273725</v>
      </c>
      <c r="E22" s="477">
        <f t="shared" ref="E22:E32" si="5">E4*$E$17</f>
        <v>1410.7122304719876</v>
      </c>
      <c r="F22" s="477">
        <f t="shared" ref="F22:F32" si="6">F4*$F$17</f>
        <v>14854.276206547547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48366.514839453783</v>
      </c>
    </row>
    <row r="23" spans="1:17">
      <c r="A23" s="476" t="s">
        <v>156</v>
      </c>
      <c r="B23" s="477">
        <f t="shared" ca="1" si="2"/>
        <v>17661.76332542098</v>
      </c>
      <c r="C23" s="477">
        <f t="shared" ca="1" si="3"/>
        <v>0</v>
      </c>
      <c r="D23" s="477">
        <f t="shared" ca="1" si="4"/>
        <v>15235.31219171247</v>
      </c>
      <c r="E23" s="477">
        <f t="shared" si="5"/>
        <v>492.02140940476971</v>
      </c>
      <c r="F23" s="477">
        <f t="shared" ca="1" si="6"/>
        <v>5787.4621985397725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39176.559125077991</v>
      </c>
    </row>
    <row r="24" spans="1:17">
      <c r="A24" s="476" t="s">
        <v>194</v>
      </c>
      <c r="B24" s="477">
        <f t="shared" ca="1" si="2"/>
        <v>377.89151634424286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377.89151634424286</v>
      </c>
    </row>
    <row r="25" spans="1:17">
      <c r="A25" s="476" t="s">
        <v>112</v>
      </c>
      <c r="B25" s="477">
        <f t="shared" ca="1" si="2"/>
        <v>187.73759694874505</v>
      </c>
      <c r="C25" s="477">
        <f t="shared" ca="1" si="3"/>
        <v>0</v>
      </c>
      <c r="D25" s="477">
        <f t="shared" si="4"/>
        <v>258.05423539428239</v>
      </c>
      <c r="E25" s="477">
        <f t="shared" si="5"/>
        <v>5.8724717692243207</v>
      </c>
      <c r="F25" s="477">
        <f t="shared" si="6"/>
        <v>979.10590664505207</v>
      </c>
      <c r="G25" s="477">
        <f t="shared" si="7"/>
        <v>0</v>
      </c>
      <c r="H25" s="477">
        <f t="shared" si="8"/>
        <v>0</v>
      </c>
      <c r="I25" s="477">
        <f t="shared" si="9"/>
        <v>0</v>
      </c>
      <c r="J25" s="477">
        <f t="shared" si="10"/>
        <v>51.128516727811324</v>
      </c>
      <c r="K25" s="477">
        <f t="shared" si="11"/>
        <v>0</v>
      </c>
      <c r="L25" s="477">
        <f t="shared" si="12"/>
        <v>0</v>
      </c>
      <c r="M25" s="477">
        <f t="shared" si="13"/>
        <v>0</v>
      </c>
      <c r="N25" s="477">
        <f t="shared" si="14"/>
        <v>0</v>
      </c>
      <c r="O25" s="477">
        <f t="shared" si="15"/>
        <v>0</v>
      </c>
      <c r="P25" s="478">
        <f t="shared" si="16"/>
        <v>0</v>
      </c>
      <c r="Q25" s="476">
        <f t="shared" ca="1" si="17"/>
        <v>1481.8987274851152</v>
      </c>
    </row>
    <row r="26" spans="1:17">
      <c r="A26" s="476" t="s">
        <v>638</v>
      </c>
      <c r="B26" s="477">
        <f t="shared" ca="1" si="2"/>
        <v>2646.2374870790695</v>
      </c>
      <c r="C26" s="477">
        <f t="shared" ca="1" si="3"/>
        <v>0</v>
      </c>
      <c r="D26" s="477">
        <f t="shared" si="4"/>
        <v>3071.3521283517271</v>
      </c>
      <c r="E26" s="477">
        <f t="shared" si="5"/>
        <v>188.27122613781572</v>
      </c>
      <c r="F26" s="477">
        <f t="shared" si="6"/>
        <v>962.05805059847773</v>
      </c>
      <c r="G26" s="477">
        <f t="shared" si="7"/>
        <v>0</v>
      </c>
      <c r="H26" s="477">
        <f t="shared" si="8"/>
        <v>0</v>
      </c>
      <c r="I26" s="477">
        <f t="shared" si="9"/>
        <v>0</v>
      </c>
      <c r="J26" s="477">
        <f t="shared" si="10"/>
        <v>96.392740889876478</v>
      </c>
      <c r="K26" s="477">
        <f t="shared" si="11"/>
        <v>0</v>
      </c>
      <c r="L26" s="477">
        <f t="shared" si="12"/>
        <v>0</v>
      </c>
      <c r="M26" s="477">
        <f t="shared" si="13"/>
        <v>0</v>
      </c>
      <c r="N26" s="477">
        <f t="shared" si="14"/>
        <v>0</v>
      </c>
      <c r="O26" s="477">
        <f t="shared" si="15"/>
        <v>0</v>
      </c>
      <c r="P26" s="478">
        <f t="shared" si="16"/>
        <v>0</v>
      </c>
      <c r="Q26" s="476">
        <f t="shared" ca="1" si="17"/>
        <v>6964.3116330569665</v>
      </c>
    </row>
    <row r="27" spans="1:17" s="482" customFormat="1">
      <c r="A27" s="480" t="s">
        <v>564</v>
      </c>
      <c r="B27" s="780">
        <f t="shared" ca="1" si="2"/>
        <v>15.488071260137318</v>
      </c>
      <c r="C27" s="481">
        <f t="shared" ca="1" si="3"/>
        <v>0</v>
      </c>
      <c r="D27" s="481">
        <f t="shared" si="4"/>
        <v>38.345213992151045</v>
      </c>
      <c r="E27" s="481">
        <f t="shared" si="5"/>
        <v>181.6816581785699</v>
      </c>
      <c r="F27" s="481">
        <f t="shared" si="6"/>
        <v>0</v>
      </c>
      <c r="G27" s="481">
        <f t="shared" si="7"/>
        <v>71278.233443065968</v>
      </c>
      <c r="H27" s="481">
        <f t="shared" si="8"/>
        <v>12898.968275689285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84412.716662186111</v>
      </c>
    </row>
    <row r="28" spans="1:17">
      <c r="A28" s="476" t="s">
        <v>554</v>
      </c>
      <c r="B28" s="477">
        <f t="shared" ca="1" si="2"/>
        <v>0</v>
      </c>
      <c r="C28" s="477">
        <f t="shared" ca="1" si="3"/>
        <v>0</v>
      </c>
      <c r="D28" s="477">
        <f t="shared" si="4"/>
        <v>0</v>
      </c>
      <c r="E28" s="477">
        <f t="shared" si="5"/>
        <v>0</v>
      </c>
      <c r="F28" s="477">
        <f t="shared" si="6"/>
        <v>0</v>
      </c>
      <c r="G28" s="477">
        <f t="shared" si="7"/>
        <v>1279.7872043526945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1279.7872043526945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729.6897516033041</v>
      </c>
      <c r="C32" s="477">
        <f t="shared" ca="1" si="3"/>
        <v>0</v>
      </c>
      <c r="D32" s="477">
        <f t="shared" si="4"/>
        <v>1389.3068559452001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2118.9966075485045</v>
      </c>
    </row>
    <row r="33" spans="1:17" s="486" customFormat="1">
      <c r="A33" s="1038" t="s">
        <v>558</v>
      </c>
      <c r="B33" s="978">
        <f ca="1">SUM(B22:B32)</f>
        <v>31253.777990816998</v>
      </c>
      <c r="C33" s="978">
        <f t="shared" ref="C33:Q33" ca="1" si="18">SUM(C22:C32)</f>
        <v>0</v>
      </c>
      <c r="D33" s="978">
        <f t="shared" ca="1" si="18"/>
        <v>42458.926785669551</v>
      </c>
      <c r="E33" s="978">
        <f t="shared" si="18"/>
        <v>2278.5589959623671</v>
      </c>
      <c r="F33" s="978">
        <f t="shared" ca="1" si="18"/>
        <v>22582.902362330846</v>
      </c>
      <c r="G33" s="978">
        <f t="shared" si="18"/>
        <v>72558.020647418656</v>
      </c>
      <c r="H33" s="978">
        <f t="shared" si="18"/>
        <v>12898.968275689285</v>
      </c>
      <c r="I33" s="978">
        <f t="shared" si="18"/>
        <v>0</v>
      </c>
      <c r="J33" s="978">
        <f t="shared" si="18"/>
        <v>147.52125761768781</v>
      </c>
      <c r="K33" s="978">
        <f t="shared" si="18"/>
        <v>0</v>
      </c>
      <c r="L33" s="978">
        <f t="shared" ca="1" si="18"/>
        <v>0</v>
      </c>
      <c r="M33" s="978">
        <f t="shared" si="18"/>
        <v>0</v>
      </c>
      <c r="N33" s="978">
        <f t="shared" ca="1" si="18"/>
        <v>0</v>
      </c>
      <c r="O33" s="978">
        <f t="shared" si="18"/>
        <v>0</v>
      </c>
      <c r="P33" s="978">
        <f t="shared" si="18"/>
        <v>0</v>
      </c>
      <c r="Q33" s="978">
        <f t="shared" ca="1" si="18"/>
        <v>184178.67631550538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14110.810360178579</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11485.991184931685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25596.801545110262</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0.18712975744103488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0.18712975744103488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2019-08-12T08:23:06Z</dcterms:modified>
</cp:coreProperties>
</file>