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<sst xmlns="http://schemas.openxmlformats.org/spreadsheetml/2006/main" count="2419" uniqueCount="908">
  <si>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</si>
  <si>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</si>
  <si>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</si>
  <si>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</si>
  <si>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</si>
  <si>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</si>
  <si>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</si>
  <si>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</si>
  <si>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</si>
  <si>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</si>
  <si>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</si>
  <si>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</si>
  <si>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</si>
  <si>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</si>
  <si>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</si>
  <si>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</si>
  <si>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</si>
  <si>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</si>
  <si>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</si>
  <si>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</si>
  <si>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</si>
  <si>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</si>
  <si>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</si>
  <si>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</si>
  <si>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</si>
  <si>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</si>
  <si>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</si>
  <si>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</si>
  <si>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</si>
  <si>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</si>
  <si>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</si>
  <si>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</si>
  <si>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</si>
  <si>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</si>
  <si>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</si>
  <si>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</si>
  <si>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</si>
  <si>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</si>
  <si>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</si>
  <si>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</si>
  <si>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</si>
  <si>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</si>
  <si>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</si>
  <si>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</si>
  <si>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</si>
  <si>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</si>
  <si>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</si>
  <si>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</si>
  <si>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</si>
  <si>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</si>
  <si>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</si>
  <si>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</si>
  <si>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</si>
  <si>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</si>
  <si>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</si>
  <si>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</si>
  <si>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</si>
  <si>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</si>
  <si>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</si>
  <si>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</si>
  <si>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</si>
  <si>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</si>
  <si>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</si>
  <si>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</si>
  <si>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</si>
  <si>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</si>
  <si>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</si>
  <si>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</si>
  <si>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</si>
  <si>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</si>
  <si>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</si>
  <si>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</si>
  <si>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</si>
  <si>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</si>
  <si>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</si>
  <si>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</si>
  <si>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</si>
  <si>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</si>
  <si>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</si>
  <si>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</si>
  <si>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</si>
  <si>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</si>
  <si>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</si>
  <si>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</si>
  <si>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</si>
  <si>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</si>
  <si>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</si>
  <si>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</si>
  <si>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</si>
  <si>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</si>
  <si>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</si>
  <si>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</si>
  <si>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</si>
  <si>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</si>
  <si>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</si>
  <si>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</si>
  <si>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</si>
  <si>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</si>
  <si>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</si>
  <si>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</si>
  <si>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</si>
  <si>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</si>
  <si>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</si>
  <si>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</si>
  <si>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</si>
  <si>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</si>
  <si>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</si>
  <si>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</si>
  <si>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</si>
  <si>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</si>
  <si>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</si>
  <si>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</si>
  <si>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</si>
  <si>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</si>
  <si>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</si>
  <si>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</si>
  <si>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</si>
  <si>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</si>
  <si>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</si>
  <si>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</si>
  <si>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</si>
  <si>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</si>
  <si>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</si>
  <si>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</si>
  <si>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</si>
  <si>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</si>
  <si>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</si>
  <si>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</si>
  <si>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</si>
  <si>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</si>
  <si>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</si>
  <si>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</si>
  <si>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</si>
  <si>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</si>
  <si>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</si>
  <si>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</si>
  <si>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</si>
  <si>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</si>
  <si>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</si>
  <si>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</si>
  <si>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</si>
  <si>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</si>
  <si>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</si>
  <si>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</si>
  <si>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</si>
  <si>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</si>
  <si>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</si>
  <si>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</si>
  <si>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</si>
  <si>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</si>
  <si>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</si>
  <si>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</si>
  <si>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</si>
  <si>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</si>
  <si>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</si>
  <si>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</si>
  <si>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</si>
  <si>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</si>
  <si>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</si>
  <si>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</si>
  <si>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</si>
  <si>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</si>
  <si>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</si>
  <si>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</si>
  <si>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</si>
  <si>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</si>
  <si>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</si>
  <si>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</si>
  <si>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</si>
  <si>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</si>
  <si>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</si>
  <si>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</si>
  <si>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</si>
  <si>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</si>
  <si>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</si>
  <si>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</si>
  <si>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</si>
  <si>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</si>
  <si>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</si>
  <si>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</si>
  <si>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</si>
  <si>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</si>
  <si>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</si>
  <si>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</si>
  <si>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</si>
  <si>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</si>
  <si>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</si>
  <si>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</si>
  <si>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</si>
  <si>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</si>
  <si>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</si>
  <si>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</si>
  <si>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</si>
  <si>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</si>
  <si>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</si>
  <si>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</si>
  <si>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</si>
  <si>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</si>
  <si>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</si>
  <si>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</si>
  <si>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</si>
  <si>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</si>
  <si>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</si>
  <si>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</si>
  <si>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</si>
  <si>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</si>
  <si>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</si>
  <si>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</si>
  <si>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</si>
  <si>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</si>
  <si>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</si>
  <si>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</si>
  <si>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</si>
  <si>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</si>
  <si>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</si>
  <si>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</si>
  <si>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</si>
  <si>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</si>
  <si>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</si>
  <si>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</si>
  <si>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</si>
  <si>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</si>
  <si>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</si>
  <si>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</si>
  <si>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</si>
  <si>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</si>
  <si>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</si>
  <si>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</si>
  <si>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</si>
  <si>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</si>
  <si>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</si>
  <si>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</si>
  <si>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</si>
  <si>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</si>
  <si>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</si>
  <si>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</si>
  <si>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</si>
  <si>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</si>
  <si>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</si>
  <si>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</si>
  <si>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</si>
  <si>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</si>
  <si>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</si>
  <si>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</si>
  <si>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</si>
  <si>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</si>
  <si>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</si>
  <si>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</si>
  <si>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</si>
  <si>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</si>
  <si>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</si>
  <si>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</si>
  <si>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</si>
  <si>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</si>
  <si>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</si>
  <si>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</si>
  <si>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</si>
  <si>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</si>
  <si>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</si>
  <si>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</si>
  <si>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</si>
  <si>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</si>
  <si>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</si>
  <si>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</si>
  <si>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</si>
  <si>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</si>
  <si>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</si>
  <si>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</si>
  <si>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</si>
  <si>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</si>
  <si>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</si>
  <si>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</si>
  <si>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</si>
  <si>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</si>
  <si>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</si>
  <si>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</si>
  <si>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</si>
  <si>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</si>
  <si>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</si>
  <si>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</si>
  <si>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</si>
  <si>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</si>
  <si>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</si>
  <si>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</si>
  <si>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</si>
  <si>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</si>
  <si>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</si>
  <si>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</si>
  <si>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</si>
  <si>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</si>
  <si>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</si>
  <si>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</si>
  <si>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</si>
  <si>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</si>
  <si>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</si>
  <si>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</si>
  <si>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</si>
  <si>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</si>
  <si>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</si>
  <si>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</si>
  <si>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</si>
  <si>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</si>
  <si>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</si>
  <si>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</si>
  <si>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</si>
  <si>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</si>
  <si>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</si>
  <si>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</si>
  <si>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</si>
  <si>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</si>
  <si>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</si>
  <si>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</si>
  <si>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</si>
  <si>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</si>
  <si>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</si>
  <si>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</si>
  <si>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</si>
  <si>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</si>
  <si>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</si>
  <si>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</si>
  <si>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</si>
  <si>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</si>
  <si>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</si>
  <si>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</si>
  <si>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</si>
  <si>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</si>
  <si>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</si>
  <si>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</si>
  <si>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</si>
  <si>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</si>
  <si>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</si>
  <si>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</si>
  <si>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</si>
  <si>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</si>
  <si>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</si>
  <si>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</si>
  <si>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</si>
  <si>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</si>
  <si>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</si>
  <si>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</si>
  <si>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</si>
  <si>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</si>
  <si>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</si>
  <si>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</si>
  <si>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</si>
  <si>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</si>
  <si>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</si>
  <si>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</si>
  <si>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</si>
  <si>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</si>
  <si>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</si>
  <si>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</si>
  <si>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</si>
  <si>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</si>
  <si>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</si>
  <si>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</si>
  <si>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</si>
  <si>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</si>
  <si>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</si>
  <si>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</si>
  <si>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</si>
  <si>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</si>
  <si>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</si>
  <si>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</si>
  <si>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</si>
  <si>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</si>
  <si>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</si>
  <si>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</si>
  <si>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</si>
  <si>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</si>
  <si>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</si>
  <si>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</si>
  <si>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</si>
  <si>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</si>
  <si>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</si>
  <si>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</si>
  <si>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</si>
  <si>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</si>
  <si>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</si>
  <si>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</si>
  <si>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</si>
  <si>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</si>
  <si>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</si>
  <si>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</si>
  <si>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</si>
  <si>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</si>
  <si>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</si>
  <si>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</si>
  <si>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</si>
  <si>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</si>
  <si>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</si>
  <si>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</si>
  <si>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</si>
  <si>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</si>
  <si>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</si>
  <si>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</si>
  <si>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</si>
  <si>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</si>
  <si>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</si>
  <si>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</si>
  <si>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</si>
  <si>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</si>
  <si>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</si>
  <si>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</si>
  <si>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</si>
  <si>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</si>
  <si>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</si>
  <si>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</si>
  <si>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</si>
  <si>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</si>
  <si>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</si>
  <si>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</si>
  <si>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</si>
  <si>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</si>
  <si>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</si>
  <si>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</si>
  <si>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</si>
  <si>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</si>
  <si>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</si>
  <si>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</si>
  <si>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</si>
  <si>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</si>
  <si>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</si>
  <si>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</si>
  <si>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</si>
  <si>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</si>
  <si>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</si>
  <si>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</si>
  <si>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</si>
  <si>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</si>
  <si>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</si>
  <si>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</si>
  <si>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</si>
  <si>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</si>
  <si>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</si>
  <si>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</si>
  <si>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</si>
  <si>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</si>
  <si>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</si>
  <si>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</si>
  <si>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</si>
  <si>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</si>
  <si>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</si>
  <si>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</si>
  <si>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</si>
  <si>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</si>
  <si>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</si>
  <si>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</si>
  <si>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</si>
  <si>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</si>
  <si>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</si>
  <si>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</si>
  <si>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</si>
  <si>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</si>
  <si>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</si>
  <si>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</si>
  <si>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</si>
  <si>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</si>
  <si>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</si>
  <si>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</si>
  <si>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</si>
  <si>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</si>
  <si>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</si>
  <si>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</si>
  <si>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</si>
  <si>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</si>
  <si>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</si>
  <si>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</si>
  <si>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</si>
  <si>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</si>
  <si>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</si>
  <si>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</si>
  <si>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</si>
  <si>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</si>
  <si>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</si>
  <si>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</si>
  <si>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</si>
  <si>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</si>
  <si>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</si>
  <si>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</si>
  <si>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</si>
  <si>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</si>
  <si>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</si>
  <si>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</si>
  <si>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</si>
  <si>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</si>
  <si>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</si>
  <si>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</si>
  <si>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</si>
  <si>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</si>
  <si>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</si>
  <si>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</si>
  <si>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</si>
  <si>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</si>
  <si>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</si>
  <si>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</si>
  <si>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</si>
  <si>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</si>
  <si>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</si>
  <si>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</si>
  <si>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</si>
  <si>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</si>
  <si>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</si>
  <si>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</si>
  <si>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</si>
  <si>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</si>
  <si>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</si>
  <si>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</si>
  <si>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</si>
  <si>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</si>
  <si>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</si>
  <si>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</si>
  <si>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</si>
  <si>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</si>
  <si>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</si>
  <si>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</si>
  <si>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</si>
  <si>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</si>
  <si>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</si>
  <si>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</si>
  <si>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</si>
  <si>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</si>
  <si>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</si>
  <si>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</si>
  <si>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</si>
  <si>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</si>
  <si>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</si>
  <si>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</si>
  <si>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</si>
  <si>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</si>
  <si>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</si>
  <si>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</si>
  <si>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</si>
  <si>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</si>
  <si>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</si>
  <si>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</si>
  <si>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</si>
  <si>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</si>
  <si>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</si>
  <si>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</si>
  <si>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</si>
  <si>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</si>
  <si>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</si>
  <si>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</si>
  <si>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</si>
  <si>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</si>
  <si>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</si>
  <si>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</si>
  <si>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</si>
  <si>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</si>
  <si>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</si>
  <si>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</si>
  <si>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</si>
  <si>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</si>
  <si>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</si>
  <si>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</si>
  <si>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</si>
  <si>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</si>
  <si>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</si>
  <si>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</si>
  <si>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</si>
  <si>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</si>
  <si>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</si>
  <si>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</si>
  <si>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</si>
  <si>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</si>
  <si>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</si>
  <si>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</si>
  <si>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</si>
  <si>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</si>
  <si>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</si>
  <si>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</si>
  <si>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</si>
  <si>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</si>
  <si>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</si>
  <si>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</si>
  <si>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</si>
  <si>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</si>
  <si>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</si>
  <si>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</si>
  <si>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</si>
  <si>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</si>
  <si>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</si>
  <si>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</si>
  <si>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</si>
  <si>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</si>
  <si>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</si>
  <si>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</si>
  <si>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</si>
  <si>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</si>
  <si>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</si>
  <si>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</si>
  <si>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</si>
  <si>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</si>
  <si>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</si>
  <si>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</si>
  <si>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</si>
  <si>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</si>
  <si>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</si>
  <si>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</si>
  <si>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</si>
  <si>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</si>
  <si>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</si>
  <si>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</si>
  <si>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</si>
  <si>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</si>
  <si>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</si>
  <si>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</si>
  <si>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</si>
  <si>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</si>
  <si>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</si>
  <si>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</si>
  <si>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</si>
  <si>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</si>
  <si>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</si>
  <si>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</si>
  <si>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</si>
  <si>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</si>
  <si>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</si>
  <si>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</si>
  <si>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</si>
  <si>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</si>
  <si>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</si>
  <si>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</si>
  <si>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</si>
  <si>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</si>
  <si>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</si>
  <si>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</si>
  <si>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</si>
  <si>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</si>
  <si>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</si>
  <si>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</si>
  <si>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</si>
  <si>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</si>
  <si>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</si>
  <si>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</si>
  <si>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</si>
  <si>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</si>
  <si>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</si>
  <si>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</si>
  <si>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</si>
  <si>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</si>
  <si>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</si>
  <si>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</si>
  <si>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</si>
  <si>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</si>
  <si>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</si>
  <si>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</si>
  <si>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</si>
  <si>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</si>
  <si>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</si>
  <si>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</si>
  <si>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</si>
  <si>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</si>
  <si>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</si>
  <si>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</si>
  <si>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</si>
  <si>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</si>
  <si>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</si>
  <si>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</si>
  <si>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</si>
  <si>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</si>
  <si>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</si>
  <si>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</si>
  <si>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</si>
  <si>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</si>
  <si>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</si>
  <si>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</si>
  <si>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</si>
  <si>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</si>
  <si>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</si>
  <si>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</si>
  <si>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</si>
  <si>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</si>
  <si>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</si>
  <si>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</si>
  <si>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</si>
  <si>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</si>
  <si>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</si>
  <si>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</si>
  <si>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</si>
  <si>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</si>
  <si>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</si>
  <si>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</si>
  <si>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</si>
  <si>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</si>
  <si>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</si>
  <si>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</si>
  <si>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</si>
  <si>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</si>
  <si>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</si>
  <si>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</si>
  <si>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</si>
  <si>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</si>
  <si>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</si>
  <si>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</si>
  <si>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</si>
  <si>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</si>
  <si>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</si>
  <si>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</si>
  <si>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</si>
  <si>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</si>
  <si>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</si>
  <si>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</si>
  <si>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</si>
  <si>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</si>
  <si>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</si>
  <si>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</si>
  <si>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</si>
  <si>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</si>
  <si>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</si>
  <si>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</si>
  <si>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</si>
  <si>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</si>
  <si>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</si>
  <si>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</si>
  <si>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</si>
  <si>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</si>
  <si>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</si>
  <si>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</si>
  <si>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</si>
  <si>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</si>
  <si>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</si>
  <si>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</si>
  <si>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</si>
  <si>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</si>
  <si>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</si>
  <si>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</si>
  <si>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</si>
  <si>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</si>
  <si>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</si>
  <si>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</si>
  <si>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</si>
  <si>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</si>
  <si>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</si>
  <si>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</si>
  <si>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</si>
  <si>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</si>
  <si>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</si>
  <si>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</si>
  <si>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</si>
  <si>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</si>
  <si>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</si>
  <si>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</si>
  <si>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</si>
  <si>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</si>
  <si>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</si>
  <si>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</si>
  <si>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</si>
  <si>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</si>
  <si>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</si>
  <si>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</si>
  <si>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</si>
  <si>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</si>
  <si>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</si>
  <si>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</si>
  <si>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</si>
  <si>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</si>
  <si>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</si>
  <si>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</si>
  <si>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</si>
  <si>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</si>
  <si>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</si>
  <si>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</si>
  <si>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</si>
  <si>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</si>
  <si>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</si>
  <si>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</si>
  <si>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</si>
  <si>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</si>
  <si>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</si>
  <si>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</si>
  <si>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</si>
  <si>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</si>
  <si>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</si>
  <si>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</si>
  <si>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</si>
  <si>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</si>
  <si>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</si>
  <si>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</si>
  <si>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</si>
  <si>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</si>
  <si>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</si>
  <si>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</si>
  <si>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</si>
  <si>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</si>
  <si>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</si>
  <si>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</si>
  <si>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</si>
  <si>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</si>
  <si>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</si>
  <si>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</si>
  <si>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</si>
  <si>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</si>
  <si>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</si>
  <si>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</si>
  <si>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</si>
  <si>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</si>
  <si>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</si>
  <si>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</si>
  <si>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</si>
  <si>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</si>
  <si>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</si>
  <si>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</si>
  <si>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</si>
  <si>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</si>
  <si>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</si>
  <si>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</si>
  <si>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</si>
  <si>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</si>
  <si>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</si>
  <si>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</si>
  <si>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</si>
  <si>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</si>
  <si>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</si>
  <si>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</si>
  <si>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</si>
  <si>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</si>
  <si>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</si>
  <si>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</si>
  <si>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</si>
  <si>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</si>
  <si>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</si>
  <si>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</si>
  <si>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</si>
  <si>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</si>
  <si>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</si>
  <si>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</si>
  <si>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</si>
  <si>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</si>
  <si>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</si>
  <si>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</si>
  <si>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</si>
  <si>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</si>
  <si>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</si>
  <si>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</si>
  <si>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</si>
  <si>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</si>
  <si>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</si>
  <si>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</si>
  <si>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</si>
  <si>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</si>
  <si>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</si>
  <si>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</si>
  <si>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</si>
  <si>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</si>
  <si>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</si>
  <si>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</si>
  <si>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</si>
  <si>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</si>
  <si>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</si>
  <si>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</si>
  <si>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</si>
  <si>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</si>
  <si>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</si>
  <si>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</si>
  <si>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</si>
  <si>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</si>
  <si>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</si>
  <si>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</si>
  <si>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</si>
  <si>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</si>
  <si>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</si>
  <si>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</si>
  <si>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</si>
  <si>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</si>
  <si>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</si>
  <si>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</si>
  <si>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</si>
  <si>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</si>
  <si>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</si>
  <si>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</si>
  <si>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</si>
  <si>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</si>
  <si>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</si>
  <si>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</si>
  <si>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</si>
  <si>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</si>
  <si>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</si>
  <si>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</si>
  <si>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</si>
  <si>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</si>
  <si>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13040</t>
  </si>
  <si>
    <t>TURNHOUT</t>
  </si>
  <si>
    <t>Paarden&amp;pony's 200 - 600 kg</t>
  </si>
  <si>
    <t>Paarden&amp;pony's &lt; 200 kg</t>
  </si>
  <si>
    <t>referentietaak LNE (2017); Jaarverslag De Lijn (2015)</t>
  </si>
  <si>
    <t>op basis van VEA (maart 2018) en Inventaris Hernieuwbare Energiebronnen (juni 2018)</t>
  </si>
  <si>
    <t>VEA (januari 2017)</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</si>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</sst>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310447.36026244843</c:v>
                </c:pt>
                <c:pt idx="1">
                  <c:v>229308.35584843857</c:v>
                </c:pt>
                <c:pt idx="2">
                  <c:v>2573.7930000000001</c:v>
                </c:pt>
                <c:pt idx="3">
                  <c:v>9206.0380124611056</c:v>
                </c:pt>
                <c:pt idx="4">
                  <c:v>472553.68904372235</c:v>
                </c:pt>
                <c:pt idx="5">
                  <c:v>245454.9569424495</c:v>
                </c:pt>
                <c:pt idx="6">
                  <c:v>5299.7455798432475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310447.36026244843</c:v>
                </c:pt>
                <c:pt idx="1">
                  <c:v>229308.35584843857</c:v>
                </c:pt>
                <c:pt idx="2">
                  <c:v>2573.7930000000001</c:v>
                </c:pt>
                <c:pt idx="3">
                  <c:v>9206.0380124611056</c:v>
                </c:pt>
                <c:pt idx="4">
                  <c:v>472553.68904372235</c:v>
                </c:pt>
                <c:pt idx="5">
                  <c:v>245454.9569424495</c:v>
                </c:pt>
                <c:pt idx="6">
                  <c:v>5299.7455798432475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57932.606211733982</c:v>
                </c:pt>
                <c:pt idx="2">
                  <c:v>48500.952111543142</c:v>
                </c:pt>
                <c:pt idx="3">
                  <c:v>541.93275269349306</c:v>
                </c:pt>
                <c:pt idx="4">
                  <c:v>2245.0747472823205</c:v>
                </c:pt>
                <c:pt idx="5">
                  <c:v>83829.918336546034</c:v>
                </c:pt>
                <c:pt idx="6">
                  <c:v>62901.15791123861</c:v>
                </c:pt>
                <c:pt idx="7">
                  <c:v>1372.4613880081677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2720"/>
      </c:barChart>
      <c:catAx>
        <c:axId val="184003584"/>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57932.606211733982</c:v>
                </c:pt>
                <c:pt idx="2">
                  <c:v>48500.952111543142</c:v>
                </c:pt>
                <c:pt idx="3">
                  <c:v>541.93275269349306</c:v>
                </c:pt>
                <c:pt idx="4">
                  <c:v>2245.0747472823205</c:v>
                </c:pt>
                <c:pt idx="5">
                  <c:v>83829.918336546034</c:v>
                </c:pt>
                <c:pt idx="6">
                  <c:v>62901.15791123861</c:v>
                </c:pt>
                <c:pt idx="7">
                  <c:v>1372.4613880081677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13040</v>
      </c>
      <c r="B6" s="415"/>
      <c r="C6" s="416"/>
    </row>
    <row r="7" spans="1:7" s="413" customFormat="1" ht="15.75" customHeight="1">
      <c r="A7" s="417" t="str">
        <f>txtMunicipality</f>
        <v>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0.21055801794996451</v>
      </c>
      <c r="C17" s="524">
        <f ca="1">'EF ele_warmte'!B22</f>
        <v>0.23482101686688509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0.21055801794996451</v>
      </c>
      <c r="C29" s="525">
        <f ca="1">'EF ele_warmte'!B22</f>
        <v>0.23482101686688509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19099</v>
      </c>
      <c r="C9" s="342">
        <v>19676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2230.52</v>
      </c>
    </row>
    <row r="15" spans="1:6">
      <c r="A15" s="348" t="s">
        <v>184</v>
      </c>
      <c r="B15" s="334">
        <v>3481</v>
      </c>
    </row>
    <row r="16" spans="1:6">
      <c r="A16" s="348" t="s">
        <v>6</v>
      </c>
      <c r="B16" s="334">
        <v>1043</v>
      </c>
    </row>
    <row r="17" spans="1:6">
      <c r="A17" s="348" t="s">
        <v>7</v>
      </c>
      <c r="B17" s="334">
        <v>186</v>
      </c>
    </row>
    <row r="18" spans="1:6">
      <c r="A18" s="348" t="s">
        <v>8</v>
      </c>
      <c r="B18" s="334">
        <v>686</v>
      </c>
    </row>
    <row r="19" spans="1:6">
      <c r="A19" s="348" t="s">
        <v>9</v>
      </c>
      <c r="B19" s="334">
        <v>625</v>
      </c>
    </row>
    <row r="20" spans="1:6">
      <c r="A20" s="348" t="s">
        <v>10</v>
      </c>
      <c r="B20" s="334">
        <v>256</v>
      </c>
    </row>
    <row r="21" spans="1:6">
      <c r="A21" s="348" t="s">
        <v>11</v>
      </c>
      <c r="B21" s="334">
        <v>1033</v>
      </c>
    </row>
    <row r="22" spans="1:6">
      <c r="A22" s="348" t="s">
        <v>12</v>
      </c>
      <c r="B22" s="334">
        <v>2966</v>
      </c>
    </row>
    <row r="23" spans="1:6">
      <c r="A23" s="348" t="s">
        <v>13</v>
      </c>
      <c r="B23" s="334">
        <v>38</v>
      </c>
    </row>
    <row r="24" spans="1:6">
      <c r="A24" s="348" t="s">
        <v>14</v>
      </c>
      <c r="B24" s="334">
        <v>2</v>
      </c>
    </row>
    <row r="25" spans="1:6">
      <c r="A25" s="348" t="s">
        <v>15</v>
      </c>
      <c r="B25" s="334">
        <v>204</v>
      </c>
    </row>
    <row r="26" spans="1:6">
      <c r="A26" s="348" t="s">
        <v>16</v>
      </c>
      <c r="B26" s="334">
        <v>51</v>
      </c>
    </row>
    <row r="27" spans="1:6">
      <c r="A27" s="348" t="s">
        <v>17</v>
      </c>
      <c r="B27" s="334">
        <v>0</v>
      </c>
    </row>
    <row r="28" spans="1:6" s="356" customFormat="1">
      <c r="A28" s="355" t="s">
        <v>18</v>
      </c>
      <c r="B28" s="355">
        <v>426668</v>
      </c>
    </row>
    <row r="29" spans="1:6">
      <c r="A29" s="355" t="s">
        <v>884</v>
      </c>
      <c r="B29" s="355">
        <v>135</v>
      </c>
      <c r="C29" s="356"/>
      <c r="D29" s="356"/>
      <c r="E29" s="356"/>
      <c r="F29" s="356"/>
    </row>
    <row r="30" spans="1:6">
      <c r="A30" s="355" t="s">
        <v>885</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45434.948419</v>
      </c>
      <c r="E36" s="334">
        <v>8</v>
      </c>
      <c r="F36" s="334">
        <v>598258.45482999994</v>
      </c>
    </row>
    <row r="37" spans="1:6">
      <c r="A37" s="348" t="s">
        <v>25</v>
      </c>
      <c r="B37" s="348" t="s">
        <v>28</v>
      </c>
      <c r="C37" s="334">
        <v>0</v>
      </c>
      <c r="D37" s="334">
        <v>0</v>
      </c>
      <c r="E37" s="334">
        <v>0</v>
      </c>
      <c r="F37" s="334">
        <v>0</v>
      </c>
    </row>
    <row r="38" spans="1:6">
      <c r="A38" s="348" t="s">
        <v>25</v>
      </c>
      <c r="B38" s="348" t="s">
        <v>29</v>
      </c>
      <c r="C38" s="334">
        <v>2</v>
      </c>
      <c r="D38" s="334">
        <v>284489.48362999997</v>
      </c>
      <c r="E38" s="334">
        <v>1</v>
      </c>
      <c r="F38" s="334">
        <v>11126.177389</v>
      </c>
    </row>
    <row r="39" spans="1:6">
      <c r="A39" s="348" t="s">
        <v>30</v>
      </c>
      <c r="B39" s="348" t="s">
        <v>31</v>
      </c>
      <c r="C39" s="334">
        <v>17028</v>
      </c>
      <c r="D39" s="334">
        <v>243903925.09999999</v>
      </c>
      <c r="E39" s="334">
        <v>19215</v>
      </c>
      <c r="F39" s="334">
        <v>54942996.946000002</v>
      </c>
    </row>
    <row r="40" spans="1:6">
      <c r="A40" s="348" t="s">
        <v>30</v>
      </c>
      <c r="B40" s="348" t="s">
        <v>29</v>
      </c>
      <c r="C40" s="334">
        <v>0</v>
      </c>
      <c r="D40" s="334">
        <v>0</v>
      </c>
      <c r="E40" s="334">
        <v>1</v>
      </c>
      <c r="F40" s="334">
        <v>15665.0283368</v>
      </c>
    </row>
    <row r="41" spans="1:6">
      <c r="A41" s="348" t="s">
        <v>32</v>
      </c>
      <c r="B41" s="348" t="s">
        <v>33</v>
      </c>
      <c r="C41" s="334">
        <v>165</v>
      </c>
      <c r="D41" s="334">
        <v>5722541.7835999997</v>
      </c>
      <c r="E41" s="334">
        <v>318</v>
      </c>
      <c r="F41" s="334">
        <v>11900709.895</v>
      </c>
    </row>
    <row r="42" spans="1:6">
      <c r="A42" s="348" t="s">
        <v>32</v>
      </c>
      <c r="B42" s="348" t="s">
        <v>34</v>
      </c>
      <c r="C42" s="334">
        <v>8</v>
      </c>
      <c r="D42" s="334">
        <v>12597566.287</v>
      </c>
      <c r="E42" s="334">
        <v>7</v>
      </c>
      <c r="F42" s="334">
        <v>18250176.800000001</v>
      </c>
    </row>
    <row r="43" spans="1:6">
      <c r="A43" s="348" t="s">
        <v>32</v>
      </c>
      <c r="B43" s="348" t="s">
        <v>35</v>
      </c>
      <c r="C43" s="334">
        <v>0</v>
      </c>
      <c r="D43" s="334">
        <v>0</v>
      </c>
      <c r="E43" s="334">
        <v>0</v>
      </c>
      <c r="F43" s="334">
        <v>0</v>
      </c>
    </row>
    <row r="44" spans="1:6">
      <c r="A44" s="348" t="s">
        <v>32</v>
      </c>
      <c r="B44" s="348" t="s">
        <v>36</v>
      </c>
      <c r="C44" s="334">
        <v>10</v>
      </c>
      <c r="D44" s="334">
        <v>796336.31220000004</v>
      </c>
      <c r="E44" s="334">
        <v>24</v>
      </c>
      <c r="F44" s="334">
        <v>875333.84478000004</v>
      </c>
    </row>
    <row r="45" spans="1:6">
      <c r="A45" s="348" t="s">
        <v>32</v>
      </c>
      <c r="B45" s="348" t="s">
        <v>37</v>
      </c>
      <c r="C45" s="334">
        <v>0</v>
      </c>
      <c r="D45" s="334">
        <v>0</v>
      </c>
      <c r="E45" s="334">
        <v>3</v>
      </c>
      <c r="F45" s="334">
        <v>452411.19608000002</v>
      </c>
    </row>
    <row r="46" spans="1:6">
      <c r="A46" s="348" t="s">
        <v>32</v>
      </c>
      <c r="B46" s="348" t="s">
        <v>38</v>
      </c>
      <c r="C46" s="334">
        <v>0</v>
      </c>
      <c r="D46" s="334">
        <v>0</v>
      </c>
      <c r="E46" s="334">
        <v>0</v>
      </c>
      <c r="F46" s="334">
        <v>0</v>
      </c>
    </row>
    <row r="47" spans="1:6">
      <c r="A47" s="348" t="s">
        <v>32</v>
      </c>
      <c r="B47" s="348" t="s">
        <v>39</v>
      </c>
      <c r="C47" s="334">
        <v>20</v>
      </c>
      <c r="D47" s="334">
        <v>31047107.493999999</v>
      </c>
      <c r="E47" s="334">
        <v>23</v>
      </c>
      <c r="F47" s="334">
        <v>26908408.879000001</v>
      </c>
    </row>
    <row r="48" spans="1:6">
      <c r="A48" s="348" t="s">
        <v>32</v>
      </c>
      <c r="B48" s="348" t="s">
        <v>29</v>
      </c>
      <c r="C48" s="334">
        <v>49</v>
      </c>
      <c r="D48" s="334">
        <v>82517548.357999995</v>
      </c>
      <c r="E48" s="334">
        <v>53</v>
      </c>
      <c r="F48" s="334">
        <v>106631452.43000001</v>
      </c>
    </row>
    <row r="49" spans="1:6">
      <c r="A49" s="348" t="s">
        <v>32</v>
      </c>
      <c r="B49" s="348" t="s">
        <v>40</v>
      </c>
      <c r="C49" s="334">
        <v>4</v>
      </c>
      <c r="D49" s="334">
        <v>82049.661533000006</v>
      </c>
      <c r="E49" s="334">
        <v>4</v>
      </c>
      <c r="F49" s="334">
        <v>14851.90467</v>
      </c>
    </row>
    <row r="50" spans="1:6">
      <c r="A50" s="348" t="s">
        <v>32</v>
      </c>
      <c r="B50" s="348" t="s">
        <v>41</v>
      </c>
      <c r="C50" s="334">
        <v>29</v>
      </c>
      <c r="D50" s="334">
        <v>39872533.763999999</v>
      </c>
      <c r="E50" s="334">
        <v>36</v>
      </c>
      <c r="F50" s="334">
        <v>19656752.166999999</v>
      </c>
    </row>
    <row r="51" spans="1:6">
      <c r="A51" s="348" t="s">
        <v>42</v>
      </c>
      <c r="B51" s="348" t="s">
        <v>43</v>
      </c>
      <c r="C51" s="334">
        <v>0</v>
      </c>
      <c r="D51" s="334">
        <v>0</v>
      </c>
      <c r="E51" s="334">
        <v>59</v>
      </c>
      <c r="F51" s="334">
        <v>1312232.4738</v>
      </c>
    </row>
    <row r="52" spans="1:6">
      <c r="A52" s="348" t="s">
        <v>42</v>
      </c>
      <c r="B52" s="348" t="s">
        <v>29</v>
      </c>
      <c r="C52" s="334">
        <v>14</v>
      </c>
      <c r="D52" s="334">
        <v>2532000.0240000002</v>
      </c>
      <c r="E52" s="334">
        <v>10</v>
      </c>
      <c r="F52" s="334">
        <v>122432.88098</v>
      </c>
    </row>
    <row r="53" spans="1:6">
      <c r="A53" s="348" t="s">
        <v>44</v>
      </c>
      <c r="B53" s="348" t="s">
        <v>45</v>
      </c>
      <c r="C53" s="334">
        <v>428</v>
      </c>
      <c r="D53" s="334">
        <v>7965465.0108000003</v>
      </c>
      <c r="E53" s="334">
        <v>843</v>
      </c>
      <c r="F53" s="334">
        <v>4804853.0077999998</v>
      </c>
    </row>
    <row r="54" spans="1:6">
      <c r="A54" s="348" t="s">
        <v>46</v>
      </c>
      <c r="B54" s="348" t="s">
        <v>47</v>
      </c>
      <c r="C54" s="334">
        <v>0</v>
      </c>
      <c r="D54" s="334">
        <v>0</v>
      </c>
      <c r="E54" s="334">
        <v>1</v>
      </c>
      <c r="F54" s="334">
        <v>2573793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145</v>
      </c>
      <c r="D57" s="334">
        <v>8356449.4710999997</v>
      </c>
      <c r="E57" s="334">
        <v>179</v>
      </c>
      <c r="F57" s="334">
        <v>4260478.7822000002</v>
      </c>
    </row>
    <row r="58" spans="1:6">
      <c r="A58" s="348" t="s">
        <v>49</v>
      </c>
      <c r="B58" s="348" t="s">
        <v>51</v>
      </c>
      <c r="C58" s="334">
        <v>118</v>
      </c>
      <c r="D58" s="334">
        <v>19436993.090999998</v>
      </c>
      <c r="E58" s="334">
        <v>149</v>
      </c>
      <c r="F58" s="334">
        <v>14668397.200999999</v>
      </c>
    </row>
    <row r="59" spans="1:6">
      <c r="A59" s="348" t="s">
        <v>49</v>
      </c>
      <c r="B59" s="348" t="s">
        <v>52</v>
      </c>
      <c r="C59" s="334">
        <v>417</v>
      </c>
      <c r="D59" s="334">
        <v>24570865.383000001</v>
      </c>
      <c r="E59" s="334">
        <v>618</v>
      </c>
      <c r="F59" s="334">
        <v>32876913.366999999</v>
      </c>
    </row>
    <row r="60" spans="1:6">
      <c r="A60" s="348" t="s">
        <v>49</v>
      </c>
      <c r="B60" s="348" t="s">
        <v>53</v>
      </c>
      <c r="C60" s="334">
        <v>213</v>
      </c>
      <c r="D60" s="334">
        <v>17785209.942000002</v>
      </c>
      <c r="E60" s="334">
        <v>238</v>
      </c>
      <c r="F60" s="334">
        <v>8142010.6612</v>
      </c>
    </row>
    <row r="61" spans="1:6">
      <c r="A61" s="348" t="s">
        <v>49</v>
      </c>
      <c r="B61" s="348" t="s">
        <v>54</v>
      </c>
      <c r="C61" s="334">
        <v>676</v>
      </c>
      <c r="D61" s="334">
        <v>40755237.145999998</v>
      </c>
      <c r="E61" s="334">
        <v>1343</v>
      </c>
      <c r="F61" s="334">
        <v>19035144.602000002</v>
      </c>
    </row>
    <row r="62" spans="1:6">
      <c r="A62" s="348" t="s">
        <v>49</v>
      </c>
      <c r="B62" s="348" t="s">
        <v>55</v>
      </c>
      <c r="C62" s="334">
        <v>52</v>
      </c>
      <c r="D62" s="334">
        <v>8505428.6060000006</v>
      </c>
      <c r="E62" s="334">
        <v>54</v>
      </c>
      <c r="F62" s="334">
        <v>3318123.9319000002</v>
      </c>
    </row>
    <row r="63" spans="1:6">
      <c r="A63" s="348" t="s">
        <v>49</v>
      </c>
      <c r="B63" s="348" t="s">
        <v>29</v>
      </c>
      <c r="C63" s="334">
        <v>96</v>
      </c>
      <c r="D63" s="334">
        <v>11588336.738</v>
      </c>
      <c r="E63" s="334">
        <v>78</v>
      </c>
      <c r="F63" s="334">
        <v>4320238.9057999998</v>
      </c>
    </row>
    <row r="64" spans="1:6">
      <c r="A64" s="348" t="s">
        <v>56</v>
      </c>
      <c r="B64" s="348" t="s">
        <v>57</v>
      </c>
      <c r="C64" s="334">
        <v>0</v>
      </c>
      <c r="D64" s="334">
        <v>0</v>
      </c>
      <c r="E64" s="334">
        <v>0</v>
      </c>
      <c r="F64" s="334">
        <v>0</v>
      </c>
    </row>
    <row r="65" spans="1:6">
      <c r="A65" s="348" t="s">
        <v>56</v>
      </c>
      <c r="B65" s="348" t="s">
        <v>29</v>
      </c>
      <c r="C65" s="334">
        <v>6</v>
      </c>
      <c r="D65" s="334">
        <v>514540.71221000003</v>
      </c>
      <c r="E65" s="334">
        <v>3</v>
      </c>
      <c r="F65" s="334">
        <v>45181.795142000003</v>
      </c>
    </row>
    <row r="66" spans="1:6">
      <c r="A66" s="348" t="s">
        <v>56</v>
      </c>
      <c r="B66" s="348" t="s">
        <v>58</v>
      </c>
      <c r="C66" s="334">
        <v>8</v>
      </c>
      <c r="D66" s="334">
        <v>681346.97502000001</v>
      </c>
      <c r="E66" s="334">
        <v>28</v>
      </c>
      <c r="F66" s="334">
        <v>969041.18310999998</v>
      </c>
    </row>
    <row r="67" spans="1:6">
      <c r="A67" s="355" t="s">
        <v>56</v>
      </c>
      <c r="B67" s="355" t="s">
        <v>59</v>
      </c>
      <c r="C67" s="334">
        <v>0</v>
      </c>
      <c r="D67" s="334">
        <v>0</v>
      </c>
      <c r="E67" s="334">
        <v>0</v>
      </c>
      <c r="F67" s="334">
        <v>0</v>
      </c>
    </row>
    <row r="68" spans="1:6">
      <c r="A68" s="341" t="s">
        <v>56</v>
      </c>
      <c r="B68" s="341" t="s">
        <v>60</v>
      </c>
      <c r="C68" s="334">
        <v>8</v>
      </c>
      <c r="D68" s="334">
        <v>619379.06385999999</v>
      </c>
      <c r="E68" s="334">
        <v>22</v>
      </c>
      <c r="F68" s="334">
        <v>872882.45790000004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154171637</v>
      </c>
      <c r="E73" s="475">
        <v>157975911.17155635</v>
      </c>
    </row>
    <row r="74" spans="1:6">
      <c r="A74" s="348" t="s">
        <v>64</v>
      </c>
      <c r="B74" s="348" t="s">
        <v>667</v>
      </c>
      <c r="C74" s="1294" t="s">
        <v>669</v>
      </c>
      <c r="D74" s="475">
        <v>14540005.294575784</v>
      </c>
      <c r="E74" s="475">
        <v>14608482.097261544</v>
      </c>
    </row>
    <row r="75" spans="1:6">
      <c r="A75" s="348" t="s">
        <v>65</v>
      </c>
      <c r="B75" s="348" t="s">
        <v>666</v>
      </c>
      <c r="C75" s="1294" t="s">
        <v>670</v>
      </c>
      <c r="D75" s="475">
        <v>29816660</v>
      </c>
      <c r="E75" s="475">
        <v>30483500.976804804</v>
      </c>
    </row>
    <row r="76" spans="1:6">
      <c r="A76" s="348" t="s">
        <v>65</v>
      </c>
      <c r="B76" s="348" t="s">
        <v>667</v>
      </c>
      <c r="C76" s="1294" t="s">
        <v>671</v>
      </c>
      <c r="D76" s="475">
        <v>550457.29457578412</v>
      </c>
      <c r="E76" s="475">
        <v>567664.35296285804</v>
      </c>
    </row>
    <row r="77" spans="1:6">
      <c r="A77" s="348" t="s">
        <v>66</v>
      </c>
      <c r="B77" s="348" t="s">
        <v>666</v>
      </c>
      <c r="C77" s="1294" t="s">
        <v>672</v>
      </c>
      <c r="D77" s="475">
        <v>62385977</v>
      </c>
      <c r="E77" s="475">
        <v>66520458.93493101</v>
      </c>
    </row>
    <row r="78" spans="1:6">
      <c r="A78" s="341" t="s">
        <v>66</v>
      </c>
      <c r="B78" s="341" t="s">
        <v>667</v>
      </c>
      <c r="C78" s="341" t="s">
        <v>673</v>
      </c>
      <c r="D78" s="1295">
        <v>17095298</v>
      </c>
      <c r="E78" s="1295">
        <v>18424179.668424014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1423439.4108484318</v>
      </c>
      <c r="C83" s="475">
        <v>1423439.4108484318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4354.0747312026042</v>
      </c>
    </row>
    <row r="92" spans="1:6">
      <c r="A92" s="341" t="s">
        <v>69</v>
      </c>
      <c r="B92" s="342">
        <v>10757.322140957602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24</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4</v>
      </c>
    </row>
    <row r="131" spans="1:6">
      <c r="A131" s="348" t="s">
        <v>296</v>
      </c>
      <c r="B131" s="334">
        <v>8</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344008.686811044</v>
      </c>
      <c r="C3" s="43" t="s">
        <v>170</v>
      </c>
      <c r="D3" s="43"/>
      <c r="E3" s="154"/>
      <c r="F3" s="43"/>
      <c r="G3" s="43"/>
      <c r="H3" s="43"/>
      <c r="I3" s="43"/>
      <c r="J3" s="43"/>
      <c r="K3" s="96"/>
    </row>
    <row r="4" spans="1:11">
      <c r="A4" s="383" t="s">
        <v>171</v>
      </c>
      <c r="B4" s="49">
        <f>IF(ISERROR('SEAP template'!B78+'SEAP template'!C78),0,'SEAP template'!B78+'SEAP template'!C78)</f>
        <v>19624.896872160207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744.96967601019287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0.21055801794996451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1328.4160382755215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5657.1428571428578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0.23482101686688509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2573.7930000000001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2573.7930000000001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0.21055801794996451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541.93275269349306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54958.661974336806</v>
      </c>
      <c r="C5" s="17">
        <f>IF(ISERROR('Eigen informatie GS &amp; warmtenet'!B57),0,'Eigen informatie GS &amp; warmtenet'!B57)</f>
        <v>0</v>
      </c>
      <c r="D5" s="30">
        <f>(SUM(HH_hh_gas_kWh,HH_rest_gas_kWh)/1000)*0.902</f>
        <v>220001.3404402</v>
      </c>
      <c r="E5" s="17">
        <f>B46*B57</f>
        <v>4420.9830965070187</v>
      </c>
      <c r="F5" s="17">
        <f>B51*B62</f>
        <v>0</v>
      </c>
      <c r="G5" s="18"/>
      <c r="H5" s="17"/>
      <c r="I5" s="17"/>
      <c r="J5" s="17">
        <f>B50*B61+C50*C61</f>
        <v>0</v>
      </c>
      <c r="K5" s="17"/>
      <c r="L5" s="17"/>
      <c r="M5" s="17"/>
      <c r="N5" s="17">
        <f>B48*B59+C48*C59</f>
        <v>25510.366686868656</v>
      </c>
      <c r="O5" s="17">
        <f>B69*B70*B71</f>
        <v>343.93333333333334</v>
      </c>
      <c r="P5" s="17">
        <f>B77*B78*B79/1000-B77*B78*B79/1000/B80</f>
        <v>858</v>
      </c>
    </row>
    <row r="6" spans="1:16">
      <c r="A6" s="16" t="s">
        <v>624</v>
      </c>
      <c r="B6" s="788">
        <f>kWh_PV_kleiner_dan_10kW</f>
        <v>4354.0747312026042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59312.736705539413</v>
      </c>
      <c r="C8" s="21">
        <f>C5</f>
        <v>0</v>
      </c>
      <c r="D8" s="21">
        <f>D5</f>
        <v>220001.3404402</v>
      </c>
      <c r="E8" s="21">
        <f>E5</f>
        <v>4420.9830965070187</v>
      </c>
      <c r="F8" s="21">
        <f>F5</f>
        <v>0</v>
      </c>
      <c r="G8" s="21"/>
      <c r="H8" s="21"/>
      <c r="I8" s="21"/>
      <c r="J8" s="21">
        <f>J5</f>
        <v>0</v>
      </c>
      <c r="K8" s="21"/>
      <c r="L8" s="21">
        <f>L5</f>
        <v>0</v>
      </c>
      <c r="M8" s="21">
        <f>M5</f>
        <v>0</v>
      </c>
      <c r="N8" s="21">
        <f>N5</f>
        <v>25510.366686868656</v>
      </c>
      <c r="O8" s="21">
        <f>O5</f>
        <v>343.93333333333334</v>
      </c>
      <c r="P8" s="21">
        <f>P5</f>
        <v>858</v>
      </c>
    </row>
    <row r="9" spans="1:16">
      <c r="B9" s="19"/>
      <c r="C9" s="19"/>
      <c r="D9" s="258"/>
      <c r="E9" s="19"/>
      <c r="F9" s="19"/>
      <c r="G9" s="19"/>
      <c r="H9" s="19"/>
      <c r="I9" s="19"/>
      <c r="J9" s="19"/>
      <c r="K9" s="19"/>
      <c r="L9" s="19"/>
      <c r="M9" s="19"/>
      <c r="N9" s="19"/>
      <c r="O9" s="19"/>
      <c r="P9" s="19"/>
    </row>
    <row r="10" spans="1:16">
      <c r="A10" s="24" t="s">
        <v>214</v>
      </c>
      <c r="B10" s="25">
        <f ca="1">'EF ele_warmte'!B12</f>
        <v>0.21055801794996451</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12488.772279906487</v>
      </c>
      <c r="C12" s="23">
        <f ca="1">C10*C8</f>
        <v>0</v>
      </c>
      <c r="D12" s="23">
        <f>D8*D10</f>
        <v>44440.270768920403</v>
      </c>
      <c r="E12" s="23">
        <f>E10*E8</f>
        <v>1003.5631629070932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19099</v>
      </c>
      <c r="C28" s="36"/>
      <c r="D28" s="228"/>
    </row>
    <row r="29" spans="1:7" s="15" customFormat="1">
      <c r="A29" s="230" t="s">
        <v>699</v>
      </c>
      <c r="B29" s="37">
        <f>SUM(HH_hh_gas_aantal,HH_rest_gas_aantal)</f>
        <v>17028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17028</v>
      </c>
      <c r="C32" s="167">
        <f>IF(ISERROR(B32/SUM($B$32,$B$34,$B$35,$B$36,$B$38,$B$39)*100),0,B32/SUM($B$32,$B$34,$B$35,$B$36,$B$38,$B$39)*100)</f>
        <v>89.367062034218534</v>
      </c>
      <c r="D32" s="233"/>
      <c r="G32" s="15"/>
    </row>
    <row r="33" spans="1:7">
      <c r="A33" s="171" t="s">
        <v>72</v>
      </c>
      <c r="B33" s="34" t="s">
        <v>111</v>
      </c>
      <c r="C33" s="167"/>
      <c r="D33" s="233"/>
      <c r="G33" s="15"/>
    </row>
    <row r="34" spans="1:7">
      <c r="A34" s="171" t="s">
        <v>73</v>
      </c>
      <c r="B34" s="33">
        <f>IF((($B$28-$B$32-$B$39-$B$77-$B$38)*C20/100)&lt;0,0,($B$28-$B$32-$B$39-$B$77-$B$38)*C20/100)</f>
        <v>195.46401225114852</v>
      </c>
      <c r="C34" s="167">
        <f>IF(ISERROR(B34/SUM($B$32,$B$34,$B$35,$B$36,$B$38,$B$39)*100),0,B34/SUM($B$32,$B$34,$B$35,$B$36,$B$38,$B$39)*100)</f>
        <v>1.0258424071121472</v>
      </c>
      <c r="D34" s="233"/>
      <c r="G34" s="15"/>
    </row>
    <row r="35" spans="1:7">
      <c r="A35" s="171" t="s">
        <v>74</v>
      </c>
      <c r="B35" s="33">
        <f>IF((($B$28-$B$32-$B$39-$B$77-$B$38)*C21/100)&lt;0,0,($B$28-$B$32-$B$39-$B$77-$B$38)*C21/100)</f>
        <v>1433.4027565084225</v>
      </c>
      <c r="C35" s="167">
        <f>IF(ISERROR(B35/SUM($B$32,$B$34,$B$35,$B$36,$B$38,$B$39)*100),0,B35/SUM($B$32,$B$34,$B$35,$B$36,$B$38,$B$39)*100)</f>
        <v>7.5228443188224121</v>
      </c>
      <c r="D35" s="233"/>
      <c r="G35" s="15"/>
    </row>
    <row r="36" spans="1:7">
      <c r="A36" s="171" t="s">
        <v>75</v>
      </c>
      <c r="B36" s="33">
        <f>IF((($B$28-$B$32-$B$39-$B$77-$B$38)*C22/100)&lt;0,0,($B$28-$B$32-$B$39-$B$77-$B$38)*C22/100)</f>
        <v>397.13323124042881</v>
      </c>
      <c r="C36" s="167">
        <f>IF(ISERROR(B36/SUM($B$32,$B$34,$B$35,$B$36,$B$38,$B$39)*100),0,B36/SUM($B$32,$B$34,$B$35,$B$36,$B$38,$B$39)*100)</f>
        <v>2.0842512398469024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17028</v>
      </c>
      <c r="C44" s="34" t="s">
        <v>111</v>
      </c>
      <c r="D44" s="174"/>
    </row>
    <row r="45" spans="1:7">
      <c r="A45" s="171" t="s">
        <v>72</v>
      </c>
      <c r="B45" s="33" t="str">
        <f t="shared" si="0"/>
        <v>-</v>
      </c>
      <c r="C45" s="34" t="s">
        <v>111</v>
      </c>
      <c r="D45" s="174"/>
    </row>
    <row r="46" spans="1:7">
      <c r="A46" s="171" t="s">
        <v>73</v>
      </c>
      <c r="B46" s="33">
        <f t="shared" si="0"/>
        <v>195.46401225114852</v>
      </c>
      <c r="C46" s="34" t="s">
        <v>111</v>
      </c>
      <c r="D46" s="174"/>
    </row>
    <row r="47" spans="1:7">
      <c r="A47" s="171" t="s">
        <v>74</v>
      </c>
      <c r="B47" s="33">
        <f t="shared" si="0"/>
        <v>1433.4027565084225</v>
      </c>
      <c r="C47" s="34" t="s">
        <v>111</v>
      </c>
      <c r="D47" s="174"/>
    </row>
    <row r="48" spans="1:7">
      <c r="A48" s="171" t="s">
        <v>75</v>
      </c>
      <c r="B48" s="33">
        <f t="shared" si="0"/>
        <v>397.13323124042881</v>
      </c>
      <c r="C48" s="33">
        <f>B48*10</f>
        <v>3971.3323124042881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86621.307451100001</v>
      </c>
      <c r="C5" s="17">
        <f>IF(ISERROR('Eigen informatie GS &amp; warmtenet'!B58),0,'Eigen informatie GS &amp; warmtenet'!B58)</f>
        <v>0</v>
      </c>
      <c r="D5" s="30">
        <f>SUM(D6:D12)</f>
        <v>118160.6653801442</v>
      </c>
      <c r="E5" s="17">
        <f>SUM(E6:E12)</f>
        <v>1646.482710597872</v>
      </c>
      <c r="F5" s="17">
        <f>SUM(F6:F12)</f>
        <v>21444.225247264807</v>
      </c>
      <c r="G5" s="18"/>
      <c r="H5" s="17"/>
      <c r="I5" s="17"/>
      <c r="J5" s="17">
        <f>SUM(J6:J12)</f>
        <v>0</v>
      </c>
      <c r="K5" s="17"/>
      <c r="L5" s="17"/>
      <c r="M5" s="17"/>
      <c r="N5" s="17">
        <f>SUM(N6:N12)</f>
        <v>3977.3169640936239</v>
      </c>
      <c r="O5" s="17">
        <f>B38*B39*B40</f>
        <v>6.2533333333333339</v>
      </c>
      <c r="P5" s="17">
        <f>B46*B47*B48/1000-B46*B47*B48/1000/B49</f>
        <v>152.53333333333333</v>
      </c>
      <c r="R5" s="32"/>
    </row>
    <row r="6" spans="1:18">
      <c r="A6" s="32" t="s">
        <v>54</v>
      </c>
      <c r="B6" s="37">
        <f>B26</f>
        <v>19035.144602</v>
      </c>
      <c r="C6" s="33"/>
      <c r="D6" s="37">
        <f>IF(ISERROR(TER_kantoor_gas_kWh/1000),0,TER_kantoor_gas_kWh/1000)*0.902</f>
        <v>36761.223905692001</v>
      </c>
      <c r="E6" s="33">
        <f>$C$26*'E Balans VL '!I12/100/3.6*1000000</f>
        <v>249.19349073829005</v>
      </c>
      <c r="F6" s="33">
        <f>$C$26*('E Balans VL '!L12+'E Balans VL '!N12)/100/3.6*1000000</f>
        <v>4853.7651716734608</v>
      </c>
      <c r="G6" s="34"/>
      <c r="H6" s="33"/>
      <c r="I6" s="33"/>
      <c r="J6" s="33">
        <f>$C$26*('E Balans VL '!D12+'E Balans VL '!E12)/100/3.6*1000000</f>
        <v>0</v>
      </c>
      <c r="K6" s="33"/>
      <c r="L6" s="33"/>
      <c r="M6" s="33"/>
      <c r="N6" s="33">
        <f>$C$26*'E Balans VL '!Y12/100/3.6*1000000</f>
        <v>19.099244431871416</v>
      </c>
      <c r="O6" s="33"/>
      <c r="P6" s="33"/>
      <c r="R6" s="32"/>
    </row>
    <row r="7" spans="1:18">
      <c r="A7" s="32" t="s">
        <v>53</v>
      </c>
      <c r="B7" s="37">
        <f t="shared" ref="B7:B12" si="0">B27</f>
        <v>8142.0106612</v>
      </c>
      <c r="C7" s="33"/>
      <c r="D7" s="37">
        <f>IF(ISERROR(TER_horeca_gas_kWh/1000),0,TER_horeca_gas_kWh/1000)*0.902</f>
        <v>16042.259367684002</v>
      </c>
      <c r="E7" s="33">
        <f>$C$27*'E Balans VL '!I9/100/3.6*1000000</f>
        <v>269.45102669627056</v>
      </c>
      <c r="F7" s="33">
        <f>$C$27*('E Balans VL '!L9+'E Balans VL '!N9)/100/3.6*1000000</f>
        <v>3501.033380351465</v>
      </c>
      <c r="G7" s="34"/>
      <c r="H7" s="33"/>
      <c r="I7" s="33"/>
      <c r="J7" s="33">
        <f>$C$27*('E Balans VL '!D9+'E Balans VL '!E9)/100/3.6*1000000</f>
        <v>0</v>
      </c>
      <c r="K7" s="33"/>
      <c r="L7" s="33"/>
      <c r="M7" s="33"/>
      <c r="N7" s="33">
        <f>$C$27*'E Balans VL '!Y9/100/3.6*1000000</f>
        <v>1.9599002011208502</v>
      </c>
      <c r="O7" s="33"/>
      <c r="P7" s="33"/>
      <c r="R7" s="32"/>
    </row>
    <row r="8" spans="1:18">
      <c r="A8" s="6" t="s">
        <v>52</v>
      </c>
      <c r="B8" s="37">
        <f t="shared" si="0"/>
        <v>32876.913367000001</v>
      </c>
      <c r="C8" s="33"/>
      <c r="D8" s="37">
        <f>IF(ISERROR(TER_handel_gas_kWh/1000),0,TER_handel_gas_kWh/1000)*0.902</f>
        <v>22162.920575466</v>
      </c>
      <c r="E8" s="33">
        <f>$C$28*'E Balans VL '!I13/100/3.6*1000000</f>
        <v>1037.6456202908373</v>
      </c>
      <c r="F8" s="33">
        <f>$C$28*('E Balans VL '!L13+'E Balans VL '!N13)/100/3.6*1000000</f>
        <v>6447.7416377701493</v>
      </c>
      <c r="G8" s="34"/>
      <c r="H8" s="33"/>
      <c r="I8" s="33"/>
      <c r="J8" s="33">
        <f>$C$28*('E Balans VL '!D13+'E Balans VL '!E13)/100/3.6*1000000</f>
        <v>0</v>
      </c>
      <c r="K8" s="33"/>
      <c r="L8" s="33"/>
      <c r="M8" s="33"/>
      <c r="N8" s="33">
        <f>$C$28*'E Balans VL '!Y13/100/3.6*1000000</f>
        <v>39.018513192259171</v>
      </c>
      <c r="O8" s="33"/>
      <c r="P8" s="33"/>
      <c r="R8" s="32"/>
    </row>
    <row r="9" spans="1:18">
      <c r="A9" s="32" t="s">
        <v>51</v>
      </c>
      <c r="B9" s="37">
        <f t="shared" si="0"/>
        <v>14668.397201</v>
      </c>
      <c r="C9" s="33"/>
      <c r="D9" s="37">
        <f>IF(ISERROR(TER_gezond_gas_kWh/1000),0,TER_gezond_gas_kWh/1000)*0.902</f>
        <v>17532.167768081996</v>
      </c>
      <c r="E9" s="33">
        <f>$C$29*'E Balans VL '!I10/100/3.6*1000000</f>
        <v>1.8779839561668703</v>
      </c>
      <c r="F9" s="33">
        <f>$C$29*('E Balans VL '!L10+'E Balans VL '!N10)/100/3.6*1000000</f>
        <v>3056.041945838158</v>
      </c>
      <c r="G9" s="34"/>
      <c r="H9" s="33"/>
      <c r="I9" s="33"/>
      <c r="J9" s="33">
        <f>$C$29*('E Balans VL '!D10+'E Balans VL '!E10)/100/3.6*1000000</f>
        <v>0</v>
      </c>
      <c r="K9" s="33"/>
      <c r="L9" s="33"/>
      <c r="M9" s="33"/>
      <c r="N9" s="33">
        <f>$C$29*'E Balans VL '!Y10/100/3.6*1000000</f>
        <v>172.28725832174052</v>
      </c>
      <c r="O9" s="33"/>
      <c r="P9" s="33"/>
      <c r="R9" s="32"/>
    </row>
    <row r="10" spans="1:18">
      <c r="A10" s="32" t="s">
        <v>50</v>
      </c>
      <c r="B10" s="37">
        <f t="shared" si="0"/>
        <v>4260.4787821999998</v>
      </c>
      <c r="C10" s="33"/>
      <c r="D10" s="37">
        <f>IF(ISERROR(TER_ander_gas_kWh/1000),0,TER_ander_gas_kWh/1000)*0.902</f>
        <v>7537.5174229321992</v>
      </c>
      <c r="E10" s="33">
        <f>$C$30*'E Balans VL '!I14/100/3.6*1000000</f>
        <v>6.4067581704311607</v>
      </c>
      <c r="F10" s="33">
        <f>$C$30*('E Balans VL '!L14+'E Balans VL '!N14)/100/3.6*1000000</f>
        <v>940.57638029324175</v>
      </c>
      <c r="G10" s="34"/>
      <c r="H10" s="33"/>
      <c r="I10" s="33"/>
      <c r="J10" s="33">
        <f>$C$30*('E Balans VL '!D14+'E Balans VL '!E14)/100/3.6*1000000</f>
        <v>0</v>
      </c>
      <c r="K10" s="33"/>
      <c r="L10" s="33"/>
      <c r="M10" s="33"/>
      <c r="N10" s="33">
        <f>$C$30*'E Balans VL '!Y14/100/3.6*1000000</f>
        <v>3357.5439997852441</v>
      </c>
      <c r="O10" s="33"/>
      <c r="P10" s="33"/>
      <c r="R10" s="32"/>
    </row>
    <row r="11" spans="1:18">
      <c r="A11" s="32" t="s">
        <v>55</v>
      </c>
      <c r="B11" s="37">
        <f t="shared" si="0"/>
        <v>3318.1239319000001</v>
      </c>
      <c r="C11" s="33"/>
      <c r="D11" s="37">
        <f>IF(ISERROR(TER_onderwijs_gas_kWh/1000),0,TER_onderwijs_gas_kWh/1000)*0.902</f>
        <v>7671.8966026120015</v>
      </c>
      <c r="E11" s="33">
        <f>$C$31*'E Balans VL '!I11/100/3.6*1000000</f>
        <v>5.8434943019002485</v>
      </c>
      <c r="F11" s="33">
        <f>$C$31*('E Balans VL '!L11+'E Balans VL '!N11)/100/3.6*1000000</f>
        <v>1532.0378607114737</v>
      </c>
      <c r="G11" s="34"/>
      <c r="H11" s="33"/>
      <c r="I11" s="33"/>
      <c r="J11" s="33">
        <f>$C$31*('E Balans VL '!D11+'E Balans VL '!E11)/100/3.6*1000000</f>
        <v>0</v>
      </c>
      <c r="K11" s="33"/>
      <c r="L11" s="33"/>
      <c r="M11" s="33"/>
      <c r="N11" s="33">
        <f>$C$31*'E Balans VL '!Y11/100/3.6*1000000</f>
        <v>6.1817107707312884</v>
      </c>
      <c r="O11" s="33"/>
      <c r="P11" s="33"/>
      <c r="R11" s="32"/>
    </row>
    <row r="12" spans="1:18">
      <c r="A12" s="32" t="s">
        <v>260</v>
      </c>
      <c r="B12" s="37">
        <f t="shared" si="0"/>
        <v>4320.2389057999999</v>
      </c>
      <c r="C12" s="33"/>
      <c r="D12" s="37">
        <f>IF(ISERROR(TER_rest_gas_kWh/1000),0,TER_rest_gas_kWh/1000)*0.902</f>
        <v>10452.679737676001</v>
      </c>
      <c r="E12" s="33">
        <f>$C$32*'E Balans VL '!I8/100/3.6*1000000</f>
        <v>76.06433644397579</v>
      </c>
      <c r="F12" s="33">
        <f>$C$32*('E Balans VL '!L8+'E Balans VL '!N8)/100/3.6*1000000</f>
        <v>1113.0288706268575</v>
      </c>
      <c r="G12" s="34"/>
      <c r="H12" s="33"/>
      <c r="I12" s="33"/>
      <c r="J12" s="33">
        <f>$C$32*('E Balans VL '!D8+'E Balans VL '!E8)/100/3.6*1000000</f>
        <v>0</v>
      </c>
      <c r="K12" s="33"/>
      <c r="L12" s="33"/>
      <c r="M12" s="33"/>
      <c r="N12" s="33">
        <f>$C$32*'E Balans VL '!Y8/100/3.6*1000000</f>
        <v>381.22633739065662</v>
      </c>
      <c r="O12" s="33"/>
      <c r="P12" s="33"/>
      <c r="R12" s="32"/>
    </row>
    <row r="13" spans="1:18">
      <c r="A13" s="16" t="s">
        <v>491</v>
      </c>
      <c r="B13" s="247">
        <f ca="1">'lokale energieproductie'!N91+'lokale energieproductie'!N60</f>
        <v>1656</v>
      </c>
      <c r="C13" s="247">
        <f ca="1">'lokale energieproductie'!O91+'lokale energieproductie'!O60</f>
        <v>1575.0000000000002</v>
      </c>
      <c r="D13" s="310">
        <f ca="1">('lokale energieproductie'!P60+'lokale energieproductie'!P91)*(-1)</f>
        <v>-2100.0000000000005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88277.307451100001</v>
      </c>
      <c r="C16" s="21">
        <f t="shared" ca="1" si="1"/>
        <v>1575.0000000000002</v>
      </c>
      <c r="D16" s="21">
        <f t="shared" ca="1" si="1"/>
        <v>116060.6653801442</v>
      </c>
      <c r="E16" s="21">
        <f t="shared" si="1"/>
        <v>1646.482710597872</v>
      </c>
      <c r="F16" s="21">
        <f t="shared" ca="1" si="1"/>
        <v>21444.225247264807</v>
      </c>
      <c r="G16" s="21">
        <f t="shared" si="1"/>
        <v>0</v>
      </c>
      <c r="H16" s="21">
        <f t="shared" si="1"/>
        <v>0</v>
      </c>
      <c r="I16" s="21">
        <f t="shared" si="1"/>
        <v>0</v>
      </c>
      <c r="J16" s="21">
        <f t="shared" si="1"/>
        <v>0</v>
      </c>
      <c r="K16" s="21">
        <f t="shared" si="1"/>
        <v>0</v>
      </c>
      <c r="L16" s="21">
        <f t="shared" ca="1" si="1"/>
        <v>0</v>
      </c>
      <c r="M16" s="21">
        <f t="shared" si="1"/>
        <v>0</v>
      </c>
      <c r="N16" s="21">
        <f t="shared" ca="1" si="1"/>
        <v>145.88839266505238</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0.21055801794996451</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18587.494886863249</v>
      </c>
      <c r="C20" s="23">
        <f t="shared" ref="C20:P20" ca="1" si="2">C16*C18</f>
        <v>369.84310156534406</v>
      </c>
      <c r="D20" s="23">
        <f t="shared" ca="1" si="2"/>
        <v>23444.254406789129</v>
      </c>
      <c r="E20" s="23">
        <f t="shared" si="2"/>
        <v>373.75157530571698</v>
      </c>
      <c r="F20" s="23">
        <f t="shared" ca="1" si="2"/>
        <v>5725.6081410197039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19035.144602</v>
      </c>
      <c r="C26" s="39">
        <f>IF(ISERROR(B26*3.6/1000000/'E Balans VL '!Z12*100),0,B26*3.6/1000000/'E Balans VL '!Z12*100)</f>
        <v>0.4077475852028502</v>
      </c>
      <c r="D26" s="237" t="s">
        <v>660</v>
      </c>
      <c r="F26" s="6"/>
    </row>
    <row r="27" spans="1:18">
      <c r="A27" s="231" t="s">
        <v>53</v>
      </c>
      <c r="B27" s="33">
        <f>IF(ISERROR(TER_horeca_ele_kWh/1000),0,TER_horeca_ele_kWh/1000)</f>
        <v>8142.0106612</v>
      </c>
      <c r="C27" s="39">
        <f>IF(ISERROR(B27*3.6/1000000/'E Balans VL '!Z9*100),0,B27*3.6/1000000/'E Balans VL '!Z9*100)</f>
        <v>0.6533680542211181</v>
      </c>
      <c r="D27" s="237" t="s">
        <v>660</v>
      </c>
      <c r="F27" s="6"/>
    </row>
    <row r="28" spans="1:18">
      <c r="A28" s="171" t="s">
        <v>52</v>
      </c>
      <c r="B28" s="33">
        <f>IF(ISERROR(TER_handel_ele_kWh/1000),0,TER_handel_ele_kWh/1000)</f>
        <v>32876.913367000001</v>
      </c>
      <c r="C28" s="39">
        <f>IF(ISERROR(B28*3.6/1000000/'E Balans VL '!Z13*100),0,B28*3.6/1000000/'E Balans VL '!Z13*100)</f>
        <v>0.96968036987305095</v>
      </c>
      <c r="D28" s="237" t="s">
        <v>660</v>
      </c>
      <c r="F28" s="6"/>
    </row>
    <row r="29" spans="1:18">
      <c r="A29" s="231" t="s">
        <v>51</v>
      </c>
      <c r="B29" s="33">
        <f>IF(ISERROR(TER_gezond_ele_kWh/1000),0,TER_gezond_ele_kWh/1000)</f>
        <v>14668.397201</v>
      </c>
      <c r="C29" s="39">
        <f>IF(ISERROR(B29*3.6/1000000/'E Balans VL '!Z10*100),0,B29*3.6/1000000/'E Balans VL '!Z10*100)</f>
        <v>1.5661915465901697</v>
      </c>
      <c r="D29" s="237" t="s">
        <v>660</v>
      </c>
      <c r="F29" s="6"/>
    </row>
    <row r="30" spans="1:18">
      <c r="A30" s="231" t="s">
        <v>50</v>
      </c>
      <c r="B30" s="33">
        <f>IF(ISERROR(TER_ander_ele_kWh/1000),0,TER_ander_ele_kWh/1000)</f>
        <v>4260.4787821999998</v>
      </c>
      <c r="C30" s="39">
        <f>IF(ISERROR(B30*3.6/1000000/'E Balans VL '!Z14*100),0,B30*3.6/1000000/'E Balans VL '!Z14*100)</f>
        <v>0.32181069264490203</v>
      </c>
      <c r="D30" s="237" t="s">
        <v>660</v>
      </c>
      <c r="F30" s="6"/>
    </row>
    <row r="31" spans="1:18">
      <c r="A31" s="231" t="s">
        <v>55</v>
      </c>
      <c r="B31" s="33">
        <f>IF(ISERROR(TER_onderwijs_ele_kWh/1000),0,TER_onderwijs_ele_kWh/1000)</f>
        <v>3318.1239319000001</v>
      </c>
      <c r="C31" s="39">
        <f>IF(ISERROR(B31*3.6/1000000/'E Balans VL '!Z11*100),0,B31*3.6/1000000/'E Balans VL '!Z11*100)</f>
        <v>0.67003998938471532</v>
      </c>
      <c r="D31" s="237" t="s">
        <v>660</v>
      </c>
    </row>
    <row r="32" spans="1:18">
      <c r="A32" s="231" t="s">
        <v>260</v>
      </c>
      <c r="B32" s="33">
        <f>IF(ISERROR(TER_rest_ele_kWh/1000),0,TER_rest_ele_kWh/1000)</f>
        <v>4320.2389057999999</v>
      </c>
      <c r="C32" s="39">
        <f>IF(ISERROR(B32*3.6/1000000/'E Balans VL '!Z8*100),0,B32*3.6/1000000/'E Balans VL '!Z8*100)</f>
        <v>3.5820796418358974E-2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184690.09711653</v>
      </c>
      <c r="C5" s="17">
        <f>IF(ISERROR('Eigen informatie GS &amp; warmtenet'!B59),0,'Eigen informatie GS &amp; warmtenet'!B59)</f>
        <v>0</v>
      </c>
      <c r="D5" s="30">
        <f>SUM(D6:D15)</f>
        <v>155717.38666162034</v>
      </c>
      <c r="E5" s="17">
        <f>SUM(E6:E15)</f>
        <v>9523.9954336567134</v>
      </c>
      <c r="F5" s="17">
        <f>SUM(F6:F15)</f>
        <v>39213.956526337817</v>
      </c>
      <c r="G5" s="18"/>
      <c r="H5" s="17"/>
      <c r="I5" s="17"/>
      <c r="J5" s="17">
        <f>SUM(J6:J15)</f>
        <v>2666.3709953868802</v>
      </c>
      <c r="K5" s="17"/>
      <c r="L5" s="17"/>
      <c r="M5" s="17"/>
      <c r="N5" s="17">
        <f>SUM(N6:N15)</f>
        <v>81966.525167333428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875.33384478000005</v>
      </c>
      <c r="C8" s="33"/>
      <c r="D8" s="37">
        <f>IF( ISERROR(IND_metaal_Gas_kWH/1000),0,IND_metaal_Gas_kWH/1000)*0.902</f>
        <v>718.29535360440013</v>
      </c>
      <c r="E8" s="33">
        <f>C30*'E Balans VL '!I18/100/3.6*1000000</f>
        <v>31.497159799571865</v>
      </c>
      <c r="F8" s="33">
        <f>C30*'E Balans VL '!L18/100/3.6*1000000+C30*'E Balans VL '!N18/100/3.6*1000000</f>
        <v>382.22991474506995</v>
      </c>
      <c r="G8" s="34"/>
      <c r="H8" s="33"/>
      <c r="I8" s="33"/>
      <c r="J8" s="40">
        <f>C30*'E Balans VL '!D18/100/3.6*1000000+C30*'E Balans VL '!E18/100/3.6*1000000</f>
        <v>0</v>
      </c>
      <c r="K8" s="33"/>
      <c r="L8" s="33"/>
      <c r="M8" s="33"/>
      <c r="N8" s="33">
        <f>C30*'E Balans VL '!Y18/100/3.6*1000000</f>
        <v>43.871137447995757</v>
      </c>
      <c r="O8" s="33"/>
      <c r="P8" s="33"/>
      <c r="R8" s="32"/>
    </row>
    <row r="9" spans="1:18">
      <c r="A9" s="6" t="s">
        <v>33</v>
      </c>
      <c r="B9" s="37">
        <f t="shared" si="0"/>
        <v>11900.709895</v>
      </c>
      <c r="C9" s="33"/>
      <c r="D9" s="37">
        <f>IF( ISERROR(IND_andere_gas_kWh/1000),0,IND_andere_gas_kWh/1000)*0.902</f>
        <v>5161.7326888072002</v>
      </c>
      <c r="E9" s="33">
        <f>C31*'E Balans VL '!I19/100/3.6*1000000</f>
        <v>3036.7919041009027</v>
      </c>
      <c r="F9" s="33">
        <f>C31*'E Balans VL '!L19/100/3.6*1000000+C31*'E Balans VL '!N19/100/3.6*1000000</f>
        <v>10245.616727464427</v>
      </c>
      <c r="G9" s="34"/>
      <c r="H9" s="33"/>
      <c r="I9" s="33"/>
      <c r="J9" s="40">
        <f>C31*'E Balans VL '!D19/100/3.6*1000000+C31*'E Balans VL '!E19/100/3.6*1000000</f>
        <v>0</v>
      </c>
      <c r="K9" s="33"/>
      <c r="L9" s="33"/>
      <c r="M9" s="33"/>
      <c r="N9" s="33">
        <f>C31*'E Balans VL '!Y19/100/3.6*1000000</f>
        <v>3721.7595409156747</v>
      </c>
      <c r="O9" s="33"/>
      <c r="P9" s="33"/>
      <c r="R9" s="32"/>
    </row>
    <row r="10" spans="1:18">
      <c r="A10" s="6" t="s">
        <v>41</v>
      </c>
      <c r="B10" s="37">
        <f t="shared" si="0"/>
        <v>19656.752166999999</v>
      </c>
      <c r="C10" s="33"/>
      <c r="D10" s="37">
        <f>IF( ISERROR(IND_voed_gas_kWh/1000),0,IND_voed_gas_kWh/1000)*0.902</f>
        <v>35965.025455128001</v>
      </c>
      <c r="E10" s="33">
        <f>C32*'E Balans VL '!I20/100/3.6*1000000</f>
        <v>499.70163101772675</v>
      </c>
      <c r="F10" s="33">
        <f>C32*'E Balans VL '!L20/100/3.6*1000000+C32*'E Balans VL '!N20/100/3.6*1000000</f>
        <v>4448.0279420949373</v>
      </c>
      <c r="G10" s="34"/>
      <c r="H10" s="33"/>
      <c r="I10" s="33"/>
      <c r="J10" s="40">
        <f>C32*'E Balans VL '!D20/100/3.6*1000000+C32*'E Balans VL '!E20/100/3.6*1000000</f>
        <v>0</v>
      </c>
      <c r="K10" s="33"/>
      <c r="L10" s="33"/>
      <c r="M10" s="33"/>
      <c r="N10" s="33">
        <f>C32*'E Balans VL '!Y20/100/3.6*1000000</f>
        <v>7371.8148798501388</v>
      </c>
      <c r="O10" s="33"/>
      <c r="P10" s="33"/>
      <c r="R10" s="32"/>
    </row>
    <row r="11" spans="1:18">
      <c r="A11" s="6" t="s">
        <v>40</v>
      </c>
      <c r="B11" s="37">
        <f t="shared" si="0"/>
        <v>14.85190467</v>
      </c>
      <c r="C11" s="33"/>
      <c r="D11" s="37">
        <f>IF( ISERROR(IND_textiel_gas_kWh/1000),0,IND_textiel_gas_kWh/1000)*0.902</f>
        <v>74.008794702766011</v>
      </c>
      <c r="E11" s="33">
        <f>C33*'E Balans VL '!I21/100/3.6*1000000</f>
        <v>4.0772472335684547E-2</v>
      </c>
      <c r="F11" s="33">
        <f>C33*'E Balans VL '!L21/100/3.6*1000000+C33*'E Balans VL '!N21/100/3.6*1000000</f>
        <v>0.7873860897411139</v>
      </c>
      <c r="G11" s="34"/>
      <c r="H11" s="33"/>
      <c r="I11" s="33"/>
      <c r="J11" s="40">
        <f>C33*'E Balans VL '!D21/100/3.6*1000000+C33*'E Balans VL '!E21/100/3.6*1000000</f>
        <v>0</v>
      </c>
      <c r="K11" s="33"/>
      <c r="L11" s="33"/>
      <c r="M11" s="33"/>
      <c r="N11" s="33">
        <f>C33*'E Balans VL '!Y21/100/3.6*1000000</f>
        <v>2.9849870654807327E-2</v>
      </c>
      <c r="O11" s="33"/>
      <c r="P11" s="33"/>
      <c r="R11" s="32"/>
    </row>
    <row r="12" spans="1:18">
      <c r="A12" s="6" t="s">
        <v>37</v>
      </c>
      <c r="B12" s="37">
        <f t="shared" si="0"/>
        <v>452.41119608000002</v>
      </c>
      <c r="C12" s="33"/>
      <c r="D12" s="37">
        <f>IF( ISERROR(IND_min_gas_kWh/1000),0,IND_min_gas_kWh/1000)*0.902</f>
        <v>0</v>
      </c>
      <c r="E12" s="33">
        <f>C34*'E Balans VL '!I22/100/3.6*1000000</f>
        <v>9.6126040737100809</v>
      </c>
      <c r="F12" s="33">
        <f>C34*'E Balans VL '!L22/100/3.6*1000000+C34*'E Balans VL '!N22/100/3.6*1000000</f>
        <v>73.814742133279765</v>
      </c>
      <c r="G12" s="34"/>
      <c r="H12" s="33"/>
      <c r="I12" s="33"/>
      <c r="J12" s="40">
        <f>C34*'E Balans VL '!D22/100/3.6*1000000+C34*'E Balans VL '!E22/100/3.6*1000000</f>
        <v>0.52710126267763024</v>
      </c>
      <c r="K12" s="33"/>
      <c r="L12" s="33"/>
      <c r="M12" s="33"/>
      <c r="N12" s="33">
        <f>C34*'E Balans VL '!Y22/100/3.6*1000000</f>
        <v>0</v>
      </c>
      <c r="O12" s="33"/>
      <c r="P12" s="33"/>
      <c r="R12" s="32"/>
    </row>
    <row r="13" spans="1:18">
      <c r="A13" s="6" t="s">
        <v>39</v>
      </c>
      <c r="B13" s="37">
        <f t="shared" si="0"/>
        <v>26908.408879000002</v>
      </c>
      <c r="C13" s="33"/>
      <c r="D13" s="37">
        <f>IF( ISERROR(IND_papier_gas_kWh/1000),0,IND_papier_gas_kWh/1000)*0.902</f>
        <v>28004.490959588002</v>
      </c>
      <c r="E13" s="33">
        <f>C35*'E Balans VL '!I23/100/3.6*1000000</f>
        <v>115.40233754736049</v>
      </c>
      <c r="F13" s="33">
        <f>C35*'E Balans VL '!L23/100/3.6*1000000+C35*'E Balans VL '!N23/100/3.6*1000000</f>
        <v>676.29183351364645</v>
      </c>
      <c r="G13" s="34"/>
      <c r="H13" s="33"/>
      <c r="I13" s="33"/>
      <c r="J13" s="40">
        <f>C35*'E Balans VL '!D23/100/3.6*1000000+C35*'E Balans VL '!E23/100/3.6*1000000</f>
        <v>1801.3703878974629</v>
      </c>
      <c r="K13" s="33"/>
      <c r="L13" s="33"/>
      <c r="M13" s="33"/>
      <c r="N13" s="33">
        <f>C35*'E Balans VL '!Y23/100/3.6*1000000</f>
        <v>48979.70322355086</v>
      </c>
      <c r="O13" s="33"/>
      <c r="P13" s="33"/>
      <c r="R13" s="32"/>
    </row>
    <row r="14" spans="1:18">
      <c r="A14" s="6" t="s">
        <v>34</v>
      </c>
      <c r="B14" s="37">
        <f t="shared" si="0"/>
        <v>18250.176800000001</v>
      </c>
      <c r="C14" s="33"/>
      <c r="D14" s="37">
        <f>IF( ISERROR(IND_chemie_gas_kWh/1000),0,IND_chemie_gas_kWh/1000)*0.902</f>
        <v>11363.004790874</v>
      </c>
      <c r="E14" s="33">
        <f>C36*'E Balans VL '!I24/100/3.6*1000000</f>
        <v>43.751940228319292</v>
      </c>
      <c r="F14" s="33">
        <f>C36*'E Balans VL '!L24/100/3.6*1000000+C36*'E Balans VL '!N24/100/3.6*1000000</f>
        <v>146.46179708717236</v>
      </c>
      <c r="G14" s="34"/>
      <c r="H14" s="33"/>
      <c r="I14" s="33"/>
      <c r="J14" s="40">
        <f>C36*'E Balans VL '!D24/100/3.6*1000000+C36*'E Balans VL '!E24/100/3.6*1000000</f>
        <v>0</v>
      </c>
      <c r="K14" s="33"/>
      <c r="L14" s="33"/>
      <c r="M14" s="33"/>
      <c r="N14" s="33">
        <f>C36*'E Balans VL '!Y24/100/3.6*1000000</f>
        <v>377.21700580974164</v>
      </c>
      <c r="O14" s="33"/>
      <c r="P14" s="33"/>
      <c r="R14" s="32"/>
    </row>
    <row r="15" spans="1:18">
      <c r="A15" s="6" t="s">
        <v>270</v>
      </c>
      <c r="B15" s="37">
        <f t="shared" si="0"/>
        <v>106631.45243</v>
      </c>
      <c r="C15" s="33"/>
      <c r="D15" s="37">
        <f>IF( ISERROR(IND_rest_gas_kWh/1000),0,IND_rest_gas_kWh/1000)*0.902</f>
        <v>74430.828618915999</v>
      </c>
      <c r="E15" s="33">
        <f>C37*'E Balans VL '!I15/100/3.6*1000000</f>
        <v>5787.1970844167872</v>
      </c>
      <c r="F15" s="33">
        <f>C37*'E Balans VL '!L15/100/3.6*1000000+C37*'E Balans VL '!N15/100/3.6*1000000</f>
        <v>23240.726183209539</v>
      </c>
      <c r="G15" s="34"/>
      <c r="H15" s="33"/>
      <c r="I15" s="33"/>
      <c r="J15" s="40">
        <f>C37*'E Balans VL '!D15/100/3.6*1000000+C37*'E Balans VL '!E15/100/3.6*1000000</f>
        <v>864.4735062267398</v>
      </c>
      <c r="K15" s="33"/>
      <c r="L15" s="33"/>
      <c r="M15" s="33"/>
      <c r="N15" s="33">
        <f>C37*'E Balans VL '!Y15/100/3.6*1000000</f>
        <v>21472.129529888367</v>
      </c>
      <c r="O15" s="33"/>
      <c r="P15" s="33"/>
      <c r="R15" s="32"/>
    </row>
    <row r="16" spans="1:18">
      <c r="A16" s="16" t="s">
        <v>491</v>
      </c>
      <c r="B16" s="247">
        <f>'lokale energieproductie'!N90+'lokale energieproductie'!N59</f>
        <v>2857.5</v>
      </c>
      <c r="C16" s="247">
        <f>'lokale energieproductie'!O90+'lokale energieproductie'!O59</f>
        <v>4082.1428571428573</v>
      </c>
      <c r="D16" s="310">
        <f>('lokale energieproductie'!P59+'lokale energieproductie'!P90)*(-1)</f>
        <v>-8164.2857142857147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187547.59711653</v>
      </c>
      <c r="C18" s="21">
        <f>C5+C16</f>
        <v>4082.1428571428573</v>
      </c>
      <c r="D18" s="21">
        <f>MAX((D5+D16),0)</f>
        <v>147553.10094733463</v>
      </c>
      <c r="E18" s="21">
        <f>MAX((E5+E16),0)</f>
        <v>9523.9954336567134</v>
      </c>
      <c r="F18" s="21">
        <f>MAX((F5+F16),0)</f>
        <v>39213.956526337817</v>
      </c>
      <c r="G18" s="21"/>
      <c r="H18" s="21"/>
      <c r="I18" s="21"/>
      <c r="J18" s="21">
        <f>MAX((J5+J16),0)</f>
        <v>2666.3709953868802</v>
      </c>
      <c r="K18" s="21"/>
      <c r="L18" s="21">
        <f>MAX((L5+L16),0)</f>
        <v>0</v>
      </c>
      <c r="M18" s="21"/>
      <c r="N18" s="21">
        <f>MAX((N5+N16),0)</f>
        <v>81966.525167333428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0.21055801794996451</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39489.650320135035</v>
      </c>
      <c r="C22" s="23">
        <f ca="1">C18*C20</f>
        <v>958.57293671017737</v>
      </c>
      <c r="D22" s="23">
        <f>D18*D20</f>
        <v>29805.726391361597</v>
      </c>
      <c r="E22" s="23">
        <f>E18*E20</f>
        <v>2161.9469634400739</v>
      </c>
      <c r="F22" s="23">
        <f>F18*F20</f>
        <v>10470.126392532198</v>
      </c>
      <c r="G22" s="23"/>
      <c r="H22" s="23"/>
      <c r="I22" s="23"/>
      <c r="J22" s="23">
        <f>J18*J20</f>
        <v>943.89533236695559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875.33384478000005</v>
      </c>
      <c r="C30" s="39">
        <f>IF(ISERROR(B30*3.6/1000000/'E Balans VL '!Z18*100),0,B30*3.6/1000000/'E Balans VL '!Z18*100)</f>
        <v>0.1854644750458555</v>
      </c>
      <c r="D30" s="237" t="s">
        <v>660</v>
      </c>
    </row>
    <row r="31" spans="1:18">
      <c r="A31" s="6" t="s">
        <v>33</v>
      </c>
      <c r="B31" s="37">
        <f>IF( ISERROR(IND_ander_ele_kWh/1000),0,IND_ander_ele_kWh/1000)</f>
        <v>11900.709895</v>
      </c>
      <c r="C31" s="39">
        <f>IF(ISERROR(B31*3.6/1000000/'E Balans VL '!Z19*100),0,B31*3.6/1000000/'E Balans VL '!Z19*100)</f>
        <v>0.50092790200760462</v>
      </c>
      <c r="D31" s="237" t="s">
        <v>660</v>
      </c>
    </row>
    <row r="32" spans="1:18">
      <c r="A32" s="171" t="s">
        <v>41</v>
      </c>
      <c r="B32" s="37">
        <f>IF( ISERROR(IND_voed_ele_kWh/1000),0,IND_voed_ele_kWh/1000)</f>
        <v>19656.752166999999</v>
      </c>
      <c r="C32" s="39">
        <f>IF(ISERROR(B32*3.6/1000000/'E Balans VL '!Z20*100),0,B32*3.6/1000000/'E Balans VL '!Z20*100)</f>
        <v>3.2838828503521293</v>
      </c>
      <c r="D32" s="237" t="s">
        <v>660</v>
      </c>
    </row>
    <row r="33" spans="1:5">
      <c r="A33" s="171" t="s">
        <v>40</v>
      </c>
      <c r="B33" s="37">
        <f>IF( ISERROR(IND_textiel_ele_kWh/1000),0,IND_textiel_ele_kWh/1000)</f>
        <v>14.85190467</v>
      </c>
      <c r="C33" s="39">
        <f>IF(ISERROR(B33*3.6/1000000/'E Balans VL '!Z21*100),0,B33*3.6/1000000/'E Balans VL '!Z21*100)</f>
        <v>8.6709863921008944E-4</v>
      </c>
      <c r="D33" s="237" t="s">
        <v>660</v>
      </c>
    </row>
    <row r="34" spans="1:5">
      <c r="A34" s="171" t="s">
        <v>37</v>
      </c>
      <c r="B34" s="37">
        <f>IF( ISERROR(IND_min_ele_kWh/1000),0,IND_min_ele_kWh/1000)</f>
        <v>452.41119608000002</v>
      </c>
      <c r="C34" s="39">
        <f>IF(ISERROR(B34*3.6/1000000/'E Balans VL '!Z22*100),0,B34*3.6/1000000/'E Balans VL '!Z22*100)</f>
        <v>5.7345558949514458E-2</v>
      </c>
      <c r="D34" s="237" t="s">
        <v>660</v>
      </c>
    </row>
    <row r="35" spans="1:5">
      <c r="A35" s="171" t="s">
        <v>39</v>
      </c>
      <c r="B35" s="37">
        <f>IF( ISERROR(IND_papier_ele_kWh/1000),0,IND_papier_ele_kWh/1000)</f>
        <v>26908.408879000002</v>
      </c>
      <c r="C35" s="39">
        <f>IF(ISERROR(B35*3.6/1000000/'E Balans VL '!Z22*100),0,B35*3.6/1000000/'E Balans VL '!Z22*100)</f>
        <v>3.4107859420337379</v>
      </c>
      <c r="D35" s="237" t="s">
        <v>660</v>
      </c>
    </row>
    <row r="36" spans="1:5">
      <c r="A36" s="171" t="s">
        <v>34</v>
      </c>
      <c r="B36" s="37">
        <f>IF( ISERROR(IND_chemie_ele_kWh/1000),0,IND_chemie_ele_kWh/1000)</f>
        <v>18250.176800000001</v>
      </c>
      <c r="C36" s="39">
        <f>IF(ISERROR(B36*3.6/1000000/'E Balans VL '!Z24*100),0,B36*3.6/1000000/'E Balans VL '!Z24*100)</f>
        <v>0.59276633099055742</v>
      </c>
      <c r="D36" s="237" t="s">
        <v>660</v>
      </c>
    </row>
    <row r="37" spans="1:5">
      <c r="A37" s="171" t="s">
        <v>270</v>
      </c>
      <c r="B37" s="37">
        <f>IF( ISERROR(IND_rest_ele_kWh/1000),0,IND_rest_ele_kWh/1000)</f>
        <v>106631.45243</v>
      </c>
      <c r="C37" s="39">
        <f>IF(ISERROR(B37*3.6/1000000/'E Balans VL '!Z15*100),0,B37*3.6/1000000/'E Balans VL '!Z15*100)</f>
        <v>0.86087700505822762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1434.6653547799999</v>
      </c>
      <c r="C5" s="17">
        <f>'Eigen informatie GS &amp; warmtenet'!B60</f>
        <v>0</v>
      </c>
      <c r="D5" s="30">
        <f>IF(ISERROR(SUM(LB_lb_gas_kWh,LB_rest_gas_kWh)/1000),0,SUM(LB_lb_gas_kWh,LB_rest_gas_kWh)/1000)*0.902</f>
        <v>2283.8640216480003</v>
      </c>
      <c r="E5" s="17">
        <f>B17*'E Balans VL '!I25/3.6*1000000/100</f>
        <v>36.994511021675194</v>
      </c>
      <c r="F5" s="17">
        <f>B17*('E Balans VL '!L25/3.6*1000000+'E Balans VL '!N25/3.6*1000000)/100</f>
        <v>5243.975090465532</v>
      </c>
      <c r="G5" s="18"/>
      <c r="H5" s="17"/>
      <c r="I5" s="17"/>
      <c r="J5" s="17">
        <f>('E Balans VL '!D25+'E Balans VL '!E25)/3.6*1000000*landbouw!B17/100</f>
        <v>206.53903454589761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1434.6653547799999</v>
      </c>
      <c r="C8" s="21">
        <f>C5+C6</f>
        <v>0</v>
      </c>
      <c r="D8" s="21">
        <f>MAX((D5+D6),0)</f>
        <v>2283.8640216480003</v>
      </c>
      <c r="E8" s="21">
        <f>MAX((E5+E6),0)</f>
        <v>36.994511021675194</v>
      </c>
      <c r="F8" s="21">
        <f>MAX((F5+F6),0)</f>
        <v>5243.975090465532</v>
      </c>
      <c r="G8" s="21"/>
      <c r="H8" s="21"/>
      <c r="I8" s="21"/>
      <c r="J8" s="21">
        <f>MAX((J5+J6),0)</f>
        <v>206.53903454589761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0.21055801794996451</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302.08029352395943</v>
      </c>
      <c r="C12" s="23">
        <f ca="1">C8*C10</f>
        <v>0</v>
      </c>
      <c r="D12" s="23">
        <f>D8*D10</f>
        <v>461.34053237289606</v>
      </c>
      <c r="E12" s="23">
        <f>E8*E10</f>
        <v>8.3977540019202692</v>
      </c>
      <c r="F12" s="23">
        <f>F8*F10</f>
        <v>1400.1413491542971</v>
      </c>
      <c r="G12" s="23"/>
      <c r="H12" s="23"/>
      <c r="I12" s="23"/>
      <c r="J12" s="23">
        <f>J8*J10</f>
        <v>73.114818229247746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0.20229731803420525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260.72381454299563</v>
      </c>
      <c r="C26" s="247">
        <f>B26*'GWP N2O_CH4'!B5</f>
        <v>5475.2001054029079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87.854401386246465</v>
      </c>
      <c r="C27" s="247">
        <f>B27*'GWP N2O_CH4'!B5</f>
        <v>1844.9424291111757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6.2089206470207454</v>
      </c>
      <c r="C28" s="247">
        <f>B28*'GWP N2O_CH4'!B4</f>
        <v>1924.7654005764311</v>
      </c>
      <c r="D28" s="50"/>
    </row>
    <row r="29" spans="1:4">
      <c r="A29" s="41" t="s">
        <v>277</v>
      </c>
      <c r="B29" s="247">
        <f>B34*'ha_N2O bodem landbouw'!B4</f>
        <v>14.714920255307549</v>
      </c>
      <c r="C29" s="247">
        <f>B29*'GWP N2O_CH4'!B4</f>
        <v>4561.6252791453398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3.3116566894716838E-3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2.0784303106053344E-4</v>
      </c>
      <c r="C5" s="463" t="s">
        <v>211</v>
      </c>
      <c r="D5" s="448">
        <f>SUM(D6:D11)</f>
        <v>4.5640306906323129E-4</v>
      </c>
      <c r="E5" s="448">
        <f>SUM(E6:E11)</f>
        <v>1.8759393321555473E-3</v>
      </c>
      <c r="F5" s="461" t="s">
        <v>211</v>
      </c>
      <c r="G5" s="448">
        <f>SUM(G6:G11)</f>
        <v>0.73019550656036247</v>
      </c>
      <c r="H5" s="448">
        <f>SUM(H6:H11)</f>
        <v>0.1241774038707925</v>
      </c>
      <c r="I5" s="463" t="s">
        <v>211</v>
      </c>
      <c r="J5" s="463" t="s">
        <v>211</v>
      </c>
      <c r="K5" s="463" t="s">
        <v>211</v>
      </c>
      <c r="L5" s="463" t="s">
        <v>211</v>
      </c>
      <c r="M5" s="448">
        <f>SUM(M6:M11)</f>
        <v>2.6724749129383947E-2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1.3006025270984376E-4</v>
      </c>
      <c r="C6" s="449"/>
      <c r="D6" s="892">
        <f>vkm_2011_GW_PW*SUMIFS(TableVerdeelsleutelVkm[CNG],TableVerdeelsleutelVkm[Voertuigtype],"Lichte voertuigen")*SUMIFS(TableECFTransport[EnergieConsumptieFactor (PJ per km)],TableECFTransport[Index],CONCATENATE($A6,"_CNG_CNG"))</f>
        <v>2.5843200033935816E-4</v>
      </c>
      <c r="E6" s="892">
        <f>vkm_2011_GW_PW*SUMIFS(TableVerdeelsleutelVkm[LPG],TableVerdeelsleutelVkm[Voertuigtype],"Lichte voertuigen")*SUMIFS(TableECFTransport[EnergieConsumptieFactor (PJ per km)],TableECFTransport[Index],CONCATENATE($A6,"_LPG_LPG"))</f>
        <v>1.0170225622627182E-3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0.24181306922711363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6.9965317246711012E-2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9.7153024228958697E-3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0.13932520506796661</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4.5007992305184194E-5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4.3899240335299834E-3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2.5153539328141725E-5</v>
      </c>
      <c r="C8" s="449"/>
      <c r="D8" s="451">
        <f>vkm_2011_NGW_PW*SUMIFS(TableVerdeelsleutelVkm[CNG],TableVerdeelsleutelVkm[Voertuigtype],"Lichte voertuigen")*SUMIFS(TableECFTransport[EnergieConsumptieFactor (PJ per km)],TableECFTransport[Index],CONCATENATE($A8,"_CNG_CNG"))</f>
        <v>8.8497274261619874E-5</v>
      </c>
      <c r="E8" s="451">
        <f>vkm_2011_NGW_PW*SUMIFS(TableVerdeelsleutelVkm[LPG],TableVerdeelsleutelVkm[Voertuigtype],"Lichte voertuigen")*SUMIFS(TableECFTransport[EnergieConsumptieFactor (PJ per km)],TableECFTransport[Index],CONCATENATE($A8,"_LPG_LPG"))</f>
        <v>3.2208683397873353E-4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7.1512331333824689E-2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2.3231830388562618E-2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2.9493487842936149E-3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6.732501585024247E-3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2.05683631981513E-6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2.1212728302644616E-4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5.2629239022547964E-5</v>
      </c>
      <c r="C10" s="449"/>
      <c r="D10" s="451">
        <f>vkm_2011_SW_PW*SUMIFS(TableVerdeelsleutelVkm[CNG],TableVerdeelsleutelVkm[Voertuigtype],"Lichte voertuigen")*SUMIFS(TableECFTransport[EnergieConsumptieFactor (PJ per km)],TableECFTransport[Index],CONCATENATE($A10,"_CNG_CNG"))</f>
        <v>1.0947379446225327E-4</v>
      </c>
      <c r="E10" s="451">
        <f>vkm_2011_SW_PW*SUMIFS(TableVerdeelsleutelVkm[LPG],TableVerdeelsleutelVkm[Voertuigtype],"Lichte voertuigen")*SUMIFS(TableECFTransport[EnergieConsumptieFactor (PJ per km)],TableECFTransport[Index],CONCATENATE($A10,"_LPG_LPG"))</f>
        <v>5.3682993591409552E-4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0.11433861267036538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3.0878729376983351E-2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4.5276796013895863E-3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0.15647378667606798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5.4462029910507632E-5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4.9303670042484459E-3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57.734175294592625</v>
      </c>
      <c r="C14" s="21"/>
      <c r="D14" s="21">
        <f t="shared" ref="D14:M14" si="0">((D5)*10^9/3600)+D12</f>
        <v>126.77863029534203</v>
      </c>
      <c r="E14" s="21">
        <f t="shared" si="0"/>
        <v>521.09425893209652</v>
      </c>
      <c r="F14" s="21"/>
      <c r="G14" s="21">
        <f t="shared" si="0"/>
        <v>202832.08515565624</v>
      </c>
      <c r="H14" s="21">
        <f t="shared" si="0"/>
        <v>34493.72329744236</v>
      </c>
      <c r="I14" s="21"/>
      <c r="J14" s="21"/>
      <c r="K14" s="21"/>
      <c r="L14" s="21"/>
      <c r="M14" s="21">
        <f t="shared" si="0"/>
        <v>7423.5414248288744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0.21055801794996451</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12.156393518005231</v>
      </c>
      <c r="C18" s="23"/>
      <c r="D18" s="23">
        <f t="shared" ref="D18:M18" si="1">D14*D16</f>
        <v>25.609283319659092</v>
      </c>
      <c r="E18" s="23">
        <f t="shared" si="1"/>
        <v>118.28839677758592</v>
      </c>
      <c r="F18" s="23"/>
      <c r="G18" s="23">
        <f t="shared" si="1"/>
        <v>54156.166736560219</v>
      </c>
      <c r="H18" s="23">
        <f t="shared" si="1"/>
        <v>8588.9371010631476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1.8505097366402257E-2</v>
      </c>
      <c r="H50" s="321">
        <f t="shared" si="2"/>
        <v>0</v>
      </c>
      <c r="I50" s="321">
        <f t="shared" si="2"/>
        <v>0</v>
      </c>
      <c r="J50" s="321">
        <f t="shared" si="2"/>
        <v>0</v>
      </c>
      <c r="K50" s="321">
        <f t="shared" si="2"/>
        <v>0</v>
      </c>
      <c r="L50" s="321">
        <f t="shared" si="2"/>
        <v>0</v>
      </c>
      <c r="M50" s="321">
        <f t="shared" si="2"/>
        <v>5.7398672103343084E-4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1.8505097366402257E-2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5.7398672103343084E-4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5140.3048240006274</v>
      </c>
      <c r="H54" s="21">
        <f t="shared" si="3"/>
        <v>0</v>
      </c>
      <c r="I54" s="21">
        <f t="shared" si="3"/>
        <v>0</v>
      </c>
      <c r="J54" s="21">
        <f t="shared" si="3"/>
        <v>0</v>
      </c>
      <c r="K54" s="21">
        <f t="shared" si="3"/>
        <v>0</v>
      </c>
      <c r="L54" s="21">
        <f t="shared" si="3"/>
        <v>0</v>
      </c>
      <c r="M54" s="21">
        <f t="shared" si="3"/>
        <v>159.44075584261969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0.21055801794996451</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1372.4613880081677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90851.100451100006</v>
      </c>
      <c r="D10" s="1012">
        <f ca="1">tertiair!C16</f>
        <v>1575.0000000000002</v>
      </c>
      <c r="E10" s="1012">
        <f ca="1">tertiair!D16</f>
        <v>116060.6653801442</v>
      </c>
      <c r="F10" s="1012">
        <f>tertiair!E16</f>
        <v>1646.482710597872</v>
      </c>
      <c r="G10" s="1012">
        <f ca="1">tertiair!F16</f>
        <v>21444.225247264807</v>
      </c>
      <c r="H10" s="1012">
        <f>tertiair!G16</f>
        <v>0</v>
      </c>
      <c r="I10" s="1012">
        <f>tertiair!H16</f>
        <v>0</v>
      </c>
      <c r="J10" s="1012">
        <f>tertiair!I16</f>
        <v>0</v>
      </c>
      <c r="K10" s="1012">
        <f>tertiair!J16</f>
        <v>0</v>
      </c>
      <c r="L10" s="1012">
        <f>tertiair!K16</f>
        <v>0</v>
      </c>
      <c r="M10" s="1012">
        <f ca="1">tertiair!L16</f>
        <v>0</v>
      </c>
      <c r="N10" s="1012">
        <f>tertiair!M16</f>
        <v>0</v>
      </c>
      <c r="O10" s="1012">
        <f ca="1">tertiair!N16</f>
        <v>145.88839266505238</v>
      </c>
      <c r="P10" s="1012">
        <f>tertiair!O16</f>
        <v>6.2533333333333339</v>
      </c>
      <c r="Q10" s="1013">
        <f>tertiair!P16</f>
        <v>152.53333333333333</v>
      </c>
      <c r="R10" s="700">
        <f ca="1">SUM(C10:Q10)</f>
        <v>231882.14884843858</v>
      </c>
      <c r="S10" s="67"/>
    </row>
    <row r="11" spans="1:19" s="473" customFormat="1">
      <c r="A11" s="809" t="s">
        <v>225</v>
      </c>
      <c r="B11" s="814"/>
      <c r="C11" s="1012">
        <f>huishoudens!B8</f>
        <v>59312.736705539413</v>
      </c>
      <c r="D11" s="1012">
        <f>huishoudens!C8</f>
        <v>0</v>
      </c>
      <c r="E11" s="1012">
        <f>huishoudens!D8</f>
        <v>220001.3404402</v>
      </c>
      <c r="F11" s="1012">
        <f>huishoudens!E8</f>
        <v>4420.9830965070187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25510.366686868656</v>
      </c>
      <c r="P11" s="1012">
        <f>huishoudens!O8</f>
        <v>343.93333333333334</v>
      </c>
      <c r="Q11" s="1013">
        <f>huishoudens!P8</f>
        <v>858</v>
      </c>
      <c r="R11" s="700">
        <f>SUM(C11:Q11)</f>
        <v>310447.36026244843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187547.59711653</v>
      </c>
      <c r="D13" s="1012">
        <f>industrie!C18</f>
        <v>4082.1428571428573</v>
      </c>
      <c r="E13" s="1012">
        <f>industrie!D18</f>
        <v>147553.10094733463</v>
      </c>
      <c r="F13" s="1012">
        <f>industrie!E18</f>
        <v>9523.9954336567134</v>
      </c>
      <c r="G13" s="1012">
        <f>industrie!F18</f>
        <v>39213.956526337817</v>
      </c>
      <c r="H13" s="1012">
        <f>industrie!G18</f>
        <v>0</v>
      </c>
      <c r="I13" s="1012">
        <f>industrie!H18</f>
        <v>0</v>
      </c>
      <c r="J13" s="1012">
        <f>industrie!I18</f>
        <v>0</v>
      </c>
      <c r="K13" s="1012">
        <f>industrie!J18</f>
        <v>2666.3709953868802</v>
      </c>
      <c r="L13" s="1012">
        <f>industrie!K18</f>
        <v>0</v>
      </c>
      <c r="M13" s="1012">
        <f>industrie!L18</f>
        <v>0</v>
      </c>
      <c r="N13" s="1012">
        <f>industrie!M18</f>
        <v>0</v>
      </c>
      <c r="O13" s="1012">
        <f>industrie!N18</f>
        <v>81966.525167333428</v>
      </c>
      <c r="P13" s="1012">
        <f>industrie!O18</f>
        <v>0</v>
      </c>
      <c r="Q13" s="1013">
        <f>industrie!P18</f>
        <v>0</v>
      </c>
      <c r="R13" s="700">
        <f>SUM(C13:Q13)</f>
        <v>472553.68904372235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337711.43427316943</v>
      </c>
      <c r="D16" s="732">
        <f t="shared" ref="D16:R16" ca="1" si="0">SUM(D9:D15)</f>
        <v>5657.1428571428578</v>
      </c>
      <c r="E16" s="732">
        <f t="shared" ca="1" si="0"/>
        <v>483615.10676767887</v>
      </c>
      <c r="F16" s="732">
        <f t="shared" si="0"/>
        <v>15591.461240761604</v>
      </c>
      <c r="G16" s="732">
        <f t="shared" ca="1" si="0"/>
        <v>60658.181773602628</v>
      </c>
      <c r="H16" s="732">
        <f t="shared" si="0"/>
        <v>0</v>
      </c>
      <c r="I16" s="732">
        <f t="shared" si="0"/>
        <v>0</v>
      </c>
      <c r="J16" s="732">
        <f t="shared" si="0"/>
        <v>0</v>
      </c>
      <c r="K16" s="732">
        <f t="shared" si="0"/>
        <v>2666.3709953868802</v>
      </c>
      <c r="L16" s="732">
        <f t="shared" si="0"/>
        <v>0</v>
      </c>
      <c r="M16" s="732">
        <f t="shared" ca="1" si="0"/>
        <v>0</v>
      </c>
      <c r="N16" s="732">
        <f t="shared" si="0"/>
        <v>0</v>
      </c>
      <c r="O16" s="732">
        <f t="shared" ca="1" si="0"/>
        <v>107622.78024686713</v>
      </c>
      <c r="P16" s="732">
        <f t="shared" si="0"/>
        <v>350.18666666666667</v>
      </c>
      <c r="Q16" s="732">
        <f t="shared" si="0"/>
        <v>1010.5333333333333</v>
      </c>
      <c r="R16" s="732">
        <f t="shared" ca="1" si="0"/>
        <v>1014883.1981546094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5140.3048240006274</v>
      </c>
      <c r="I19" s="1012">
        <f>transport!H54</f>
        <v>0</v>
      </c>
      <c r="J19" s="1012">
        <f>transport!I54</f>
        <v>0</v>
      </c>
      <c r="K19" s="1012">
        <f>transport!J54</f>
        <v>0</v>
      </c>
      <c r="L19" s="1012">
        <f>transport!K54</f>
        <v>0</v>
      </c>
      <c r="M19" s="1012">
        <f>transport!L54</f>
        <v>0</v>
      </c>
      <c r="N19" s="1012">
        <f>transport!M54</f>
        <v>159.44075584261969</v>
      </c>
      <c r="O19" s="1012">
        <f>transport!N54</f>
        <v>0</v>
      </c>
      <c r="P19" s="1012">
        <f>transport!O54</f>
        <v>0</v>
      </c>
      <c r="Q19" s="1013">
        <f>transport!P54</f>
        <v>0</v>
      </c>
      <c r="R19" s="700">
        <f>SUM(C19:Q19)</f>
        <v>5299.7455798432475</v>
      </c>
      <c r="S19" s="67"/>
    </row>
    <row r="20" spans="1:19" s="473" customFormat="1">
      <c r="A20" s="809" t="s">
        <v>307</v>
      </c>
      <c r="B20" s="814"/>
      <c r="C20" s="1012">
        <f>transport!B14</f>
        <v>57.734175294592625</v>
      </c>
      <c r="D20" s="1012">
        <f>transport!C14</f>
        <v>0</v>
      </c>
      <c r="E20" s="1012">
        <f>transport!D14</f>
        <v>126.77863029534203</v>
      </c>
      <c r="F20" s="1012">
        <f>transport!E14</f>
        <v>521.09425893209652</v>
      </c>
      <c r="G20" s="1012">
        <f>transport!F14</f>
        <v>0</v>
      </c>
      <c r="H20" s="1012">
        <f>transport!G14</f>
        <v>202832.08515565624</v>
      </c>
      <c r="I20" s="1012">
        <f>transport!H14</f>
        <v>34493.72329744236</v>
      </c>
      <c r="J20" s="1012">
        <f>transport!I14</f>
        <v>0</v>
      </c>
      <c r="K20" s="1012">
        <f>transport!J14</f>
        <v>0</v>
      </c>
      <c r="L20" s="1012">
        <f>transport!K14</f>
        <v>0</v>
      </c>
      <c r="M20" s="1012">
        <f>transport!L14</f>
        <v>0</v>
      </c>
      <c r="N20" s="1012">
        <f>transport!M14</f>
        <v>7423.5414248288744</v>
      </c>
      <c r="O20" s="1012">
        <f>transport!N14</f>
        <v>0</v>
      </c>
      <c r="P20" s="1012">
        <f>transport!O14</f>
        <v>0</v>
      </c>
      <c r="Q20" s="1013">
        <f>transport!P14</f>
        <v>0</v>
      </c>
      <c r="R20" s="700">
        <f>SUM(C20:Q20)</f>
        <v>245454.9569424495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57.734175294592625</v>
      </c>
      <c r="D22" s="812">
        <f t="shared" ref="D22:R22" si="1">SUM(D18:D21)</f>
        <v>0</v>
      </c>
      <c r="E22" s="812">
        <f t="shared" si="1"/>
        <v>126.77863029534203</v>
      </c>
      <c r="F22" s="812">
        <f t="shared" si="1"/>
        <v>521.09425893209652</v>
      </c>
      <c r="G22" s="812">
        <f t="shared" si="1"/>
        <v>0</v>
      </c>
      <c r="H22" s="812">
        <f t="shared" si="1"/>
        <v>207972.38997965687</v>
      </c>
      <c r="I22" s="812">
        <f t="shared" si="1"/>
        <v>34493.72329744236</v>
      </c>
      <c r="J22" s="812">
        <f t="shared" si="1"/>
        <v>0</v>
      </c>
      <c r="K22" s="812">
        <f t="shared" si="1"/>
        <v>0</v>
      </c>
      <c r="L22" s="812">
        <f t="shared" si="1"/>
        <v>0</v>
      </c>
      <c r="M22" s="812">
        <f t="shared" si="1"/>
        <v>0</v>
      </c>
      <c r="N22" s="812">
        <f t="shared" si="1"/>
        <v>7582.9821806714945</v>
      </c>
      <c r="O22" s="812">
        <f t="shared" si="1"/>
        <v>0</v>
      </c>
      <c r="P22" s="812">
        <f t="shared" si="1"/>
        <v>0</v>
      </c>
      <c r="Q22" s="812">
        <f t="shared" si="1"/>
        <v>0</v>
      </c>
      <c r="R22" s="812">
        <f t="shared" si="1"/>
        <v>250754.70252229273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1434.6653547799999</v>
      </c>
      <c r="D24" s="1012">
        <f>+landbouw!C8</f>
        <v>0</v>
      </c>
      <c r="E24" s="1012">
        <f>+landbouw!D8</f>
        <v>2283.8640216480003</v>
      </c>
      <c r="F24" s="1012">
        <f>+landbouw!E8</f>
        <v>36.994511021675194</v>
      </c>
      <c r="G24" s="1012">
        <f>+landbouw!F8</f>
        <v>5243.975090465532</v>
      </c>
      <c r="H24" s="1012">
        <f>+landbouw!G8</f>
        <v>0</v>
      </c>
      <c r="I24" s="1012">
        <f>+landbouw!H8</f>
        <v>0</v>
      </c>
      <c r="J24" s="1012">
        <f>+landbouw!I8</f>
        <v>0</v>
      </c>
      <c r="K24" s="1012">
        <f>+landbouw!J8</f>
        <v>206.53903454589761</v>
      </c>
      <c r="L24" s="1012">
        <f>+landbouw!K8</f>
        <v>0</v>
      </c>
      <c r="M24" s="1012">
        <f>+landbouw!L8</f>
        <v>0</v>
      </c>
      <c r="N24" s="1012">
        <f>+landbouw!M8</f>
        <v>0</v>
      </c>
      <c r="O24" s="1012">
        <f>+landbouw!N8</f>
        <v>0</v>
      </c>
      <c r="P24" s="1012">
        <f>+landbouw!O8</f>
        <v>0</v>
      </c>
      <c r="Q24" s="1013">
        <f>+landbouw!P8</f>
        <v>0</v>
      </c>
      <c r="R24" s="700">
        <f>SUM(C24:Q24)</f>
        <v>9206.0380124611056</v>
      </c>
      <c r="S24" s="67"/>
    </row>
    <row r="25" spans="1:19" s="473" customFormat="1" ht="15" thickBot="1">
      <c r="A25" s="831" t="s">
        <v>848</v>
      </c>
      <c r="B25" s="1015"/>
      <c r="C25" s="1016">
        <f>IF(Onbekend_ele_kWh="---",0,Onbekend_ele_kWh)/1000+IF(REST_rest_ele_kWh="---",0,REST_rest_ele_kWh)/1000</f>
        <v>4804.8530077999994</v>
      </c>
      <c r="D25" s="1016"/>
      <c r="E25" s="1016">
        <f>IF(onbekend_gas_kWh="---",0,onbekend_gas_kWh)/1000+IF(REST_rest_gas_kWh="---",0,REST_rest_gas_kWh)/1000</f>
        <v>7965.4650108000005</v>
      </c>
      <c r="F25" s="1016"/>
      <c r="G25" s="1016"/>
      <c r="H25" s="1016"/>
      <c r="I25" s="1016"/>
      <c r="J25" s="1016"/>
      <c r="K25" s="1016"/>
      <c r="L25" s="1016"/>
      <c r="M25" s="1016"/>
      <c r="N25" s="1016"/>
      <c r="O25" s="1016"/>
      <c r="P25" s="1016"/>
      <c r="Q25" s="1017"/>
      <c r="R25" s="700">
        <f>SUM(C25:Q25)</f>
        <v>12770.318018599999</v>
      </c>
      <c r="S25" s="67"/>
    </row>
    <row r="26" spans="1:19" s="473" customFormat="1" ht="15.75" thickBot="1">
      <c r="A26" s="705" t="s">
        <v>849</v>
      </c>
      <c r="B26" s="817"/>
      <c r="C26" s="812">
        <f>SUM(C24:C25)</f>
        <v>6239.5183625799991</v>
      </c>
      <c r="D26" s="812">
        <f t="shared" ref="D26:R26" si="2">SUM(D24:D25)</f>
        <v>0</v>
      </c>
      <c r="E26" s="812">
        <f t="shared" si="2"/>
        <v>10249.329032448</v>
      </c>
      <c r="F26" s="812">
        <f t="shared" si="2"/>
        <v>36.994511021675194</v>
      </c>
      <c r="G26" s="812">
        <f t="shared" si="2"/>
        <v>5243.975090465532</v>
      </c>
      <c r="H26" s="812">
        <f t="shared" si="2"/>
        <v>0</v>
      </c>
      <c r="I26" s="812">
        <f t="shared" si="2"/>
        <v>0</v>
      </c>
      <c r="J26" s="812">
        <f t="shared" si="2"/>
        <v>0</v>
      </c>
      <c r="K26" s="812">
        <f t="shared" si="2"/>
        <v>206.53903454589761</v>
      </c>
      <c r="L26" s="812">
        <f t="shared" si="2"/>
        <v>0</v>
      </c>
      <c r="M26" s="812">
        <f t="shared" si="2"/>
        <v>0</v>
      </c>
      <c r="N26" s="812">
        <f t="shared" si="2"/>
        <v>0</v>
      </c>
      <c r="O26" s="812">
        <f t="shared" si="2"/>
        <v>0</v>
      </c>
      <c r="P26" s="812">
        <f t="shared" si="2"/>
        <v>0</v>
      </c>
      <c r="Q26" s="812">
        <f t="shared" si="2"/>
        <v>0</v>
      </c>
      <c r="R26" s="812">
        <f t="shared" si="2"/>
        <v>21976.356031061106</v>
      </c>
      <c r="S26" s="67"/>
    </row>
    <row r="27" spans="1:19" s="473" customFormat="1" ht="17.25" thickTop="1" thickBot="1">
      <c r="A27" s="706" t="s">
        <v>116</v>
      </c>
      <c r="B27" s="805"/>
      <c r="C27" s="707">
        <f ca="1">C22+C16+C26</f>
        <v>344008.686811044</v>
      </c>
      <c r="D27" s="707">
        <f t="shared" ref="D27:R27" ca="1" si="3">D22+D16+D26</f>
        <v>5657.1428571428578</v>
      </c>
      <c r="E27" s="707">
        <f t="shared" ca="1" si="3"/>
        <v>493991.21443042223</v>
      </c>
      <c r="F27" s="707">
        <f t="shared" si="3"/>
        <v>16149.550010715377</v>
      </c>
      <c r="G27" s="707">
        <f t="shared" ca="1" si="3"/>
        <v>65902.156864068165</v>
      </c>
      <c r="H27" s="707">
        <f t="shared" si="3"/>
        <v>207972.38997965687</v>
      </c>
      <c r="I27" s="707">
        <f t="shared" si="3"/>
        <v>34493.72329744236</v>
      </c>
      <c r="J27" s="707">
        <f t="shared" si="3"/>
        <v>0</v>
      </c>
      <c r="K27" s="707">
        <f t="shared" si="3"/>
        <v>2872.9100299327779</v>
      </c>
      <c r="L27" s="707">
        <f t="shared" si="3"/>
        <v>0</v>
      </c>
      <c r="M27" s="707">
        <f t="shared" ca="1" si="3"/>
        <v>0</v>
      </c>
      <c r="N27" s="707">
        <f t="shared" si="3"/>
        <v>7582.9821806714945</v>
      </c>
      <c r="O27" s="707">
        <f t="shared" ca="1" si="3"/>
        <v>107622.78024686713</v>
      </c>
      <c r="P27" s="707">
        <f t="shared" si="3"/>
        <v>350.18666666666667</v>
      </c>
      <c r="Q27" s="707">
        <f t="shared" si="3"/>
        <v>1010.5333333333333</v>
      </c>
      <c r="R27" s="707">
        <f t="shared" ca="1" si="3"/>
        <v>1287614.2567079633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19129.427639556743</v>
      </c>
      <c r="D40" s="1012">
        <f ca="1">tertiair!C20</f>
        <v>369.84310156534406</v>
      </c>
      <c r="E40" s="1012">
        <f ca="1">tertiair!D20</f>
        <v>23444.254406789129</v>
      </c>
      <c r="F40" s="1012">
        <f>tertiair!E20</f>
        <v>373.75157530571698</v>
      </c>
      <c r="G40" s="1012">
        <f ca="1">tertiair!F20</f>
        <v>5725.6081410197039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49042.884864236636</v>
      </c>
    </row>
    <row r="41" spans="1:18">
      <c r="A41" s="822" t="s">
        <v>225</v>
      </c>
      <c r="B41" s="829"/>
      <c r="C41" s="1012">
        <f ca="1">huishoudens!B12</f>
        <v>12488.772279906487</v>
      </c>
      <c r="D41" s="1012">
        <f ca="1">huishoudens!C12</f>
        <v>0</v>
      </c>
      <c r="E41" s="1012">
        <f>huishoudens!D12</f>
        <v>44440.270768920403</v>
      </c>
      <c r="F41" s="1012">
        <f>huishoudens!E12</f>
        <v>1003.5631629070932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57932.606211733982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39489.650320135035</v>
      </c>
      <c r="D43" s="1012">
        <f ca="1">industrie!C22</f>
        <v>958.57293671017737</v>
      </c>
      <c r="E43" s="1012">
        <f>industrie!D22</f>
        <v>29805.726391361597</v>
      </c>
      <c r="F43" s="1012">
        <f>industrie!E22</f>
        <v>2161.9469634400739</v>
      </c>
      <c r="G43" s="1012">
        <f>industrie!F22</f>
        <v>10470.126392532198</v>
      </c>
      <c r="H43" s="1012">
        <f>industrie!G22</f>
        <v>0</v>
      </c>
      <c r="I43" s="1012">
        <f>industrie!H22</f>
        <v>0</v>
      </c>
      <c r="J43" s="1012">
        <f>industrie!I22</f>
        <v>0</v>
      </c>
      <c r="K43" s="1012">
        <f>industrie!J22</f>
        <v>943.89533236695559</v>
      </c>
      <c r="L43" s="1012">
        <f>industrie!K22</f>
        <v>0</v>
      </c>
      <c r="M43" s="1012">
        <f>industrie!L22</f>
        <v>0</v>
      </c>
      <c r="N43" s="1012">
        <f>industrie!M22</f>
        <v>0</v>
      </c>
      <c r="O43" s="1012">
        <f>industrie!N22</f>
        <v>0</v>
      </c>
      <c r="P43" s="1012">
        <f>industrie!O22</f>
        <v>0</v>
      </c>
      <c r="Q43" s="774">
        <f>industrie!P22</f>
        <v>0</v>
      </c>
      <c r="R43" s="849">
        <f t="shared" ca="1" si="4"/>
        <v>83829.918336546034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71107.850239598265</v>
      </c>
      <c r="D46" s="732">
        <f t="shared" ref="D46:Q46" ca="1" si="5">SUM(D39:D45)</f>
        <v>1328.4160382755215</v>
      </c>
      <c r="E46" s="732">
        <f t="shared" ca="1" si="5"/>
        <v>97690.251567071129</v>
      </c>
      <c r="F46" s="732">
        <f t="shared" si="5"/>
        <v>3539.2617016528839</v>
      </c>
      <c r="G46" s="732">
        <f t="shared" ca="1" si="5"/>
        <v>16195.734533551902</v>
      </c>
      <c r="H46" s="732">
        <f t="shared" si="5"/>
        <v>0</v>
      </c>
      <c r="I46" s="732">
        <f t="shared" si="5"/>
        <v>0</v>
      </c>
      <c r="J46" s="732">
        <f t="shared" si="5"/>
        <v>0</v>
      </c>
      <c r="K46" s="732">
        <f t="shared" si="5"/>
        <v>943.89533236695559</v>
      </c>
      <c r="L46" s="732">
        <f t="shared" si="5"/>
        <v>0</v>
      </c>
      <c r="M46" s="732">
        <f t="shared" ca="1" si="5"/>
        <v>0</v>
      </c>
      <c r="N46" s="732">
        <f t="shared" si="5"/>
        <v>0</v>
      </c>
      <c r="O46" s="732">
        <f t="shared" ca="1" si="5"/>
        <v>0</v>
      </c>
      <c r="P46" s="732">
        <f t="shared" si="5"/>
        <v>0</v>
      </c>
      <c r="Q46" s="732">
        <f t="shared" si="5"/>
        <v>0</v>
      </c>
      <c r="R46" s="732">
        <f ca="1">SUM(R39:R45)</f>
        <v>190805.40941251663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1372.4613880081677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1372.4613880081677</v>
      </c>
    </row>
    <row r="50" spans="1:18">
      <c r="A50" s="825" t="s">
        <v>307</v>
      </c>
      <c r="B50" s="835"/>
      <c r="C50" s="703">
        <f ca="1">transport!B18</f>
        <v>12.156393518005231</v>
      </c>
      <c r="D50" s="703">
        <f>transport!C18</f>
        <v>0</v>
      </c>
      <c r="E50" s="703">
        <f>transport!D18</f>
        <v>25.609283319659092</v>
      </c>
      <c r="F50" s="703">
        <f>transport!E18</f>
        <v>118.28839677758592</v>
      </c>
      <c r="G50" s="703">
        <f>transport!F18</f>
        <v>0</v>
      </c>
      <c r="H50" s="703">
        <f>transport!G18</f>
        <v>54156.166736560219</v>
      </c>
      <c r="I50" s="703">
        <f>transport!H18</f>
        <v>8588.9371010631476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62901.15791123861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12.156393518005231</v>
      </c>
      <c r="D52" s="732">
        <f t="shared" ref="D52:Q52" ca="1" si="6">SUM(D48:D51)</f>
        <v>0</v>
      </c>
      <c r="E52" s="732">
        <f t="shared" si="6"/>
        <v>25.609283319659092</v>
      </c>
      <c r="F52" s="732">
        <f t="shared" si="6"/>
        <v>118.28839677758592</v>
      </c>
      <c r="G52" s="732">
        <f t="shared" si="6"/>
        <v>0</v>
      </c>
      <c r="H52" s="732">
        <f t="shared" si="6"/>
        <v>55528.628124568386</v>
      </c>
      <c r="I52" s="732">
        <f t="shared" si="6"/>
        <v>8588.9371010631476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64273.619299246777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302.08029352395943</v>
      </c>
      <c r="D54" s="703">
        <f ca="1">+landbouw!C12</f>
        <v>0</v>
      </c>
      <c r="E54" s="703">
        <f>+landbouw!D12</f>
        <v>461.34053237289606</v>
      </c>
      <c r="F54" s="703">
        <f>+landbouw!E12</f>
        <v>8.3977540019202692</v>
      </c>
      <c r="G54" s="703">
        <f>+landbouw!F12</f>
        <v>1400.1413491542971</v>
      </c>
      <c r="H54" s="703">
        <f>+landbouw!G12</f>
        <v>0</v>
      </c>
      <c r="I54" s="703">
        <f>+landbouw!H12</f>
        <v>0</v>
      </c>
      <c r="J54" s="703">
        <f>+landbouw!I12</f>
        <v>0</v>
      </c>
      <c r="K54" s="703">
        <f>+landbouw!J12</f>
        <v>73.114818229247746</v>
      </c>
      <c r="L54" s="703">
        <f>+landbouw!K12</f>
        <v>0</v>
      </c>
      <c r="M54" s="703">
        <f>+landbouw!L12</f>
        <v>0</v>
      </c>
      <c r="N54" s="703">
        <f>+landbouw!M12</f>
        <v>0</v>
      </c>
      <c r="O54" s="703">
        <f>+landbouw!N12</f>
        <v>0</v>
      </c>
      <c r="P54" s="703">
        <f>+landbouw!O12</f>
        <v>0</v>
      </c>
      <c r="Q54" s="704">
        <f>+landbouw!P12</f>
        <v>0</v>
      </c>
      <c r="R54" s="731">
        <f ca="1">SUM(C54:Q54)</f>
        <v>2245.0747472823205</v>
      </c>
    </row>
    <row r="55" spans="1:18" ht="15" thickBot="1">
      <c r="A55" s="825" t="s">
        <v>848</v>
      </c>
      <c r="B55" s="835"/>
      <c r="C55" s="703">
        <f ca="1">C25*'EF ele_warmte'!B12</f>
        <v>1011.7003258632933</v>
      </c>
      <c r="D55" s="703"/>
      <c r="E55" s="703">
        <f>E25*EF_CO2_aardgas</f>
        <v>1609.0239321816002</v>
      </c>
      <c r="F55" s="703"/>
      <c r="G55" s="703"/>
      <c r="H55" s="703"/>
      <c r="I55" s="703"/>
      <c r="J55" s="703"/>
      <c r="K55" s="703"/>
      <c r="L55" s="703"/>
      <c r="M55" s="703"/>
      <c r="N55" s="703"/>
      <c r="O55" s="703"/>
      <c r="P55" s="703"/>
      <c r="Q55" s="704"/>
      <c r="R55" s="731">
        <f ca="1">SUM(C55:Q55)</f>
        <v>2620.7242580448938</v>
      </c>
    </row>
    <row r="56" spans="1:18" ht="15.75" thickBot="1">
      <c r="A56" s="823" t="s">
        <v>849</v>
      </c>
      <c r="B56" s="836"/>
      <c r="C56" s="732">
        <f ca="1">SUM(C54:C55)</f>
        <v>1313.7806193872527</v>
      </c>
      <c r="D56" s="732">
        <f t="shared" ref="D56:Q56" ca="1" si="7">SUM(D54:D55)</f>
        <v>0</v>
      </c>
      <c r="E56" s="732">
        <f t="shared" si="7"/>
        <v>2070.3644645544964</v>
      </c>
      <c r="F56" s="732">
        <f t="shared" si="7"/>
        <v>8.3977540019202692</v>
      </c>
      <c r="G56" s="732">
        <f t="shared" si="7"/>
        <v>1400.1413491542971</v>
      </c>
      <c r="H56" s="732">
        <f t="shared" si="7"/>
        <v>0</v>
      </c>
      <c r="I56" s="732">
        <f t="shared" si="7"/>
        <v>0</v>
      </c>
      <c r="J56" s="732">
        <f t="shared" si="7"/>
        <v>0</v>
      </c>
      <c r="K56" s="732">
        <f t="shared" si="7"/>
        <v>73.114818229247746</v>
      </c>
      <c r="L56" s="732">
        <f t="shared" si="7"/>
        <v>0</v>
      </c>
      <c r="M56" s="732">
        <f t="shared" si="7"/>
        <v>0</v>
      </c>
      <c r="N56" s="732">
        <f t="shared" si="7"/>
        <v>0</v>
      </c>
      <c r="O56" s="732">
        <f t="shared" si="7"/>
        <v>0</v>
      </c>
      <c r="P56" s="732">
        <f t="shared" si="7"/>
        <v>0</v>
      </c>
      <c r="Q56" s="733">
        <f t="shared" si="7"/>
        <v>0</v>
      </c>
      <c r="R56" s="734">
        <f ca="1">SUM(R54:R55)</f>
        <v>4865.7990053272142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72433.78725250352</v>
      </c>
      <c r="D61" s="740">
        <f t="shared" ref="D61:Q61" ca="1" si="8">D46+D52+D56</f>
        <v>1328.4160382755215</v>
      </c>
      <c r="E61" s="740">
        <f t="shared" ca="1" si="8"/>
        <v>99786.225314945288</v>
      </c>
      <c r="F61" s="740">
        <f t="shared" si="8"/>
        <v>3665.9478524323904</v>
      </c>
      <c r="G61" s="740">
        <f t="shared" ca="1" si="8"/>
        <v>17595.875882706197</v>
      </c>
      <c r="H61" s="740">
        <f t="shared" si="8"/>
        <v>55528.628124568386</v>
      </c>
      <c r="I61" s="740">
        <f t="shared" si="8"/>
        <v>8588.9371010631476</v>
      </c>
      <c r="J61" s="740">
        <f t="shared" si="8"/>
        <v>0</v>
      </c>
      <c r="K61" s="740">
        <f t="shared" si="8"/>
        <v>1017.0101505962033</v>
      </c>
      <c r="L61" s="740">
        <f t="shared" si="8"/>
        <v>0</v>
      </c>
      <c r="M61" s="740">
        <f t="shared" ca="1" si="8"/>
        <v>0</v>
      </c>
      <c r="N61" s="740">
        <f t="shared" si="8"/>
        <v>0</v>
      </c>
      <c r="O61" s="740">
        <f t="shared" ca="1" si="8"/>
        <v>0</v>
      </c>
      <c r="P61" s="740">
        <f t="shared" si="8"/>
        <v>0</v>
      </c>
      <c r="Q61" s="740">
        <f t="shared" si="8"/>
        <v>0</v>
      </c>
      <c r="R61" s="740">
        <f ca="1">R46+R52+R56</f>
        <v>259944.82771709064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0.21055801794996451</v>
      </c>
      <c r="D63" s="781">
        <f t="shared" ca="1" si="9"/>
        <v>0.23482101686688509</v>
      </c>
      <c r="E63" s="1023">
        <f t="shared" ca="1" si="9"/>
        <v>0.20199999999999999</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15111.396872160207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3172.5</v>
      </c>
      <c r="D76" s="1033">
        <f>'lokale energieproductie'!C8</f>
        <v>3687.9686931197666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744.96967601019287</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3831.4285714285716</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16452.396872160207</v>
      </c>
      <c r="C78" s="755">
        <f>SUM(C72:C77)</f>
        <v>3172.5</v>
      </c>
      <c r="D78" s="756">
        <f t="shared" ref="D78:H78" si="10">SUM(D76:D77)</f>
        <v>3687.9686931197666</v>
      </c>
      <c r="E78" s="756">
        <f t="shared" si="10"/>
        <v>0</v>
      </c>
      <c r="F78" s="756">
        <f t="shared" si="10"/>
        <v>0</v>
      </c>
      <c r="G78" s="756">
        <f t="shared" si="10"/>
        <v>0</v>
      </c>
      <c r="H78" s="756">
        <f t="shared" si="10"/>
        <v>0</v>
      </c>
      <c r="I78" s="756">
        <f>SUM(I76:I77)</f>
        <v>0</v>
      </c>
      <c r="J78" s="756">
        <f>SUM(J76:J77)</f>
        <v>3831.4285714285716</v>
      </c>
      <c r="K78" s="756">
        <f t="shared" ref="K78:L78" si="11">SUM(K76:K77)</f>
        <v>0</v>
      </c>
      <c r="L78" s="756">
        <f t="shared" si="11"/>
        <v>0</v>
      </c>
      <c r="M78" s="756">
        <f>SUM(M76:M77)</f>
        <v>0</v>
      </c>
      <c r="N78" s="756">
        <f>SUM(N76:N77)</f>
        <v>0</v>
      </c>
      <c r="O78" s="860">
        <f>SUM(O76:O77)</f>
        <v>0</v>
      </c>
      <c r="P78" s="757">
        <v>0</v>
      </c>
      <c r="Q78" s="757">
        <f>SUM(Q76:Q77)</f>
        <v>744.96967601019287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5657.1428571428578</v>
      </c>
      <c r="D87" s="777">
        <f>'lokale energieproductie'!C17</f>
        <v>6576.3170211659472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1328.4160382755215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5657.1428571428578</v>
      </c>
      <c r="D90" s="755">
        <f t="shared" ref="D90:H90" si="12">SUM(D87:D89)</f>
        <v>6576.3170211659472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1328.4160382755215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15111.396872160207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3172.5</v>
      </c>
      <c r="C8" s="570">
        <f>B101</f>
        <v>3687.9686931197666</v>
      </c>
      <c r="D8" s="1043"/>
      <c r="E8" s="1043">
        <f>E101</f>
        <v>0</v>
      </c>
      <c r="F8" s="1044"/>
      <c r="G8" s="571"/>
      <c r="H8" s="1043">
        <f>I101</f>
        <v>0</v>
      </c>
      <c r="I8" s="1043">
        <f>G101+F101</f>
        <v>0</v>
      </c>
      <c r="J8" s="1043">
        <f>H101+D101+C101</f>
        <v>0</v>
      </c>
      <c r="K8" s="1043"/>
      <c r="L8" s="1043"/>
      <c r="M8" s="1043"/>
      <c r="N8" s="572"/>
      <c r="O8" s="573">
        <f>C8*$C$12+D8*$D$12+E8*$E$12+F8*$F$12+G8*$G$12+H8*$H$12+I8*$I$12+J8*$J$12</f>
        <v>744.96967601019287</v>
      </c>
      <c r="P8" s="1258"/>
      <c r="Q8" s="1259"/>
      <c r="S8" s="1007"/>
      <c r="T8" s="1237"/>
      <c r="U8" s="1237"/>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19624.896872160207</v>
      </c>
      <c r="C10" s="583">
        <f t="shared" ref="C10:L10" si="0">SUM(C8:C9)</f>
        <v>3687.9686931197666</v>
      </c>
      <c r="D10" s="583">
        <f t="shared" si="0"/>
        <v>0</v>
      </c>
      <c r="E10" s="583">
        <f t="shared" si="0"/>
        <v>0</v>
      </c>
      <c r="F10" s="583">
        <f t="shared" si="0"/>
        <v>0</v>
      </c>
      <c r="G10" s="583">
        <f t="shared" si="0"/>
        <v>0</v>
      </c>
      <c r="H10" s="583">
        <f t="shared" si="0"/>
        <v>0</v>
      </c>
      <c r="I10" s="583">
        <f t="shared" si="0"/>
        <v>0</v>
      </c>
      <c r="J10" s="583">
        <f t="shared" si="0"/>
        <v>3831.4285714285716</v>
      </c>
      <c r="K10" s="583">
        <f t="shared" si="0"/>
        <v>0</v>
      </c>
      <c r="L10" s="583">
        <f t="shared" si="0"/>
        <v>0</v>
      </c>
      <c r="M10" s="1046"/>
      <c r="N10" s="1046"/>
      <c r="O10" s="584">
        <f>SUM(O4:O9)</f>
        <v>744.96967601019287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5657.1428571428578</v>
      </c>
      <c r="C17" s="595">
        <f>B102</f>
        <v>6576.3170211659472</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1328.4160382755215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5657.1428571428578</v>
      </c>
      <c r="C20" s="582">
        <f>SUM(C17:C19)</f>
        <v>6576.3170211659472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1328.4160382755215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13040</v>
      </c>
      <c r="C28" s="796">
        <v>2300</v>
      </c>
      <c r="D28" s="653" t="s">
        <v>890</v>
      </c>
      <c r="E28" s="652" t="s">
        <v>891</v>
      </c>
      <c r="F28" s="652" t="s">
        <v>892</v>
      </c>
      <c r="G28" s="652" t="s">
        <v>893</v>
      </c>
      <c r="H28" s="652" t="s">
        <v>893</v>
      </c>
      <c r="I28" s="652" t="s">
        <v>891</v>
      </c>
      <c r="J28" s="795">
        <v>41001</v>
      </c>
      <c r="K28" s="795">
        <v>41153</v>
      </c>
      <c r="L28" s="652" t="s">
        <v>894</v>
      </c>
      <c r="M28" s="652">
        <v>70</v>
      </c>
      <c r="N28" s="652">
        <v>315.00000000000006</v>
      </c>
      <c r="O28" s="652">
        <v>1575.0000000000002</v>
      </c>
      <c r="P28" s="652">
        <v>2100.0000000000005</v>
      </c>
      <c r="Q28" s="652">
        <v>0</v>
      </c>
      <c r="R28" s="652">
        <v>0</v>
      </c>
      <c r="S28" s="652">
        <v>0</v>
      </c>
      <c r="T28" s="652">
        <v>0</v>
      </c>
      <c r="U28" s="652">
        <v>0</v>
      </c>
      <c r="V28" s="652">
        <v>0</v>
      </c>
      <c r="W28" s="652">
        <v>0</v>
      </c>
      <c r="X28" s="652">
        <v>1500</v>
      </c>
      <c r="Y28" s="652" t="s">
        <v>51</v>
      </c>
      <c r="Z28" s="654" t="s">
        <v>156</v>
      </c>
    </row>
    <row r="29" spans="1:26" s="606" customFormat="1" ht="25.5">
      <c r="A29" s="605"/>
      <c r="B29" s="796">
        <v>13040</v>
      </c>
      <c r="C29" s="796">
        <v>2300</v>
      </c>
      <c r="D29" s="653" t="s">
        <v>895</v>
      </c>
      <c r="E29" s="652" t="s">
        <v>896</v>
      </c>
      <c r="F29" s="652" t="s">
        <v>897</v>
      </c>
      <c r="G29" s="652" t="s">
        <v>898</v>
      </c>
      <c r="H29" s="652" t="s">
        <v>899</v>
      </c>
      <c r="I29" s="652" t="s">
        <v>896</v>
      </c>
      <c r="J29" s="795">
        <v>41324</v>
      </c>
      <c r="K29" s="795">
        <v>41324</v>
      </c>
      <c r="L29" s="652" t="s">
        <v>894</v>
      </c>
      <c r="M29" s="652">
        <v>635</v>
      </c>
      <c r="N29" s="652">
        <v>2857.5</v>
      </c>
      <c r="O29" s="652">
        <v>4082.1428571428573</v>
      </c>
      <c r="P29" s="652">
        <v>8164.2857142857147</v>
      </c>
      <c r="Q29" s="652">
        <v>0</v>
      </c>
      <c r="R29" s="652">
        <v>0</v>
      </c>
      <c r="S29" s="652">
        <v>0</v>
      </c>
      <c r="T29" s="652">
        <v>0</v>
      </c>
      <c r="U29" s="652">
        <v>0</v>
      </c>
      <c r="V29" s="652">
        <v>0</v>
      </c>
      <c r="W29" s="652">
        <v>0</v>
      </c>
      <c r="X29" s="652">
        <v>300</v>
      </c>
      <c r="Y29" s="652" t="s">
        <v>900</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705</v>
      </c>
      <c r="N58" s="610">
        <f>SUM(N28:N57)</f>
        <v>3172.5</v>
      </c>
      <c r="O58" s="610">
        <f t="shared" ref="O58:W58" si="2">SUM(O28:O57)</f>
        <v>5657.1428571428578</v>
      </c>
      <c r="P58" s="610">
        <f t="shared" si="2"/>
        <v>10264.285714285716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635</v>
      </c>
      <c r="N59" s="610">
        <f t="shared" si="3"/>
        <v>2857.5</v>
      </c>
      <c r="O59" s="610">
        <f t="shared" si="3"/>
        <v>4082.1428571428573</v>
      </c>
      <c r="P59" s="610">
        <f t="shared" si="3"/>
        <v>8164.2857142857147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1575.0000000000002</v>
      </c>
      <c r="P60" s="610">
        <f ca="1">SUMIF($Z$28:AF57,"tertiair",P28:P57)</f>
        <v>2100.0000000000005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13040</v>
      </c>
      <c r="C64" s="796">
        <v>2300</v>
      </c>
      <c r="D64" s="655" t="s">
        <v>901</v>
      </c>
      <c r="E64" s="655" t="s">
        <v>902</v>
      </c>
      <c r="F64" s="655" t="s">
        <v>903</v>
      </c>
      <c r="G64" s="655" t="s">
        <v>904</v>
      </c>
      <c r="H64" s="655" t="s">
        <v>905</v>
      </c>
      <c r="I64" s="655" t="s">
        <v>906</v>
      </c>
      <c r="J64" s="795">
        <v>38768</v>
      </c>
      <c r="K64" s="795">
        <v>39052</v>
      </c>
      <c r="L64" s="655" t="s">
        <v>907</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0.64069894430287577</v>
      </c>
      <c r="C98" s="635">
        <f>IF(ISERROR(N58/(O58+N58)),0,N58/(N58+O58))</f>
        <v>0.35930105569712406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3687.9686931197666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6576.3170211659472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59312.736705539413</v>
      </c>
      <c r="C4" s="477">
        <f>huishoudens!C8</f>
        <v>0</v>
      </c>
      <c r="D4" s="477">
        <f>huishoudens!D8</f>
        <v>220001.3404402</v>
      </c>
      <c r="E4" s="477">
        <f>huishoudens!E8</f>
        <v>4420.9830965070187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25510.366686868656</v>
      </c>
      <c r="O4" s="477">
        <f>huishoudens!O8</f>
        <v>343.93333333333334</v>
      </c>
      <c r="P4" s="478">
        <f>huishoudens!P8</f>
        <v>858</v>
      </c>
      <c r="Q4" s="479">
        <f>SUM(B4:P4)</f>
        <v>310447.36026244843</v>
      </c>
    </row>
    <row r="5" spans="1:17">
      <c r="A5" s="476" t="s">
        <v>156</v>
      </c>
      <c r="B5" s="477">
        <f ca="1">tertiair!B16</f>
        <v>88277.307451100001</v>
      </c>
      <c r="C5" s="477">
        <f ca="1">tertiair!C16</f>
        <v>1575.0000000000002</v>
      </c>
      <c r="D5" s="477">
        <f ca="1">tertiair!D16</f>
        <v>116060.6653801442</v>
      </c>
      <c r="E5" s="477">
        <f>tertiair!E16</f>
        <v>1646.482710597872</v>
      </c>
      <c r="F5" s="477">
        <f ca="1">tertiair!F16</f>
        <v>21444.225247264807</v>
      </c>
      <c r="G5" s="477">
        <f>tertiair!G16</f>
        <v>0</v>
      </c>
      <c r="H5" s="477">
        <f>tertiair!H16</f>
        <v>0</v>
      </c>
      <c r="I5" s="477">
        <f>tertiair!I16</f>
        <v>0</v>
      </c>
      <c r="J5" s="477">
        <f>tertiair!J16</f>
        <v>0</v>
      </c>
      <c r="K5" s="477">
        <f>tertiair!K16</f>
        <v>0</v>
      </c>
      <c r="L5" s="477">
        <f ca="1">tertiair!L16</f>
        <v>0</v>
      </c>
      <c r="M5" s="477">
        <f>tertiair!M16</f>
        <v>0</v>
      </c>
      <c r="N5" s="477">
        <f ca="1">tertiair!N16</f>
        <v>145.88839266505238</v>
      </c>
      <c r="O5" s="477">
        <f>tertiair!O16</f>
        <v>6.2533333333333339</v>
      </c>
      <c r="P5" s="478">
        <f>tertiair!P16</f>
        <v>152.53333333333333</v>
      </c>
      <c r="Q5" s="476">
        <f t="shared" ref="Q5:Q14" ca="1" si="0">SUM(B5:P5)</f>
        <v>229308.35584843857</v>
      </c>
    </row>
    <row r="6" spans="1:17">
      <c r="A6" s="476" t="s">
        <v>194</v>
      </c>
      <c r="B6" s="477">
        <f>'openbare verlichting'!B8</f>
        <v>2573.7930000000001</v>
      </c>
      <c r="C6" s="477"/>
      <c r="D6" s="477"/>
      <c r="E6" s="477"/>
      <c r="F6" s="477"/>
      <c r="G6" s="477"/>
      <c r="H6" s="477"/>
      <c r="I6" s="477"/>
      <c r="J6" s="477"/>
      <c r="K6" s="477"/>
      <c r="L6" s="477"/>
      <c r="M6" s="477"/>
      <c r="N6" s="477"/>
      <c r="O6" s="477"/>
      <c r="P6" s="478"/>
      <c r="Q6" s="476">
        <f t="shared" si="0"/>
        <v>2573.7930000000001</v>
      </c>
    </row>
    <row r="7" spans="1:17">
      <c r="A7" s="476" t="s">
        <v>112</v>
      </c>
      <c r="B7" s="477">
        <f>landbouw!B8</f>
        <v>1434.6653547799999</v>
      </c>
      <c r="C7" s="477">
        <f>landbouw!C8</f>
        <v>0</v>
      </c>
      <c r="D7" s="477">
        <f>landbouw!D8</f>
        <v>2283.8640216480003</v>
      </c>
      <c r="E7" s="477">
        <f>landbouw!E8</f>
        <v>36.994511021675194</v>
      </c>
      <c r="F7" s="477">
        <f>landbouw!F8</f>
        <v>5243.975090465532</v>
      </c>
      <c r="G7" s="477">
        <f>landbouw!G8</f>
        <v>0</v>
      </c>
      <c r="H7" s="477">
        <f>landbouw!H8</f>
        <v>0</v>
      </c>
      <c r="I7" s="477">
        <f>landbouw!I8</f>
        <v>0</v>
      </c>
      <c r="J7" s="477">
        <f>landbouw!J8</f>
        <v>206.53903454589761</v>
      </c>
      <c r="K7" s="477">
        <f>landbouw!K8</f>
        <v>0</v>
      </c>
      <c r="L7" s="477">
        <f>landbouw!L8</f>
        <v>0</v>
      </c>
      <c r="M7" s="477">
        <f>landbouw!M8</f>
        <v>0</v>
      </c>
      <c r="N7" s="477">
        <f>landbouw!N8</f>
        <v>0</v>
      </c>
      <c r="O7" s="477">
        <f>landbouw!O8</f>
        <v>0</v>
      </c>
      <c r="P7" s="478">
        <f>landbouw!P8</f>
        <v>0</v>
      </c>
      <c r="Q7" s="476">
        <f t="shared" si="0"/>
        <v>9206.0380124611056</v>
      </c>
    </row>
    <row r="8" spans="1:17">
      <c r="A8" s="476" t="s">
        <v>638</v>
      </c>
      <c r="B8" s="477">
        <f>industrie!B18</f>
        <v>187547.59711653</v>
      </c>
      <c r="C8" s="477">
        <f>industrie!C18</f>
        <v>4082.1428571428573</v>
      </c>
      <c r="D8" s="477">
        <f>industrie!D18</f>
        <v>147553.10094733463</v>
      </c>
      <c r="E8" s="477">
        <f>industrie!E18</f>
        <v>9523.9954336567134</v>
      </c>
      <c r="F8" s="477">
        <f>industrie!F18</f>
        <v>39213.956526337817</v>
      </c>
      <c r="G8" s="477">
        <f>industrie!G18</f>
        <v>0</v>
      </c>
      <c r="H8" s="477">
        <f>industrie!H18</f>
        <v>0</v>
      </c>
      <c r="I8" s="477">
        <f>industrie!I18</f>
        <v>0</v>
      </c>
      <c r="J8" s="477">
        <f>industrie!J18</f>
        <v>2666.3709953868802</v>
      </c>
      <c r="K8" s="477">
        <f>industrie!K18</f>
        <v>0</v>
      </c>
      <c r="L8" s="477">
        <f>industrie!L18</f>
        <v>0</v>
      </c>
      <c r="M8" s="477">
        <f>industrie!M18</f>
        <v>0</v>
      </c>
      <c r="N8" s="477">
        <f>industrie!N18</f>
        <v>81966.525167333428</v>
      </c>
      <c r="O8" s="477">
        <f>industrie!O18</f>
        <v>0</v>
      </c>
      <c r="P8" s="478">
        <f>industrie!P18</f>
        <v>0</v>
      </c>
      <c r="Q8" s="476">
        <f t="shared" si="0"/>
        <v>472553.68904372235</v>
      </c>
    </row>
    <row r="9" spans="1:17" s="482" customFormat="1">
      <c r="A9" s="480" t="s">
        <v>564</v>
      </c>
      <c r="B9" s="481">
        <f>transport!B14</f>
        <v>57.734175294592625</v>
      </c>
      <c r="C9" s="481">
        <f>transport!C14</f>
        <v>0</v>
      </c>
      <c r="D9" s="481">
        <f>transport!D14</f>
        <v>126.77863029534203</v>
      </c>
      <c r="E9" s="481">
        <f>transport!E14</f>
        <v>521.09425893209652</v>
      </c>
      <c r="F9" s="481">
        <f>transport!F14</f>
        <v>0</v>
      </c>
      <c r="G9" s="481">
        <f>transport!G14</f>
        <v>202832.08515565624</v>
      </c>
      <c r="H9" s="481">
        <f>transport!H14</f>
        <v>34493.72329744236</v>
      </c>
      <c r="I9" s="481">
        <f>transport!I14</f>
        <v>0</v>
      </c>
      <c r="J9" s="481">
        <f>transport!J14</f>
        <v>0</v>
      </c>
      <c r="K9" s="481">
        <f>transport!K14</f>
        <v>0</v>
      </c>
      <c r="L9" s="481">
        <f>transport!L14</f>
        <v>0</v>
      </c>
      <c r="M9" s="481">
        <f>transport!M14</f>
        <v>7423.5414248288744</v>
      </c>
      <c r="N9" s="481">
        <f>transport!N14</f>
        <v>0</v>
      </c>
      <c r="O9" s="481">
        <f>transport!O14</f>
        <v>0</v>
      </c>
      <c r="P9" s="481">
        <f>transport!P14</f>
        <v>0</v>
      </c>
      <c r="Q9" s="480">
        <f>SUM(B9:P9)</f>
        <v>245454.9569424495</v>
      </c>
    </row>
    <row r="10" spans="1:17">
      <c r="A10" s="476" t="s">
        <v>554</v>
      </c>
      <c r="B10" s="477">
        <f>transport!B54</f>
        <v>0</v>
      </c>
      <c r="C10" s="477">
        <f>transport!C54</f>
        <v>0</v>
      </c>
      <c r="D10" s="477">
        <f>transport!D54</f>
        <v>0</v>
      </c>
      <c r="E10" s="477">
        <f>transport!E54</f>
        <v>0</v>
      </c>
      <c r="F10" s="477">
        <f>transport!F54</f>
        <v>0</v>
      </c>
      <c r="G10" s="477">
        <f>transport!G54</f>
        <v>5140.3048240006274</v>
      </c>
      <c r="H10" s="477">
        <f>transport!H54</f>
        <v>0</v>
      </c>
      <c r="I10" s="477">
        <f>transport!I54</f>
        <v>0</v>
      </c>
      <c r="J10" s="477">
        <f>transport!J54</f>
        <v>0</v>
      </c>
      <c r="K10" s="477">
        <f>transport!K54</f>
        <v>0</v>
      </c>
      <c r="L10" s="477">
        <f>transport!L54</f>
        <v>0</v>
      </c>
      <c r="M10" s="477">
        <f>transport!M54</f>
        <v>159.44075584261969</v>
      </c>
      <c r="N10" s="477">
        <f>transport!N54</f>
        <v>0</v>
      </c>
      <c r="O10" s="477">
        <f>transport!O54</f>
        <v>0</v>
      </c>
      <c r="P10" s="478">
        <f>transport!P54</f>
        <v>0</v>
      </c>
      <c r="Q10" s="476">
        <f t="shared" si="0"/>
        <v>5299.7455798432475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4804.8530077999994</v>
      </c>
      <c r="C14" s="484"/>
      <c r="D14" s="484">
        <f>'SEAP template'!E25</f>
        <v>7965.4650108000005</v>
      </c>
      <c r="E14" s="484"/>
      <c r="F14" s="484"/>
      <c r="G14" s="484"/>
      <c r="H14" s="484"/>
      <c r="I14" s="484"/>
      <c r="J14" s="484"/>
      <c r="K14" s="484"/>
      <c r="L14" s="484"/>
      <c r="M14" s="484"/>
      <c r="N14" s="484"/>
      <c r="O14" s="484"/>
      <c r="P14" s="485"/>
      <c r="Q14" s="476">
        <f t="shared" si="0"/>
        <v>12770.318018599999</v>
      </c>
    </row>
    <row r="15" spans="1:17" s="486" customFormat="1">
      <c r="A15" s="1038" t="s">
        <v>558</v>
      </c>
      <c r="B15" s="978">
        <f ca="1">SUM(B4:B14)</f>
        <v>344008.686811044</v>
      </c>
      <c r="C15" s="978">
        <f t="shared" ref="C15:Q15" ca="1" si="1">SUM(C4:C14)</f>
        <v>5657.1428571428578</v>
      </c>
      <c r="D15" s="978">
        <f t="shared" ca="1" si="1"/>
        <v>493991.21443042217</v>
      </c>
      <c r="E15" s="978">
        <f t="shared" si="1"/>
        <v>16149.550010715377</v>
      </c>
      <c r="F15" s="978">
        <f t="shared" ca="1" si="1"/>
        <v>65902.156864068151</v>
      </c>
      <c r="G15" s="978">
        <f t="shared" si="1"/>
        <v>207972.38997965687</v>
      </c>
      <c r="H15" s="978">
        <f t="shared" si="1"/>
        <v>34493.72329744236</v>
      </c>
      <c r="I15" s="978">
        <f t="shared" si="1"/>
        <v>0</v>
      </c>
      <c r="J15" s="978">
        <f t="shared" si="1"/>
        <v>2872.9100299327779</v>
      </c>
      <c r="K15" s="978">
        <f t="shared" si="1"/>
        <v>0</v>
      </c>
      <c r="L15" s="978">
        <f t="shared" ca="1" si="1"/>
        <v>0</v>
      </c>
      <c r="M15" s="978">
        <f t="shared" si="1"/>
        <v>7582.9821806714945</v>
      </c>
      <c r="N15" s="978">
        <f t="shared" ca="1" si="1"/>
        <v>107622.78024686713</v>
      </c>
      <c r="O15" s="978">
        <f t="shared" si="1"/>
        <v>350.18666666666667</v>
      </c>
      <c r="P15" s="978">
        <f t="shared" si="1"/>
        <v>1010.5333333333333</v>
      </c>
      <c r="Q15" s="978">
        <f t="shared" ca="1" si="1"/>
        <v>1287614.2567079633</v>
      </c>
    </row>
    <row r="17" spans="1:17">
      <c r="A17" s="487" t="s">
        <v>559</v>
      </c>
      <c r="B17" s="786">
        <f ca="1">huishoudens!B10</f>
        <v>0.21055801794996451</v>
      </c>
      <c r="C17" s="786">
        <f ca="1">huishoudens!C10</f>
        <v>0.23482101686688509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12488.772279906487</v>
      </c>
      <c r="C22" s="477">
        <f t="shared" ref="C22:C32" ca="1" si="3">C4*$C$17</f>
        <v>0</v>
      </c>
      <c r="D22" s="477">
        <f t="shared" ref="D22:D32" si="4">D4*$D$17</f>
        <v>44440.270768920403</v>
      </c>
      <c r="E22" s="477">
        <f t="shared" ref="E22:E32" si="5">E4*$E$17</f>
        <v>1003.5631629070932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57932.606211733982</v>
      </c>
    </row>
    <row r="23" spans="1:17">
      <c r="A23" s="476" t="s">
        <v>156</v>
      </c>
      <c r="B23" s="477">
        <f t="shared" ca="1" si="2"/>
        <v>18587.494886863249</v>
      </c>
      <c r="C23" s="477">
        <f t="shared" ca="1" si="3"/>
        <v>369.84310156534406</v>
      </c>
      <c r="D23" s="477">
        <f t="shared" ca="1" si="4"/>
        <v>23444.254406789129</v>
      </c>
      <c r="E23" s="477">
        <f t="shared" si="5"/>
        <v>373.75157530571698</v>
      </c>
      <c r="F23" s="477">
        <f t="shared" ca="1" si="6"/>
        <v>5725.6081410197039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48500.952111543142</v>
      </c>
    </row>
    <row r="24" spans="1:17">
      <c r="A24" s="476" t="s">
        <v>194</v>
      </c>
      <c r="B24" s="477">
        <f t="shared" ca="1" si="2"/>
        <v>541.93275269349306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541.93275269349306</v>
      </c>
    </row>
    <row r="25" spans="1:17">
      <c r="A25" s="476" t="s">
        <v>112</v>
      </c>
      <c r="B25" s="477">
        <f t="shared" ca="1" si="2"/>
        <v>302.08029352395943</v>
      </c>
      <c r="C25" s="477">
        <f t="shared" ca="1" si="3"/>
        <v>0</v>
      </c>
      <c r="D25" s="477">
        <f t="shared" si="4"/>
        <v>461.34053237289606</v>
      </c>
      <c r="E25" s="477">
        <f t="shared" si="5"/>
        <v>8.3977540019202692</v>
      </c>
      <c r="F25" s="477">
        <f t="shared" si="6"/>
        <v>1400.1413491542971</v>
      </c>
      <c r="G25" s="477">
        <f t="shared" si="7"/>
        <v>0</v>
      </c>
      <c r="H25" s="477">
        <f t="shared" si="8"/>
        <v>0</v>
      </c>
      <c r="I25" s="477">
        <f t="shared" si="9"/>
        <v>0</v>
      </c>
      <c r="J25" s="477">
        <f t="shared" si="10"/>
        <v>73.114818229247746</v>
      </c>
      <c r="K25" s="477">
        <f t="shared" si="11"/>
        <v>0</v>
      </c>
      <c r="L25" s="477">
        <f t="shared" si="12"/>
        <v>0</v>
      </c>
      <c r="M25" s="477">
        <f t="shared" si="13"/>
        <v>0</v>
      </c>
      <c r="N25" s="477">
        <f t="shared" si="14"/>
        <v>0</v>
      </c>
      <c r="O25" s="477">
        <f t="shared" si="15"/>
        <v>0</v>
      </c>
      <c r="P25" s="478">
        <f t="shared" si="16"/>
        <v>0</v>
      </c>
      <c r="Q25" s="476">
        <f t="shared" ca="1" si="17"/>
        <v>2245.0747472823205</v>
      </c>
    </row>
    <row r="26" spans="1:17">
      <c r="A26" s="476" t="s">
        <v>638</v>
      </c>
      <c r="B26" s="477">
        <f t="shared" ca="1" si="2"/>
        <v>39489.650320135035</v>
      </c>
      <c r="C26" s="477">
        <f t="shared" ca="1" si="3"/>
        <v>958.57293671017737</v>
      </c>
      <c r="D26" s="477">
        <f t="shared" si="4"/>
        <v>29805.726391361597</v>
      </c>
      <c r="E26" s="477">
        <f t="shared" si="5"/>
        <v>2161.9469634400739</v>
      </c>
      <c r="F26" s="477">
        <f t="shared" si="6"/>
        <v>10470.126392532198</v>
      </c>
      <c r="G26" s="477">
        <f t="shared" si="7"/>
        <v>0</v>
      </c>
      <c r="H26" s="477">
        <f t="shared" si="8"/>
        <v>0</v>
      </c>
      <c r="I26" s="477">
        <f t="shared" si="9"/>
        <v>0</v>
      </c>
      <c r="J26" s="477">
        <f t="shared" si="10"/>
        <v>943.89533236695559</v>
      </c>
      <c r="K26" s="477">
        <f t="shared" si="11"/>
        <v>0</v>
      </c>
      <c r="L26" s="477">
        <f t="shared" si="12"/>
        <v>0</v>
      </c>
      <c r="M26" s="477">
        <f t="shared" si="13"/>
        <v>0</v>
      </c>
      <c r="N26" s="477">
        <f t="shared" si="14"/>
        <v>0</v>
      </c>
      <c r="O26" s="477">
        <f t="shared" si="15"/>
        <v>0</v>
      </c>
      <c r="P26" s="478">
        <f t="shared" si="16"/>
        <v>0</v>
      </c>
      <c r="Q26" s="476">
        <f t="shared" ca="1" si="17"/>
        <v>83829.918336546034</v>
      </c>
    </row>
    <row r="27" spans="1:17" s="482" customFormat="1">
      <c r="A27" s="480" t="s">
        <v>564</v>
      </c>
      <c r="B27" s="780">
        <f t="shared" ca="1" si="2"/>
        <v>12.156393518005231</v>
      </c>
      <c r="C27" s="481">
        <f t="shared" ca="1" si="3"/>
        <v>0</v>
      </c>
      <c r="D27" s="481">
        <f t="shared" si="4"/>
        <v>25.609283319659092</v>
      </c>
      <c r="E27" s="481">
        <f t="shared" si="5"/>
        <v>118.28839677758592</v>
      </c>
      <c r="F27" s="481">
        <f t="shared" si="6"/>
        <v>0</v>
      </c>
      <c r="G27" s="481">
        <f t="shared" si="7"/>
        <v>54156.166736560219</v>
      </c>
      <c r="H27" s="481">
        <f t="shared" si="8"/>
        <v>8588.9371010631476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62901.15791123861</v>
      </c>
    </row>
    <row r="28" spans="1:17">
      <c r="A28" s="476" t="s">
        <v>554</v>
      </c>
      <c r="B28" s="477">
        <f t="shared" ca="1" si="2"/>
        <v>0</v>
      </c>
      <c r="C28" s="477">
        <f t="shared" ca="1" si="3"/>
        <v>0</v>
      </c>
      <c r="D28" s="477">
        <f t="shared" si="4"/>
        <v>0</v>
      </c>
      <c r="E28" s="477">
        <f t="shared" si="5"/>
        <v>0</v>
      </c>
      <c r="F28" s="477">
        <f t="shared" si="6"/>
        <v>0</v>
      </c>
      <c r="G28" s="477">
        <f t="shared" si="7"/>
        <v>1372.4613880081677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1372.4613880081677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1011.7003258632933</v>
      </c>
      <c r="C32" s="477">
        <f t="shared" ca="1" si="3"/>
        <v>0</v>
      </c>
      <c r="D32" s="477">
        <f t="shared" si="4"/>
        <v>1609.0239321816002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2620.7242580448938</v>
      </c>
    </row>
    <row r="33" spans="1:17" s="486" customFormat="1">
      <c r="A33" s="1038" t="s">
        <v>558</v>
      </c>
      <c r="B33" s="978">
        <f ca="1">SUM(B22:B32)</f>
        <v>72433.78725250352</v>
      </c>
      <c r="C33" s="978">
        <f t="shared" ref="C33:Q33" ca="1" si="18">SUM(C22:C32)</f>
        <v>1328.4160382755215</v>
      </c>
      <c r="D33" s="978">
        <f t="shared" ca="1" si="18"/>
        <v>99786.225314945303</v>
      </c>
      <c r="E33" s="978">
        <f t="shared" si="18"/>
        <v>3665.9478524323904</v>
      </c>
      <c r="F33" s="978">
        <f t="shared" ca="1" si="18"/>
        <v>17595.875882706197</v>
      </c>
      <c r="G33" s="978">
        <f t="shared" si="18"/>
        <v>55528.628124568386</v>
      </c>
      <c r="H33" s="978">
        <f t="shared" si="18"/>
        <v>8588.9371010631476</v>
      </c>
      <c r="I33" s="978">
        <f t="shared" si="18"/>
        <v>0</v>
      </c>
      <c r="J33" s="978">
        <f t="shared" si="18"/>
        <v>1017.0101505962033</v>
      </c>
      <c r="K33" s="978">
        <f t="shared" si="18"/>
        <v>0</v>
      </c>
      <c r="L33" s="978">
        <f t="shared" ca="1" si="18"/>
        <v>0</v>
      </c>
      <c r="M33" s="978">
        <f t="shared" si="18"/>
        <v>0</v>
      </c>
      <c r="N33" s="978">
        <f t="shared" ca="1" si="18"/>
        <v>0</v>
      </c>
      <c r="O33" s="978">
        <f t="shared" si="18"/>
        <v>0</v>
      </c>
      <c r="P33" s="978">
        <f t="shared" si="18"/>
        <v>0</v>
      </c>
      <c r="Q33" s="978">
        <f t="shared" ca="1" si="18"/>
        <v>259944.82771709067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15111.396872160207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3172.5</v>
      </c>
      <c r="D8" s="1055">
        <f>'SEAP template'!D76</f>
        <v>3687.9686931197666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744.96967601019287</v>
      </c>
    </row>
    <row r="9" spans="1:16">
      <c r="A9" s="1058" t="s">
        <v>863</v>
      </c>
      <c r="B9" s="1055">
        <f>'SEAP template'!B77</f>
        <v>1341</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3831.4285714285716</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16452.396872160207</v>
      </c>
      <c r="C10" s="1059">
        <f>SUM(C4:C9)</f>
        <v>3172.5</v>
      </c>
      <c r="D10" s="1059">
        <f t="shared" ref="D10:H10" si="0">SUM(D8:D9)</f>
        <v>3687.9686931197666</v>
      </c>
      <c r="E10" s="1059">
        <f t="shared" si="0"/>
        <v>0</v>
      </c>
      <c r="F10" s="1059">
        <f t="shared" si="0"/>
        <v>0</v>
      </c>
      <c r="G10" s="1059">
        <f t="shared" si="0"/>
        <v>0</v>
      </c>
      <c r="H10" s="1059">
        <f t="shared" si="0"/>
        <v>0</v>
      </c>
      <c r="I10" s="1059">
        <f>SUM(I8:I9)</f>
        <v>0</v>
      </c>
      <c r="J10" s="1059">
        <f>SUM(J8:J9)</f>
        <v>3831.4285714285716</v>
      </c>
      <c r="K10" s="1059">
        <f t="shared" ref="K10:L10" si="1">SUM(K8:K9)</f>
        <v>0</v>
      </c>
      <c r="L10" s="1059">
        <f t="shared" si="1"/>
        <v>0</v>
      </c>
      <c r="M10" s="1059">
        <f>SUM(M8:M9)</f>
        <v>0</v>
      </c>
      <c r="N10" s="1059">
        <f>SUM(N8:N9)</f>
        <v>0</v>
      </c>
      <c r="O10" s="1059">
        <f>SUM(O8:O9)</f>
        <v>0</v>
      </c>
      <c r="P10" s="1059">
        <f>SUM(P8:P9)</f>
        <v>744.96967601019287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0.21055801794996451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5657.1428571428578</v>
      </c>
      <c r="D17" s="1056">
        <f>'SEAP template'!D87</f>
        <v>6576.3170211659472</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1328.4160382755215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5657.1428571428578</v>
      </c>
      <c r="D20" s="1059">
        <f t="shared" ref="D20:H20" si="2">SUM(D17:D19)</f>
        <v>6576.3170211659472</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1328.4160382755215</v>
      </c>
    </row>
    <row r="22" spans="1:16">
      <c r="A22" s="487" t="s">
        <v>871</v>
      </c>
      <c r="B22" s="786" t="s">
        <v>865</v>
      </c>
      <c r="C22" s="786">
        <f ca="1">'EF ele_warmte'!B22</f>
        <v>0.23482101686688509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0.21055801794996451</v>
      </c>
      <c r="C17" s="524">
        <f ca="1">'EF ele_warmte'!B22</f>
        <v>0.23482101686688509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2019-08-12T08:23:02Z</dcterms:modified>
</cp:coreProperties>
</file>