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1" s="1"/>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D20"/>
  <c r="Q19"/>
  <c r="P19"/>
  <c r="O19"/>
  <c r="M19"/>
  <c r="L19"/>
  <c r="L22" s="1"/>
  <c r="K19"/>
  <c r="J19"/>
  <c r="I19"/>
  <c r="G19"/>
  <c r="G22" s="1"/>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L18" i="59"/>
  <c r="L20" s="1"/>
  <c r="L90" i="14"/>
  <c r="K18" i="59"/>
  <c r="K20" s="1"/>
  <c r="K90" i="14"/>
  <c r="H10" i="59"/>
  <c r="L78" i="14"/>
  <c r="L8" i="59"/>
  <c r="L10" s="1"/>
  <c r="H90" i="14"/>
  <c r="H18" i="59"/>
  <c r="H78" i="14"/>
  <c r="H8" i="59"/>
  <c r="K10"/>
  <c r="H20"/>
  <c r="C98" i="18"/>
  <c r="B101" s="1"/>
  <c r="C8" s="1"/>
  <c r="D13" i="15"/>
  <c r="O90" i="14"/>
  <c r="G20" i="18"/>
  <c r="C13" i="15"/>
  <c r="O78" i="14"/>
  <c r="O9" i="59"/>
  <c r="E20"/>
  <c r="R9" i="14"/>
  <c r="N20" i="59"/>
  <c r="P25" i="48"/>
  <c r="R25" i="14"/>
  <c r="O10" i="59"/>
  <c r="G78" i="14"/>
  <c r="N10" i="59"/>
  <c r="B8" i="18"/>
  <c r="B10" s="1"/>
  <c r="O19"/>
  <c r="L13" i="15"/>
  <c r="N13"/>
  <c r="Q77" i="14"/>
  <c r="P9" i="59" s="1"/>
  <c r="O9" i="18"/>
  <c r="O18"/>
  <c r="B89" i="14"/>
  <c r="B19" i="59" s="1"/>
  <c r="G88" i="14"/>
  <c r="F89"/>
  <c r="I101" i="18"/>
  <c r="H8" s="1"/>
  <c r="E101"/>
  <c r="E8" s="1"/>
  <c r="H10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F101"/>
  <c r="Q89" i="14"/>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I10" i="14" l="1"/>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5"/>
  <c r="I31"/>
  <c r="I24"/>
  <c r="I26"/>
  <c r="I28"/>
  <c r="I22"/>
  <c r="I30"/>
  <c r="I29"/>
  <c r="D4"/>
  <c r="D22" s="1"/>
  <c r="E11" i="14"/>
  <c r="H32" i="48"/>
  <c r="H28"/>
  <c r="H25"/>
  <c r="H24"/>
  <c r="H29"/>
  <c r="H22"/>
  <c r="H26"/>
  <c r="H30"/>
  <c r="H23"/>
  <c r="C4"/>
  <c r="D11" i="14"/>
  <c r="G32" i="48"/>
  <c r="G25"/>
  <c r="G29"/>
  <c r="G26"/>
  <c r="G30"/>
  <c r="G24"/>
  <c r="G22"/>
  <c r="G23"/>
  <c r="B4"/>
  <c r="C11" i="14"/>
  <c r="F32" i="48"/>
  <c r="F31"/>
  <c r="F29"/>
  <c r="F27"/>
  <c r="F28"/>
  <c r="F30"/>
  <c r="F24"/>
  <c r="N32"/>
  <c r="N31"/>
  <c r="N29"/>
  <c r="N27"/>
  <c r="N30"/>
  <c r="N24"/>
  <c r="N28"/>
  <c r="B10"/>
  <c r="C19" i="14"/>
  <c r="E31" i="48"/>
  <c r="E29"/>
  <c r="E28"/>
  <c r="E32"/>
  <c r="E24"/>
  <c r="E30"/>
  <c r="M29"/>
  <c r="M32"/>
  <c r="M25"/>
  <c r="M22"/>
  <c r="M24"/>
  <c r="M30"/>
  <c r="M26"/>
  <c r="M23"/>
  <c r="L10" i="14"/>
  <c r="L16" s="1"/>
  <c r="L27" s="1"/>
  <c r="K5" i="48"/>
  <c r="D29"/>
  <c r="D28"/>
  <c r="D30"/>
  <c r="D32"/>
  <c r="D24"/>
  <c r="D31"/>
  <c r="L29"/>
  <c r="L28"/>
  <c r="L32"/>
  <c r="L27"/>
  <c r="L31"/>
  <c r="L22"/>
  <c r="L30"/>
  <c r="L24"/>
  <c r="P5"/>
  <c r="P23" s="1"/>
  <c r="Q10" i="14"/>
  <c r="K28" i="48"/>
  <c r="K32"/>
  <c r="K25"/>
  <c r="K27"/>
  <c r="K26"/>
  <c r="K24"/>
  <c r="K22"/>
  <c r="K31"/>
  <c r="K29"/>
  <c r="K30"/>
  <c r="C24" i="14"/>
  <c r="C26" s="1"/>
  <c r="B7" i="48"/>
  <c r="J28"/>
  <c r="J27"/>
  <c r="J32"/>
  <c r="J31"/>
  <c r="J30"/>
  <c r="J29"/>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15"/>
  <c r="C22" i="14"/>
  <c r="P8" i="48"/>
  <c r="P26" s="1"/>
  <c r="Q13" i="14"/>
  <c r="Q16" s="1"/>
  <c r="Q27" s="1"/>
  <c r="Q63" s="1"/>
  <c r="F20"/>
  <c r="F22" s="1"/>
  <c r="E9" i="48"/>
  <c r="E27" s="1"/>
  <c r="E20" i="14"/>
  <c r="E22" s="1"/>
  <c r="D9" i="48"/>
  <c r="D27" s="1"/>
  <c r="O5"/>
  <c r="O23" s="1"/>
  <c r="P10" i="14"/>
  <c r="J7" i="48"/>
  <c r="J25" s="1"/>
  <c r="K24" i="14"/>
  <c r="K26" s="1"/>
  <c r="P22" i="48"/>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R11" s="1"/>
  <c r="E4" i="48"/>
  <c r="G31"/>
  <c r="Q13"/>
  <c r="I23"/>
  <c r="I33" s="1"/>
  <c r="I15"/>
  <c r="K11" i="14"/>
  <c r="J4" i="48"/>
  <c r="E7"/>
  <c r="E25" s="1"/>
  <c r="F24" i="14"/>
  <c r="F26" s="1"/>
  <c r="M9" i="48"/>
  <c r="N20" i="14"/>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I63"/>
  <c r="E5" i="48"/>
  <c r="E23" s="1"/>
  <c r="F10" i="14"/>
  <c r="J22" i="48"/>
  <c r="J5"/>
  <c r="J23" s="1"/>
  <c r="K10" i="14"/>
  <c r="H27" i="48"/>
  <c r="H33" s="1"/>
  <c r="H15"/>
  <c r="E22"/>
  <c r="Q4"/>
  <c r="M27"/>
  <c r="M33" s="1"/>
  <c r="M15"/>
  <c r="G28"/>
  <c r="Q10"/>
  <c r="O26"/>
  <c r="O33" s="1"/>
  <c r="O15"/>
  <c r="H20" i="14"/>
  <c r="R20" s="1"/>
  <c r="G9" i="48"/>
  <c r="P63" i="14"/>
  <c r="R24"/>
  <c r="R26" s="1"/>
  <c r="R19"/>
  <c r="H22"/>
  <c r="H27" s="1"/>
  <c r="J20" i="15"/>
  <c r="K40" i="14" s="1"/>
  <c r="R22"/>
  <c r="Q7" i="48"/>
  <c r="E20" i="15"/>
  <c r="F40" i="14" s="1"/>
  <c r="J18" i="16"/>
  <c r="E18"/>
  <c r="F18"/>
  <c r="F22" s="1"/>
  <c r="G43" i="14" s="1"/>
  <c r="N18" i="16"/>
  <c r="G18" i="22"/>
  <c r="H50" i="14" s="1"/>
  <c r="E22" i="16"/>
  <c r="F43" i="14" s="1"/>
  <c r="H18" i="22"/>
  <c r="I50" i="14" s="1"/>
  <c r="I52" s="1"/>
  <c r="I61" s="1"/>
  <c r="G27" i="48" l="1"/>
  <c r="G33" s="1"/>
  <c r="G15"/>
  <c r="Q9"/>
  <c r="J22" i="16"/>
  <c r="K43" i="14" s="1"/>
  <c r="J8" i="48"/>
  <c r="K13" i="14"/>
  <c r="K16" s="1"/>
  <c r="K27" s="1"/>
  <c r="E8" i="48"/>
  <c r="E26" s="1"/>
  <c r="F13" i="14"/>
  <c r="H63"/>
  <c r="K46"/>
  <c r="K61" s="1"/>
  <c r="E33" i="48"/>
  <c r="E15"/>
  <c r="F16" i="14"/>
  <c r="F27" s="1"/>
  <c r="F46"/>
  <c r="F61"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<sst xmlns="http://schemas.openxmlformats.org/spreadsheetml/2006/main" count="2482" uniqueCount="925">
  <si>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</si>
  <si>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</si>
  <si>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</si>
  <si>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</si>
  <si>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</si>
  <si>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</si>
  <si>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</si>
  <si>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</si>
  <si>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</si>
  <si>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</si>
  <si>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</si>
  <si>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</si>
  <si>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</si>
  <si>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</si>
  <si>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</si>
  <si>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</si>
  <si>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</si>
  <si>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</si>
  <si>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</si>
  <si>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</si>
  <si>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</si>
  <si>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</si>
  <si>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</si>
  <si>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</si>
  <si>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</si>
  <si>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</si>
  <si>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</si>
  <si>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</si>
  <si>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</si>
  <si>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</si>
  <si>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</si>
  <si>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</si>
  <si>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</si>
  <si>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</si>
  <si>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</si>
  <si>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</si>
  <si>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</si>
  <si>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</si>
  <si>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</si>
  <si>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</si>
  <si>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</si>
  <si>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</si>
  <si>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</si>
  <si>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</si>
  <si>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</si>
  <si>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</si>
  <si>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</si>
  <si>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</si>
  <si>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</si>
  <si>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</si>
  <si>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</si>
  <si>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</si>
  <si>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</si>
  <si>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</si>
  <si>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</si>
  <si>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</si>
  <si>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</si>
  <si>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</si>
  <si>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</si>
  <si>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</si>
  <si>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</si>
  <si>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</si>
  <si>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</si>
  <si>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</si>
  <si>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</si>
  <si>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</si>
  <si>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</si>
  <si>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</si>
  <si>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</si>
  <si>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</si>
  <si>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</si>
  <si>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</si>
  <si>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</si>
  <si>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</si>
  <si>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</si>
  <si>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</si>
  <si>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</si>
  <si>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</si>
  <si>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</si>
  <si>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</si>
  <si>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</si>
  <si>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</si>
  <si>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</si>
  <si>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</si>
  <si>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</si>
  <si>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</si>
  <si>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</si>
  <si>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</si>
  <si>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</si>
  <si>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</si>
  <si>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</si>
  <si>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</si>
  <si>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</si>
  <si>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</si>
  <si>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</si>
  <si>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</si>
  <si>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</si>
  <si>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</si>
  <si>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</si>
  <si>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</si>
  <si>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</si>
  <si>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</si>
  <si>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</si>
  <si>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</si>
  <si>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</si>
  <si>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</si>
  <si>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</si>
  <si>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</si>
  <si>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</si>
  <si>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</si>
  <si>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</si>
  <si>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</si>
  <si>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</si>
  <si>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</si>
  <si>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</si>
  <si>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</si>
  <si>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</si>
  <si>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</si>
  <si>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</si>
  <si>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</si>
  <si>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</si>
  <si>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</si>
  <si>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</si>
  <si>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</si>
  <si>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</si>
  <si>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</si>
  <si>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</si>
  <si>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</si>
  <si>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</si>
  <si>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</si>
  <si>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</si>
  <si>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</si>
  <si>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</si>
  <si>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</si>
  <si>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</si>
  <si>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</si>
  <si>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</si>
  <si>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</si>
  <si>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</si>
  <si>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</si>
  <si>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</si>
  <si>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</si>
  <si>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</si>
  <si>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</si>
  <si>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</si>
  <si>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</si>
  <si>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</si>
  <si>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</si>
  <si>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</si>
  <si>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</si>
  <si>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</si>
  <si>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</si>
  <si>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</si>
  <si>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</si>
  <si>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</si>
  <si>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</si>
  <si>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</si>
  <si>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</si>
  <si>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</si>
  <si>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</si>
  <si>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</si>
  <si>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</si>
  <si>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</si>
  <si>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</si>
  <si>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</si>
  <si>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</si>
  <si>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</si>
  <si>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</si>
  <si>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</si>
  <si>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</si>
  <si>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</si>
  <si>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</si>
  <si>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</si>
  <si>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</si>
  <si>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</si>
  <si>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</si>
  <si>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</si>
  <si>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</si>
  <si>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</si>
  <si>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</si>
  <si>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</si>
  <si>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</si>
  <si>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</si>
  <si>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</si>
  <si>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</si>
  <si>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</si>
  <si>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</si>
  <si>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</si>
  <si>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</si>
  <si>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</si>
  <si>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</si>
  <si>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</si>
  <si>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</si>
  <si>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</si>
  <si>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</si>
  <si>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</si>
  <si>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</si>
  <si>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</si>
  <si>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</si>
  <si>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</si>
  <si>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</si>
  <si>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</si>
  <si>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</si>
  <si>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</si>
  <si>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</si>
  <si>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</si>
  <si>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</si>
  <si>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</si>
  <si>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</si>
  <si>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</si>
  <si>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</si>
  <si>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</si>
  <si>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</si>
  <si>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</si>
  <si>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</si>
  <si>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</si>
  <si>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</si>
  <si>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</si>
  <si>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</si>
  <si>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</si>
  <si>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</si>
  <si>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</si>
  <si>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</si>
  <si>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</si>
  <si>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</si>
  <si>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</si>
  <si>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</si>
  <si>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</si>
  <si>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</si>
  <si>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</si>
  <si>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</si>
  <si>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</si>
  <si>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</si>
  <si>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</si>
  <si>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</si>
  <si>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</si>
  <si>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</si>
  <si>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</si>
  <si>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</si>
  <si>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</si>
  <si>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</si>
  <si>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</si>
  <si>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</si>
  <si>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</si>
  <si>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</si>
  <si>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</si>
  <si>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</si>
  <si>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</si>
  <si>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</si>
  <si>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</si>
  <si>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</si>
  <si>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</si>
  <si>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</si>
  <si>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</si>
  <si>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</si>
  <si>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</si>
  <si>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</si>
  <si>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</si>
  <si>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</si>
  <si>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</si>
  <si>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</si>
  <si>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</si>
  <si>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</si>
  <si>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</si>
  <si>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</si>
  <si>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</si>
  <si>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</si>
  <si>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</si>
  <si>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</si>
  <si>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</si>
  <si>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</si>
  <si>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</si>
  <si>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</si>
  <si>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</si>
  <si>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</si>
  <si>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</si>
  <si>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</si>
  <si>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</si>
  <si>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</si>
  <si>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</si>
  <si>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</si>
  <si>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</si>
  <si>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</si>
  <si>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</si>
  <si>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</si>
  <si>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</si>
  <si>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</si>
  <si>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</si>
  <si>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</si>
  <si>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</si>
  <si>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</si>
  <si>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</si>
  <si>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</si>
  <si>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</si>
  <si>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</si>
  <si>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</si>
  <si>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</si>
  <si>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</si>
  <si>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</si>
  <si>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</si>
  <si>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</si>
  <si>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</si>
  <si>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</si>
  <si>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</si>
  <si>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</si>
  <si>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</si>
  <si>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</si>
  <si>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</si>
  <si>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</si>
  <si>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</si>
  <si>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</si>
  <si>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</si>
  <si>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</si>
  <si>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</si>
  <si>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</si>
  <si>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</si>
  <si>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</si>
  <si>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</si>
  <si>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</si>
  <si>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</si>
  <si>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</si>
  <si>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</si>
  <si>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</si>
  <si>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</si>
  <si>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</si>
  <si>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</si>
  <si>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</si>
  <si>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</si>
  <si>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</si>
  <si>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</si>
  <si>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</si>
  <si>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</si>
  <si>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</si>
  <si>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</si>
  <si>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</si>
  <si>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</si>
  <si>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</si>
  <si>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</si>
  <si>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</si>
  <si>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</si>
  <si>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</si>
  <si>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</si>
  <si>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</si>
  <si>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</si>
  <si>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</si>
  <si>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</si>
  <si>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</si>
  <si>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</si>
  <si>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</si>
  <si>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</si>
  <si>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</si>
  <si>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</si>
  <si>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</si>
  <si>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</si>
  <si>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</si>
  <si>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</si>
  <si>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</si>
  <si>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</si>
  <si>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</si>
  <si>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</si>
  <si>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</si>
  <si>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</si>
  <si>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</si>
  <si>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</si>
  <si>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</si>
  <si>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</si>
  <si>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</si>
  <si>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</si>
  <si>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</si>
  <si>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</si>
  <si>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</si>
  <si>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</si>
  <si>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</si>
  <si>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</si>
  <si>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</si>
  <si>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</si>
  <si>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</si>
  <si>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</si>
  <si>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</si>
  <si>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</si>
  <si>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</si>
  <si>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</si>
  <si>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</si>
  <si>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</si>
  <si>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</si>
  <si>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</si>
  <si>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</si>
  <si>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</si>
  <si>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</si>
  <si>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</si>
  <si>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</si>
  <si>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</si>
  <si>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</si>
  <si>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</si>
  <si>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</si>
  <si>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</si>
  <si>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</si>
  <si>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</si>
  <si>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</si>
  <si>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</si>
  <si>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</si>
  <si>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</si>
  <si>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</si>
  <si>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</si>
  <si>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</si>
  <si>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</si>
  <si>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</si>
  <si>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</si>
  <si>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</si>
  <si>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</si>
  <si>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</si>
  <si>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</si>
  <si>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</si>
  <si>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</si>
  <si>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</si>
  <si>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</si>
  <si>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</si>
  <si>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</si>
  <si>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</si>
  <si>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</si>
  <si>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</si>
  <si>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</si>
  <si>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</si>
  <si>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</si>
  <si>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</si>
  <si>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</si>
  <si>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</si>
  <si>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</si>
  <si>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</si>
  <si>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</si>
  <si>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</si>
  <si>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</si>
  <si>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</si>
  <si>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</si>
  <si>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</si>
  <si>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</si>
  <si>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</si>
  <si>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</si>
  <si>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</si>
  <si>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</si>
  <si>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</si>
  <si>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</si>
  <si>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</si>
  <si>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</si>
  <si>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</si>
  <si>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</si>
  <si>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</si>
  <si>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</si>
  <si>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</si>
  <si>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</si>
  <si>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</si>
  <si>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</si>
  <si>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</si>
  <si>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</si>
  <si>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</si>
  <si>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</si>
  <si>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</si>
  <si>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</si>
  <si>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</si>
  <si>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</si>
  <si>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</si>
  <si>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</si>
  <si>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</si>
  <si>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</si>
  <si>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</si>
  <si>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</si>
  <si>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</si>
  <si>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</si>
  <si>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</si>
  <si>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</si>
  <si>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</si>
  <si>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</si>
  <si>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</si>
  <si>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</si>
  <si>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</si>
  <si>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</si>
  <si>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</si>
  <si>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</si>
  <si>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</si>
  <si>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</si>
  <si>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</si>
  <si>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</si>
  <si>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</si>
  <si>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</si>
  <si>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</si>
  <si>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</si>
  <si>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</si>
  <si>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</si>
  <si>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</si>
  <si>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</si>
  <si>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</si>
  <si>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</si>
  <si>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</si>
  <si>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</si>
  <si>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</si>
  <si>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</si>
  <si>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</si>
  <si>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</si>
  <si>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</si>
  <si>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</si>
  <si>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</si>
  <si>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</si>
  <si>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</si>
  <si>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</si>
  <si>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</si>
  <si>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</si>
  <si>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</si>
  <si>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</si>
  <si>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</si>
  <si>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</si>
  <si>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</si>
  <si>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</si>
  <si>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</si>
  <si>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</si>
  <si>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</si>
  <si>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</si>
  <si>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</si>
  <si>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</si>
  <si>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</si>
  <si>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</si>
  <si>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</si>
  <si>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</si>
  <si>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</si>
  <si>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</si>
  <si>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</si>
  <si>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</si>
  <si>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</si>
  <si>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</si>
  <si>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</si>
  <si>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</si>
  <si>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</si>
  <si>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</si>
  <si>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</si>
  <si>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</si>
  <si>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</si>
  <si>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</si>
  <si>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</si>
  <si>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</si>
  <si>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</si>
  <si>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</si>
  <si>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</si>
  <si>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</si>
  <si>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</si>
  <si>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</si>
  <si>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</si>
  <si>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</si>
  <si>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</si>
  <si>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</si>
  <si>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</si>
  <si>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</si>
  <si>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</si>
  <si>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</si>
  <si>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</si>
  <si>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</si>
  <si>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</si>
  <si>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</si>
  <si>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</si>
  <si>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</si>
  <si>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</si>
  <si>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</si>
  <si>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</si>
  <si>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</si>
  <si>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</si>
  <si>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</si>
  <si>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</si>
  <si>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</si>
  <si>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</si>
  <si>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</si>
  <si>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</si>
  <si>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</si>
  <si>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</si>
  <si>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</si>
  <si>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</si>
  <si>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</si>
  <si>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</si>
  <si>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</si>
  <si>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</si>
  <si>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</si>
  <si>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</si>
  <si>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</si>
  <si>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</si>
  <si>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</si>
  <si>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</si>
  <si>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</si>
  <si>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</si>
  <si>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</si>
  <si>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</si>
  <si>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</si>
  <si>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</si>
  <si>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</si>
  <si>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</si>
  <si>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</si>
  <si>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</si>
  <si>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</si>
  <si>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</si>
  <si>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</si>
  <si>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</si>
  <si>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</si>
  <si>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</si>
  <si>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</si>
  <si>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</si>
  <si>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</si>
  <si>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</si>
  <si>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</si>
  <si>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</si>
  <si>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</si>
  <si>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</si>
  <si>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</si>
  <si>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</si>
  <si>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</si>
  <si>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</si>
  <si>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</si>
  <si>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</si>
  <si>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</si>
  <si>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</si>
  <si>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</si>
  <si>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</si>
  <si>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</si>
  <si>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</si>
  <si>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</si>
  <si>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</si>
  <si>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</si>
  <si>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</si>
  <si>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</si>
  <si>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</si>
  <si>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</si>
  <si>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</si>
  <si>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</si>
  <si>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</si>
  <si>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</si>
  <si>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</si>
  <si>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</si>
  <si>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</si>
  <si>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</si>
  <si>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</si>
  <si>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</si>
  <si>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</si>
  <si>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</si>
  <si>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</si>
  <si>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</si>
  <si>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</si>
  <si>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</si>
  <si>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</si>
  <si>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</si>
  <si>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</si>
  <si>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</si>
  <si>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</si>
  <si>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</si>
  <si>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</si>
  <si>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</si>
  <si>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</si>
  <si>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</si>
  <si>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</si>
  <si>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</si>
  <si>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</si>
  <si>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</si>
  <si>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</si>
  <si>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</si>
  <si>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</si>
  <si>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</si>
  <si>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</si>
  <si>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</si>
  <si>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</si>
  <si>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</si>
  <si>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</si>
  <si>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</si>
  <si>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</si>
  <si>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</si>
  <si>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</si>
  <si>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</si>
  <si>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</si>
  <si>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</si>
  <si>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</si>
  <si>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</si>
  <si>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</si>
  <si>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</si>
  <si>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</si>
  <si>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</si>
  <si>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</si>
  <si>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</si>
  <si>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</si>
  <si>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</si>
  <si>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</si>
  <si>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</si>
  <si>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</si>
  <si>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</si>
  <si>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</si>
  <si>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</si>
  <si>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</si>
  <si>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</si>
  <si>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</si>
  <si>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</si>
  <si>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</si>
  <si>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</si>
  <si>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</si>
  <si>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</si>
  <si>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</si>
  <si>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</si>
  <si>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</si>
  <si>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</si>
  <si>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</si>
  <si>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</si>
  <si>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</si>
  <si>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</si>
  <si>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</si>
  <si>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</si>
  <si>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</si>
  <si>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</si>
  <si>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</si>
  <si>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</si>
  <si>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</si>
  <si>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</si>
  <si>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</si>
  <si>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</si>
  <si>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</si>
  <si>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</si>
  <si>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</si>
  <si>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</si>
  <si>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</si>
  <si>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</si>
  <si>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</si>
  <si>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</si>
  <si>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</si>
  <si>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</si>
  <si>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</si>
  <si>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</si>
  <si>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</si>
  <si>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</si>
  <si>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</si>
  <si>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</si>
  <si>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</si>
  <si>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</si>
  <si>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</si>
  <si>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</si>
  <si>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</si>
  <si>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</si>
  <si>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</si>
  <si>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</si>
  <si>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</si>
  <si>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</si>
  <si>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</si>
  <si>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</si>
  <si>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</si>
  <si>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</si>
  <si>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</si>
  <si>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</si>
  <si>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</si>
  <si>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</si>
  <si>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</si>
  <si>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</si>
  <si>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</si>
  <si>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</si>
  <si>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</si>
  <si>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</si>
  <si>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</si>
  <si>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</si>
  <si>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</si>
  <si>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</si>
  <si>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</si>
  <si>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</si>
  <si>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</si>
  <si>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</si>
  <si>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</si>
  <si>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</si>
  <si>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</si>
  <si>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</si>
  <si>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</si>
  <si>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</si>
  <si>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</si>
  <si>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</si>
  <si>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</si>
  <si>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</si>
  <si>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</si>
  <si>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</si>
  <si>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</si>
  <si>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</si>
  <si>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</si>
  <si>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</si>
  <si>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</si>
  <si>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</si>
  <si>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</si>
  <si>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</si>
  <si>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</si>
  <si>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</si>
  <si>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</si>
  <si>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</si>
  <si>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</si>
  <si>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</si>
  <si>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</si>
  <si>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</si>
  <si>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</si>
  <si>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</si>
  <si>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</si>
  <si>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</si>
  <si>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</si>
  <si>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</si>
  <si>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</si>
  <si>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</si>
  <si>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</si>
  <si>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</si>
  <si>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</si>
  <si>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</si>
  <si>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</si>
  <si>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</si>
  <si>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</si>
  <si>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</si>
  <si>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</si>
  <si>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</si>
  <si>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</si>
  <si>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</si>
  <si>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</si>
  <si>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</si>
  <si>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</si>
  <si>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</si>
  <si>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</si>
  <si>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</si>
  <si>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</si>
  <si>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</si>
  <si>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</si>
  <si>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</si>
  <si>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</si>
  <si>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</si>
  <si>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</si>
  <si>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</si>
  <si>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</si>
  <si>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</si>
  <si>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</si>
  <si>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</si>
  <si>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</si>
  <si>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</si>
  <si>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</si>
  <si>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</si>
  <si>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</si>
  <si>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</si>
  <si>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</si>
  <si>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</si>
  <si>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</si>
  <si>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</si>
  <si>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</si>
  <si>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</si>
  <si>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</si>
  <si>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</si>
  <si>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</si>
  <si>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</si>
  <si>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</si>
  <si>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</si>
  <si>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</si>
  <si>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</si>
  <si>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</si>
  <si>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</si>
  <si>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</si>
  <si>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</si>
  <si>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</si>
  <si>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</si>
  <si>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</si>
  <si>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</si>
  <si>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</si>
  <si>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</si>
  <si>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</si>
  <si>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</si>
  <si>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</si>
  <si>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</si>
  <si>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</si>
  <si>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</si>
  <si>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</si>
  <si>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</si>
  <si>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</si>
  <si>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</si>
  <si>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</si>
  <si>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</si>
  <si>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</si>
  <si>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</si>
  <si>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</si>
  <si>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</si>
  <si>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</si>
  <si>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</si>
  <si>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</si>
  <si>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</si>
  <si>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</si>
  <si>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</si>
  <si>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</si>
  <si>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</si>
  <si>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13037</t>
  </si>
  <si>
    <t>RIJKEVORSEL</t>
  </si>
  <si>
    <t>Paarden&amp;pony's 200 - 600 kg</t>
  </si>
  <si>
    <t>Paarden&amp;pony's &lt; 200 kg</t>
  </si>
  <si>
    <t>referentietaak LNE (2017); Jaarverslag De Lijn (2015)</t>
  </si>
  <si>
    <t>op basis van VEA (maart 2018) en Inventaris Hernieuwbare Energiebronnen (juni 2018)</t>
  </si>
  <si>
    <t>VEA (januari 2017)</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</si>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</sst>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90989.77824725071</c:v>
                </c:pt>
                <c:pt idx="1">
                  <c:v>41541.804345060758</c:v>
                </c:pt>
                <c:pt idx="2">
                  <c:v>721.63599999999997</c:v>
                </c:pt>
                <c:pt idx="3">
                  <c:v>218123.8825212206</c:v>
                </c:pt>
                <c:pt idx="4">
                  <c:v>42603.582936143612</c:v>
                </c:pt>
                <c:pt idx="5">
                  <c:v>52806.665401381615</c:v>
                </c:pt>
                <c:pt idx="6">
                  <c:v>1411.0682253222303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90989.77824725071</c:v>
                </c:pt>
                <c:pt idx="1">
                  <c:v>41541.804345060758</c:v>
                </c:pt>
                <c:pt idx="2">
                  <c:v>721.63599999999997</c:v>
                </c:pt>
                <c:pt idx="3">
                  <c:v>218123.8825212206</c:v>
                </c:pt>
                <c:pt idx="4">
                  <c:v>42603.582936143612</c:v>
                </c:pt>
                <c:pt idx="5">
                  <c:v>52806.665401381615</c:v>
                </c:pt>
                <c:pt idx="6">
                  <c:v>1411.0682253222303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15359.226205694911</c:v>
                </c:pt>
                <c:pt idx="2">
                  <c:v>8166.6673443659483</c:v>
                </c:pt>
                <c:pt idx="3">
                  <c:v>149.59797401949194</c:v>
                </c:pt>
                <c:pt idx="4">
                  <c:v>47874.009080186348</c:v>
                </c:pt>
                <c:pt idx="5">
                  <c:v>8434.3811819461098</c:v>
                </c:pt>
                <c:pt idx="6">
                  <c:v>13522.688169152962</c:v>
                </c:pt>
                <c:pt idx="7">
                  <c:v>365.42068405428068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15359.226205694911</c:v>
                </c:pt>
                <c:pt idx="2">
                  <c:v>8166.6673443659483</c:v>
                </c:pt>
                <c:pt idx="3">
                  <c:v>149.59797401949194</c:v>
                </c:pt>
                <c:pt idx="4">
                  <c:v>47874.009080186348</c:v>
                </c:pt>
                <c:pt idx="5">
                  <c:v>8434.3811819461098</c:v>
                </c:pt>
                <c:pt idx="6">
                  <c:v>13522.688169152962</c:v>
                </c:pt>
                <c:pt idx="7">
                  <c:v>365.42068405428068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0.20730392333460629</v>
      </c>
      <c r="C17" s="524">
        <f ca="1">'EF ele_warmte'!B22</f>
        <v>0.2145509029367732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0.20730392333460629</v>
      </c>
      <c r="C29" s="525">
        <f ca="1">'EF ele_warmte'!B22</f>
        <v>0.2145509029367732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4591</v>
      </c>
      <c r="C9" s="342">
        <v>4957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2860.45</v>
      </c>
    </row>
    <row r="15" spans="1:6">
      <c r="A15" s="348" t="s">
        <v>184</v>
      </c>
      <c r="B15" s="334">
        <v>1965</v>
      </c>
    </row>
    <row r="16" spans="1:6">
      <c r="A16" s="348" t="s">
        <v>6</v>
      </c>
      <c r="B16" s="334">
        <v>2451</v>
      </c>
    </row>
    <row r="17" spans="1:6">
      <c r="A17" s="348" t="s">
        <v>7</v>
      </c>
      <c r="B17" s="334">
        <v>778</v>
      </c>
    </row>
    <row r="18" spans="1:6">
      <c r="A18" s="348" t="s">
        <v>8</v>
      </c>
      <c r="B18" s="334">
        <v>2055</v>
      </c>
    </row>
    <row r="19" spans="1:6">
      <c r="A19" s="348" t="s">
        <v>9</v>
      </c>
      <c r="B19" s="334">
        <v>2021</v>
      </c>
    </row>
    <row r="20" spans="1:6">
      <c r="A20" s="348" t="s">
        <v>10</v>
      </c>
      <c r="B20" s="334">
        <v>994</v>
      </c>
    </row>
    <row r="21" spans="1:6">
      <c r="A21" s="348" t="s">
        <v>11</v>
      </c>
      <c r="B21" s="334">
        <v>16543</v>
      </c>
    </row>
    <row r="22" spans="1:6">
      <c r="A22" s="348" t="s">
        <v>12</v>
      </c>
      <c r="B22" s="334">
        <v>35312</v>
      </c>
    </row>
    <row r="23" spans="1:6">
      <c r="A23" s="348" t="s">
        <v>13</v>
      </c>
      <c r="B23" s="334">
        <v>539</v>
      </c>
    </row>
    <row r="24" spans="1:6">
      <c r="A24" s="348" t="s">
        <v>14</v>
      </c>
      <c r="B24" s="334">
        <v>54</v>
      </c>
    </row>
    <row r="25" spans="1:6">
      <c r="A25" s="348" t="s">
        <v>15</v>
      </c>
      <c r="B25" s="334">
        <v>2687</v>
      </c>
    </row>
    <row r="26" spans="1:6">
      <c r="A26" s="348" t="s">
        <v>16</v>
      </c>
      <c r="B26" s="334">
        <v>120</v>
      </c>
    </row>
    <row r="27" spans="1:6">
      <c r="A27" s="348" t="s">
        <v>17</v>
      </c>
      <c r="B27" s="334">
        <v>2</v>
      </c>
    </row>
    <row r="28" spans="1:6" s="356" customFormat="1">
      <c r="A28" s="355" t="s">
        <v>18</v>
      </c>
      <c r="B28" s="355">
        <v>802730</v>
      </c>
    </row>
    <row r="29" spans="1:6">
      <c r="A29" s="355" t="s">
        <v>884</v>
      </c>
      <c r="B29" s="355">
        <v>94</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208712.29433999999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77321609.447999999</v>
      </c>
      <c r="E38" s="334">
        <v>5</v>
      </c>
      <c r="F38" s="334">
        <v>1551712.4693</v>
      </c>
    </row>
    <row r="39" spans="1:6">
      <c r="A39" s="348" t="s">
        <v>30</v>
      </c>
      <c r="B39" s="348" t="s">
        <v>31</v>
      </c>
      <c r="C39" s="334">
        <v>3190</v>
      </c>
      <c r="D39" s="334">
        <v>51375980.148999996</v>
      </c>
      <c r="E39" s="334">
        <v>4619</v>
      </c>
      <c r="F39" s="334">
        <v>19579737.927999999</v>
      </c>
    </row>
    <row r="40" spans="1:6">
      <c r="A40" s="348" t="s">
        <v>30</v>
      </c>
      <c r="B40" s="348" t="s">
        <v>29</v>
      </c>
      <c r="C40" s="334">
        <v>0</v>
      </c>
      <c r="D40" s="334">
        <v>0</v>
      </c>
      <c r="E40" s="334">
        <v>0</v>
      </c>
      <c r="F40" s="334">
        <v>0</v>
      </c>
    </row>
    <row r="41" spans="1:6">
      <c r="A41" s="348" t="s">
        <v>32</v>
      </c>
      <c r="B41" s="348" t="s">
        <v>33</v>
      </c>
      <c r="C41" s="334">
        <v>32</v>
      </c>
      <c r="D41" s="334">
        <v>895618.96793000004</v>
      </c>
      <c r="E41" s="334">
        <v>122</v>
      </c>
      <c r="F41" s="334">
        <v>3475497.3774999999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23</v>
      </c>
      <c r="F44" s="334">
        <v>424000.66873999999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19317779.730999999</v>
      </c>
      <c r="E48" s="334">
        <v>32</v>
      </c>
      <c r="F48" s="334">
        <v>9492662.3232000005</v>
      </c>
    </row>
    <row r="49" spans="1:6">
      <c r="A49" s="348" t="s">
        <v>32</v>
      </c>
      <c r="B49" s="348" t="s">
        <v>40</v>
      </c>
      <c r="C49" s="334">
        <v>3</v>
      </c>
      <c r="D49" s="334">
        <v>3109.9539540999999</v>
      </c>
      <c r="E49" s="334">
        <v>3</v>
      </c>
      <c r="F49" s="334">
        <v>574.08167546000004</v>
      </c>
    </row>
    <row r="50" spans="1:6">
      <c r="A50" s="348" t="s">
        <v>32</v>
      </c>
      <c r="B50" s="348" t="s">
        <v>41</v>
      </c>
      <c r="C50" s="334">
        <v>8</v>
      </c>
      <c r="D50" s="334">
        <v>668574.26919999998</v>
      </c>
      <c r="E50" s="334">
        <v>12</v>
      </c>
      <c r="F50" s="334">
        <v>376379.45937</v>
      </c>
    </row>
    <row r="51" spans="1:6">
      <c r="A51" s="348" t="s">
        <v>42</v>
      </c>
      <c r="B51" s="348" t="s">
        <v>43</v>
      </c>
      <c r="C51" s="334">
        <v>10</v>
      </c>
      <c r="D51" s="334">
        <v>287701637.33999997</v>
      </c>
      <c r="E51" s="334">
        <v>134</v>
      </c>
      <c r="F51" s="334">
        <v>5204413.5924000004</v>
      </c>
    </row>
    <row r="52" spans="1:6">
      <c r="A52" s="348" t="s">
        <v>42</v>
      </c>
      <c r="B52" s="348" t="s">
        <v>29</v>
      </c>
      <c r="C52" s="334">
        <v>11</v>
      </c>
      <c r="D52" s="334">
        <v>3908270.0406999998</v>
      </c>
      <c r="E52" s="334">
        <v>5</v>
      </c>
      <c r="F52" s="334">
        <v>44672.686782999997</v>
      </c>
    </row>
    <row r="53" spans="1:6">
      <c r="A53" s="348" t="s">
        <v>44</v>
      </c>
      <c r="B53" s="348" t="s">
        <v>45</v>
      </c>
      <c r="C53" s="334">
        <v>47</v>
      </c>
      <c r="D53" s="334">
        <v>743288.02546000003</v>
      </c>
      <c r="E53" s="334">
        <v>141</v>
      </c>
      <c r="F53" s="334">
        <v>748619.56157000002</v>
      </c>
    </row>
    <row r="54" spans="1:6">
      <c r="A54" s="348" t="s">
        <v>46</v>
      </c>
      <c r="B54" s="348" t="s">
        <v>47</v>
      </c>
      <c r="C54" s="334">
        <v>0</v>
      </c>
      <c r="D54" s="334">
        <v>0</v>
      </c>
      <c r="E54" s="334">
        <v>1</v>
      </c>
      <c r="F54" s="334">
        <v>721636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1253449.3729999999</v>
      </c>
      <c r="E57" s="334">
        <v>58</v>
      </c>
      <c r="F57" s="334">
        <v>3161871.1775000002</v>
      </c>
    </row>
    <row r="58" spans="1:6">
      <c r="A58" s="348" t="s">
        <v>49</v>
      </c>
      <c r="B58" s="348" t="s">
        <v>51</v>
      </c>
      <c r="C58" s="334">
        <v>3</v>
      </c>
      <c r="D58" s="334">
        <v>64145.128879000004</v>
      </c>
      <c r="E58" s="334">
        <v>13</v>
      </c>
      <c r="F58" s="334">
        <v>116105.20494</v>
      </c>
    </row>
    <row r="59" spans="1:6">
      <c r="A59" s="348" t="s">
        <v>49</v>
      </c>
      <c r="B59" s="348" t="s">
        <v>52</v>
      </c>
      <c r="C59" s="334">
        <v>39</v>
      </c>
      <c r="D59" s="334">
        <v>2921655.9545999998</v>
      </c>
      <c r="E59" s="334">
        <v>110</v>
      </c>
      <c r="F59" s="334">
        <v>4316720.2050000001</v>
      </c>
    </row>
    <row r="60" spans="1:6">
      <c r="A60" s="348" t="s">
        <v>49</v>
      </c>
      <c r="B60" s="348" t="s">
        <v>53</v>
      </c>
      <c r="C60" s="334">
        <v>31</v>
      </c>
      <c r="D60" s="334">
        <v>1419625.9369000001</v>
      </c>
      <c r="E60" s="334">
        <v>46</v>
      </c>
      <c r="F60" s="334">
        <v>1630767.5294000001</v>
      </c>
    </row>
    <row r="61" spans="1:6">
      <c r="A61" s="348" t="s">
        <v>49</v>
      </c>
      <c r="B61" s="348" t="s">
        <v>54</v>
      </c>
      <c r="C61" s="334">
        <v>30</v>
      </c>
      <c r="D61" s="334">
        <v>1310933.2002999999</v>
      </c>
      <c r="E61" s="334">
        <v>120</v>
      </c>
      <c r="F61" s="334">
        <v>1336916.0839</v>
      </c>
    </row>
    <row r="62" spans="1:6">
      <c r="A62" s="348" t="s">
        <v>49</v>
      </c>
      <c r="B62" s="348" t="s">
        <v>55</v>
      </c>
      <c r="C62" s="334">
        <v>3</v>
      </c>
      <c r="D62" s="334">
        <v>240301.70554</v>
      </c>
      <c r="E62" s="334">
        <v>4</v>
      </c>
      <c r="F62" s="334">
        <v>85999.905721999996</v>
      </c>
    </row>
    <row r="63" spans="1:6">
      <c r="A63" s="348" t="s">
        <v>49</v>
      </c>
      <c r="B63" s="348" t="s">
        <v>29</v>
      </c>
      <c r="C63" s="334">
        <v>78</v>
      </c>
      <c r="D63" s="334">
        <v>4761681.4151999997</v>
      </c>
      <c r="E63" s="334">
        <v>91</v>
      </c>
      <c r="F63" s="334">
        <v>10789166.351</v>
      </c>
    </row>
    <row r="64" spans="1:6">
      <c r="A64" s="348" t="s">
        <v>56</v>
      </c>
      <c r="B64" s="348" t="s">
        <v>57</v>
      </c>
      <c r="C64" s="334">
        <v>0</v>
      </c>
      <c r="D64" s="334">
        <v>0</v>
      </c>
      <c r="E64" s="334">
        <v>0</v>
      </c>
      <c r="F64" s="334">
        <v>0</v>
      </c>
    </row>
    <row r="65" spans="1:6">
      <c r="A65" s="348" t="s">
        <v>56</v>
      </c>
      <c r="B65" s="348" t="s">
        <v>29</v>
      </c>
      <c r="C65" s="334">
        <v>3</v>
      </c>
      <c r="D65" s="334">
        <v>82924.807979000005</v>
      </c>
      <c r="E65" s="334">
        <v>3</v>
      </c>
      <c r="F65" s="334">
        <v>115350.58274</v>
      </c>
    </row>
    <row r="66" spans="1:6">
      <c r="A66" s="348" t="s">
        <v>56</v>
      </c>
      <c r="B66" s="348" t="s">
        <v>58</v>
      </c>
      <c r="C66" s="334">
        <v>0</v>
      </c>
      <c r="D66" s="334">
        <v>0</v>
      </c>
      <c r="E66" s="334">
        <v>3</v>
      </c>
      <c r="F66" s="334">
        <v>2357.8855047000002</v>
      </c>
    </row>
    <row r="67" spans="1:6">
      <c r="A67" s="355" t="s">
        <v>56</v>
      </c>
      <c r="B67" s="355" t="s">
        <v>59</v>
      </c>
      <c r="C67" s="334">
        <v>0</v>
      </c>
      <c r="D67" s="334">
        <v>0</v>
      </c>
      <c r="E67" s="334">
        <v>0</v>
      </c>
      <c r="F67" s="334">
        <v>0</v>
      </c>
    </row>
    <row r="68" spans="1:6">
      <c r="A68" s="341" t="s">
        <v>56</v>
      </c>
      <c r="B68" s="341" t="s">
        <v>60</v>
      </c>
      <c r="C68" s="334">
        <v>0</v>
      </c>
      <c r="D68" s="334">
        <v>0</v>
      </c>
      <c r="E68" s="334">
        <v>8</v>
      </c>
      <c r="F68" s="334">
        <v>71363.302075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47630270</v>
      </c>
      <c r="E73" s="475">
        <v>48702574.270100348</v>
      </c>
    </row>
    <row r="74" spans="1:6">
      <c r="A74" s="348" t="s">
        <v>64</v>
      </c>
      <c r="B74" s="348" t="s">
        <v>667</v>
      </c>
      <c r="C74" s="1294" t="s">
        <v>669</v>
      </c>
      <c r="D74" s="475">
        <v>6024112.1559478156</v>
      </c>
      <c r="E74" s="475">
        <v>6140329.8454472525</v>
      </c>
    </row>
    <row r="75" spans="1:6">
      <c r="A75" s="348" t="s">
        <v>65</v>
      </c>
      <c r="B75" s="348" t="s">
        <v>666</v>
      </c>
      <c r="C75" s="1294" t="s">
        <v>670</v>
      </c>
      <c r="D75" s="475">
        <v>9000383</v>
      </c>
      <c r="E75" s="475">
        <v>9213554.4517974183</v>
      </c>
    </row>
    <row r="76" spans="1:6">
      <c r="A76" s="348" t="s">
        <v>65</v>
      </c>
      <c r="B76" s="348" t="s">
        <v>667</v>
      </c>
      <c r="C76" s="1294" t="s">
        <v>671</v>
      </c>
      <c r="D76" s="475">
        <v>92217.155947815685</v>
      </c>
      <c r="E76" s="475">
        <v>98160.663372926763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378993.68810436863</v>
      </c>
      <c r="C83" s="475">
        <v>378993.68810436863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2978.9366511198027</v>
      </c>
    </row>
    <row r="92" spans="1:6">
      <c r="A92" s="341" t="s">
        <v>69</v>
      </c>
      <c r="B92" s="342">
        <v>1738.9622890635071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12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64497.947345635679</v>
      </c>
      <c r="C3" s="43" t="s">
        <v>170</v>
      </c>
      <c r="D3" s="43"/>
      <c r="E3" s="154"/>
      <c r="F3" s="43"/>
      <c r="G3" s="43"/>
      <c r="H3" s="43"/>
      <c r="I3" s="43"/>
      <c r="J3" s="43"/>
      <c r="K3" s="96"/>
    </row>
    <row r="4" spans="1:11">
      <c r="A4" s="383" t="s">
        <v>171</v>
      </c>
      <c r="B4" s="49">
        <f>IF(ISERROR('SEAP template'!B78+'SEAP template'!C78),0,'SEAP template'!B78+'SEAP template'!C78)</f>
        <v>139676.0489401833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28955.392941176477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0.20730392333460629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41364.847058823536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192797.35714285713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0.2145509029367732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721.63599999999997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721.63599999999997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0.20730392333460629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149.59797401949194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19579.737927999999</v>
      </c>
      <c r="C5" s="17">
        <f>IF(ISERROR('Eigen informatie GS &amp; warmtenet'!B57),0,'Eigen informatie GS &amp; warmtenet'!B57)</f>
        <v>0</v>
      </c>
      <c r="D5" s="30">
        <f>(SUM(HH_hh_gas_kWh,HH_rest_gas_kWh)/1000)*0.902</f>
        <v>46341.134094397996</v>
      </c>
      <c r="E5" s="17">
        <f>B46*B57</f>
        <v>5822.9752120983794</v>
      </c>
      <c r="F5" s="17">
        <f>B51*B62</f>
        <v>0</v>
      </c>
      <c r="G5" s="18"/>
      <c r="H5" s="17"/>
      <c r="I5" s="17"/>
      <c r="J5" s="17">
        <f>B50*B61+C50*C61</f>
        <v>0</v>
      </c>
      <c r="K5" s="17"/>
      <c r="L5" s="17"/>
      <c r="M5" s="17"/>
      <c r="N5" s="17">
        <f>B48*B59+C48*C59</f>
        <v>15232.031028301208</v>
      </c>
      <c r="O5" s="17">
        <f>B69*B70*B71</f>
        <v>157.89666666666668</v>
      </c>
      <c r="P5" s="17">
        <f>B77*B78*B79/1000-B77*B78*B79/1000/B80</f>
        <v>877.06666666666661</v>
      </c>
    </row>
    <row r="6" spans="1:16">
      <c r="A6" s="16" t="s">
        <v>624</v>
      </c>
      <c r="B6" s="788">
        <f>kWh_PV_kleiner_dan_10kW</f>
        <v>2978.9366511198027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22558.674579119801</v>
      </c>
      <c r="C8" s="21">
        <f>C5</f>
        <v>0</v>
      </c>
      <c r="D8" s="21">
        <f>D5</f>
        <v>46341.134094397996</v>
      </c>
      <c r="E8" s="21">
        <f>E5</f>
        <v>5822.9752120983794</v>
      </c>
      <c r="F8" s="21">
        <f>F5</f>
        <v>0</v>
      </c>
      <c r="G8" s="21"/>
      <c r="H8" s="21"/>
      <c r="I8" s="21"/>
      <c r="J8" s="21">
        <f>J5</f>
        <v>0</v>
      </c>
      <c r="K8" s="21"/>
      <c r="L8" s="21">
        <f>L5</f>
        <v>0</v>
      </c>
      <c r="M8" s="21">
        <f>M5</f>
        <v>0</v>
      </c>
      <c r="N8" s="21">
        <f>N5</f>
        <v>15232.031028301208</v>
      </c>
      <c r="O8" s="21">
        <f>O5</f>
        <v>157.89666666666668</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0.20730392333460629</v>
      </c>
      <c r="C10" s="25">
        <f ca="1">'EF ele_warmte'!B22</f>
        <v>0.2145509029367732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4676.5017454801828</v>
      </c>
      <c r="C12" s="23">
        <f ca="1">C10*C8</f>
        <v>0</v>
      </c>
      <c r="D12" s="23">
        <f>D8*D10</f>
        <v>9360.9090870683958</v>
      </c>
      <c r="E12" s="23">
        <f>E10*E8</f>
        <v>1321.8153731463321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4591</v>
      </c>
      <c r="C28" s="36"/>
      <c r="D28" s="228"/>
    </row>
    <row r="29" spans="1:7" s="15" customFormat="1">
      <c r="A29" s="230" t="s">
        <v>699</v>
      </c>
      <c r="B29" s="37">
        <f>SUM(HH_hh_gas_aantal,HH_rest_gas_aantal)</f>
        <v>3190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3190</v>
      </c>
      <c r="C32" s="167">
        <f>IF(ISERROR(B32/SUM($B$32,$B$34,$B$35,$B$36,$B$38,$B$39)*100),0,B32/SUM($B$32,$B$34,$B$35,$B$36,$B$38,$B$39)*100)</f>
        <v>70.187018701870187</v>
      </c>
      <c r="D32" s="233"/>
      <c r="G32" s="15"/>
    </row>
    <row r="33" spans="1:7">
      <c r="A33" s="171" t="s">
        <v>72</v>
      </c>
      <c r="B33" s="34" t="s">
        <v>111</v>
      </c>
      <c r="C33" s="167"/>
      <c r="D33" s="233"/>
      <c r="G33" s="15"/>
    </row>
    <row r="34" spans="1:7">
      <c r="A34" s="171" t="s">
        <v>73</v>
      </c>
      <c r="B34" s="33">
        <f>IF((($B$28-$B$32-$B$39-$B$77-$B$38)*C20/100)&lt;0,0,($B$28-$B$32-$B$39-$B$77-$B$38)*C20/100)</f>
        <v>257.45</v>
      </c>
      <c r="C34" s="167">
        <f>IF(ISERROR(B34/SUM($B$32,$B$34,$B$35,$B$36,$B$38,$B$39)*100),0,B34/SUM($B$32,$B$34,$B$35,$B$36,$B$38,$B$39)*100)</f>
        <v>5.6644664466446644</v>
      </c>
      <c r="D34" s="233"/>
      <c r="G34" s="15"/>
    </row>
    <row r="35" spans="1:7">
      <c r="A35" s="171" t="s">
        <v>74</v>
      </c>
      <c r="B35" s="33">
        <f>IF((($B$28-$B$32-$B$39-$B$77-$B$38)*C21/100)&lt;0,0,($B$28-$B$32-$B$39-$B$77-$B$38)*C21/100)</f>
        <v>860.42499999999995</v>
      </c>
      <c r="C35" s="167">
        <f>IF(ISERROR(B35/SUM($B$32,$B$34,$B$35,$B$36,$B$38,$B$39)*100),0,B35/SUM($B$32,$B$34,$B$35,$B$36,$B$38,$B$39)*100)</f>
        <v>18.931243124312431</v>
      </c>
      <c r="D35" s="233"/>
      <c r="G35" s="15"/>
    </row>
    <row r="36" spans="1:7">
      <c r="A36" s="171" t="s">
        <v>75</v>
      </c>
      <c r="B36" s="33">
        <f>IF((($B$28-$B$32-$B$39-$B$77-$B$38)*C22/100)&lt;0,0,($B$28-$B$32-$B$39-$B$77-$B$38)*C22/100)</f>
        <v>237.125</v>
      </c>
      <c r="C36" s="167">
        <f>IF(ISERROR(B36/SUM($B$32,$B$34,$B$35,$B$36,$B$38,$B$39)*100),0,B36/SUM($B$32,$B$34,$B$35,$B$36,$B$38,$B$39)*100)</f>
        <v>5.2172717271727178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3190</v>
      </c>
      <c r="C44" s="34" t="s">
        <v>111</v>
      </c>
      <c r="D44" s="174"/>
    </row>
    <row r="45" spans="1:7">
      <c r="A45" s="171" t="s">
        <v>72</v>
      </c>
      <c r="B45" s="33" t="str">
        <f t="shared" si="0"/>
        <v>-</v>
      </c>
      <c r="C45" s="34" t="s">
        <v>111</v>
      </c>
      <c r="D45" s="174"/>
    </row>
    <row r="46" spans="1:7">
      <c r="A46" s="171" t="s">
        <v>73</v>
      </c>
      <c r="B46" s="33">
        <f t="shared" si="0"/>
        <v>257.45</v>
      </c>
      <c r="C46" s="34" t="s">
        <v>111</v>
      </c>
      <c r="D46" s="174"/>
    </row>
    <row r="47" spans="1:7">
      <c r="A47" s="171" t="s">
        <v>74</v>
      </c>
      <c r="B47" s="33">
        <f t="shared" si="0"/>
        <v>860.42499999999995</v>
      </c>
      <c r="C47" s="34" t="s">
        <v>111</v>
      </c>
      <c r="D47" s="174"/>
    </row>
    <row r="48" spans="1:7">
      <c r="A48" s="171" t="s">
        <v>75</v>
      </c>
      <c r="B48" s="33">
        <f t="shared" si="0"/>
        <v>237.125</v>
      </c>
      <c r="C48" s="33">
        <f>B48*10</f>
        <v>2371.25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21437.546457461998</v>
      </c>
      <c r="C5" s="17">
        <f>IF(ISERROR('Eigen informatie GS &amp; warmtenet'!B58),0,'Eigen informatie GS &amp; warmtenet'!B58)</f>
        <v>0</v>
      </c>
      <c r="D5" s="30">
        <f>SUM(D6:D12)</f>
        <v>10798.557028405938</v>
      </c>
      <c r="E5" s="17">
        <f>SUM(E6:E12)</f>
        <v>402.59326058896625</v>
      </c>
      <c r="F5" s="17">
        <f>SUM(F6:F12)</f>
        <v>5430.2721617022107</v>
      </c>
      <c r="G5" s="18"/>
      <c r="H5" s="17"/>
      <c r="I5" s="17"/>
      <c r="J5" s="17">
        <f>SUM(J6:J12)</f>
        <v>0</v>
      </c>
      <c r="K5" s="17"/>
      <c r="L5" s="17"/>
      <c r="M5" s="17"/>
      <c r="N5" s="17">
        <f>SUM(N6:N12)</f>
        <v>3452.2054369016532</v>
      </c>
      <c r="O5" s="17">
        <f>B38*B39*B40</f>
        <v>1.5633333333333335</v>
      </c>
      <c r="P5" s="17">
        <f>B46*B47*B48/1000-B46*B47*B48/1000/B49</f>
        <v>19.066666666666666</v>
      </c>
      <c r="R5" s="32"/>
    </row>
    <row r="6" spans="1:18">
      <c r="A6" s="32" t="s">
        <v>54</v>
      </c>
      <c r="B6" s="37">
        <f>B26</f>
        <v>1336.9160838999999</v>
      </c>
      <c r="C6" s="33"/>
      <c r="D6" s="37">
        <f>IF(ISERROR(TER_kantoor_gas_kWh/1000),0,TER_kantoor_gas_kWh/1000)*0.902</f>
        <v>1182.4617466706</v>
      </c>
      <c r="E6" s="33">
        <f>$C$26*'E Balans VL '!I12/100/3.6*1000000</f>
        <v>17.501878380067673</v>
      </c>
      <c r="F6" s="33">
        <f>$C$26*('E Balans VL '!L12+'E Balans VL '!N12)/100/3.6*1000000</f>
        <v>340.89978621975337</v>
      </c>
      <c r="G6" s="34"/>
      <c r="H6" s="33"/>
      <c r="I6" s="33"/>
      <c r="J6" s="33">
        <f>$C$26*('E Balans VL '!D12+'E Balans VL '!E12)/100/3.6*1000000</f>
        <v>0</v>
      </c>
      <c r="K6" s="33"/>
      <c r="L6" s="33"/>
      <c r="M6" s="33"/>
      <c r="N6" s="33">
        <f>$C$26*'E Balans VL '!Y12/100/3.6*1000000</f>
        <v>1.3414180772035518</v>
      </c>
      <c r="O6" s="33"/>
      <c r="P6" s="33"/>
      <c r="R6" s="32"/>
    </row>
    <row r="7" spans="1:18">
      <c r="A7" s="32" t="s">
        <v>53</v>
      </c>
      <c r="B7" s="37">
        <f t="shared" ref="B7:B12" si="0">B27</f>
        <v>1630.7675294000001</v>
      </c>
      <c r="C7" s="33"/>
      <c r="D7" s="37">
        <f>IF(ISERROR(TER_horeca_gas_kWh/1000),0,TER_horeca_gas_kWh/1000)*0.902</f>
        <v>1280.5025950838001</v>
      </c>
      <c r="E7" s="33">
        <f>$C$27*'E Balans VL '!I9/100/3.6*1000000</f>
        <v>53.968485597021846</v>
      </c>
      <c r="F7" s="33">
        <f>$C$27*('E Balans VL '!L9+'E Balans VL '!N9)/100/3.6*1000000</f>
        <v>701.22378778379277</v>
      </c>
      <c r="G7" s="34"/>
      <c r="H7" s="33"/>
      <c r="I7" s="33"/>
      <c r="J7" s="33">
        <f>$C$27*('E Balans VL '!D9+'E Balans VL '!E9)/100/3.6*1000000</f>
        <v>0</v>
      </c>
      <c r="K7" s="33"/>
      <c r="L7" s="33"/>
      <c r="M7" s="33"/>
      <c r="N7" s="33">
        <f>$C$27*'E Balans VL '!Y9/100/3.6*1000000</f>
        <v>0.39254942566991829</v>
      </c>
      <c r="O7" s="33"/>
      <c r="P7" s="33"/>
      <c r="R7" s="32"/>
    </row>
    <row r="8" spans="1:18">
      <c r="A8" s="6" t="s">
        <v>52</v>
      </c>
      <c r="B8" s="37">
        <f t="shared" si="0"/>
        <v>4316.7202049999996</v>
      </c>
      <c r="C8" s="33"/>
      <c r="D8" s="37">
        <f>IF(ISERROR(TER_handel_gas_kWh/1000),0,TER_handel_gas_kWh/1000)*0.902</f>
        <v>2635.3336710491999</v>
      </c>
      <c r="E8" s="33">
        <f>$C$28*'E Balans VL '!I13/100/3.6*1000000</f>
        <v>136.24228542194018</v>
      </c>
      <c r="F8" s="33">
        <f>$C$28*('E Balans VL '!L13+'E Balans VL '!N13)/100/3.6*1000000</f>
        <v>846.5848449240217</v>
      </c>
      <c r="G8" s="34"/>
      <c r="H8" s="33"/>
      <c r="I8" s="33"/>
      <c r="J8" s="33">
        <f>$C$28*('E Balans VL '!D13+'E Balans VL '!E13)/100/3.6*1000000</f>
        <v>0</v>
      </c>
      <c r="K8" s="33"/>
      <c r="L8" s="33"/>
      <c r="M8" s="33"/>
      <c r="N8" s="33">
        <f>$C$28*'E Balans VL '!Y13/100/3.6*1000000</f>
        <v>5.1231088023958709</v>
      </c>
      <c r="O8" s="33"/>
      <c r="P8" s="33"/>
      <c r="R8" s="32"/>
    </row>
    <row r="9" spans="1:18">
      <c r="A9" s="32" t="s">
        <v>51</v>
      </c>
      <c r="B9" s="37">
        <f t="shared" si="0"/>
        <v>116.10520493999999</v>
      </c>
      <c r="C9" s="33"/>
      <c r="D9" s="37">
        <f>IF(ISERROR(TER_gezond_gas_kWh/1000),0,TER_gezond_gas_kWh/1000)*0.902</f>
        <v>57.858906248857998</v>
      </c>
      <c r="E9" s="33">
        <f>$C$29*'E Balans VL '!I10/100/3.6*1000000</f>
        <v>1.4864862814726721E-2</v>
      </c>
      <c r="F9" s="33">
        <f>$C$29*('E Balans VL '!L10+'E Balans VL '!N10)/100/3.6*1000000</f>
        <v>24.189580604115772</v>
      </c>
      <c r="G9" s="34"/>
      <c r="H9" s="33"/>
      <c r="I9" s="33"/>
      <c r="J9" s="33">
        <f>$C$29*('E Balans VL '!D10+'E Balans VL '!E10)/100/3.6*1000000</f>
        <v>0</v>
      </c>
      <c r="K9" s="33"/>
      <c r="L9" s="33"/>
      <c r="M9" s="33"/>
      <c r="N9" s="33">
        <f>$C$29*'E Balans VL '!Y10/100/3.6*1000000</f>
        <v>1.3637105105548064</v>
      </c>
      <c r="O9" s="33"/>
      <c r="P9" s="33"/>
      <c r="R9" s="32"/>
    </row>
    <row r="10" spans="1:18">
      <c r="A10" s="32" t="s">
        <v>50</v>
      </c>
      <c r="B10" s="37">
        <f t="shared" si="0"/>
        <v>3161.8711775000002</v>
      </c>
      <c r="C10" s="33"/>
      <c r="D10" s="37">
        <f>IF(ISERROR(TER_ander_gas_kWh/1000),0,TER_ander_gas_kWh/1000)*0.902</f>
        <v>1130.611334446</v>
      </c>
      <c r="E10" s="33">
        <f>$C$30*'E Balans VL '!I14/100/3.6*1000000</f>
        <v>4.7547106876656144</v>
      </c>
      <c r="F10" s="33">
        <f>$C$30*('E Balans VL '!L14+'E Balans VL '!N14)/100/3.6*1000000</f>
        <v>698.0392343488669</v>
      </c>
      <c r="G10" s="34"/>
      <c r="H10" s="33"/>
      <c r="I10" s="33"/>
      <c r="J10" s="33">
        <f>$C$30*('E Balans VL '!D14+'E Balans VL '!E14)/100/3.6*1000000</f>
        <v>0</v>
      </c>
      <c r="K10" s="33"/>
      <c r="L10" s="33"/>
      <c r="M10" s="33"/>
      <c r="N10" s="33">
        <f>$C$30*'E Balans VL '!Y14/100/3.6*1000000</f>
        <v>2491.7672737774183</v>
      </c>
      <c r="O10" s="33"/>
      <c r="P10" s="33"/>
      <c r="R10" s="32"/>
    </row>
    <row r="11" spans="1:18">
      <c r="A11" s="32" t="s">
        <v>55</v>
      </c>
      <c r="B11" s="37">
        <f t="shared" si="0"/>
        <v>85.999905721999994</v>
      </c>
      <c r="C11" s="33"/>
      <c r="D11" s="37">
        <f>IF(ISERROR(TER_onderwijs_gas_kWh/1000),0,TER_onderwijs_gas_kWh/1000)*0.902</f>
        <v>216.75213839708002</v>
      </c>
      <c r="E11" s="33">
        <f>$C$31*'E Balans VL '!I11/100/3.6*1000000</f>
        <v>0.15145304074363031</v>
      </c>
      <c r="F11" s="33">
        <f>$C$31*('E Balans VL '!L11+'E Balans VL '!N11)/100/3.6*1000000</f>
        <v>39.707712637567646</v>
      </c>
      <c r="G11" s="34"/>
      <c r="H11" s="33"/>
      <c r="I11" s="33"/>
      <c r="J11" s="33">
        <f>$C$31*('E Balans VL '!D11+'E Balans VL '!E11)/100/3.6*1000000</f>
        <v>0</v>
      </c>
      <c r="K11" s="33"/>
      <c r="L11" s="33"/>
      <c r="M11" s="33"/>
      <c r="N11" s="33">
        <f>$C$31*'E Balans VL '!Y11/100/3.6*1000000</f>
        <v>0.16021901363375138</v>
      </c>
      <c r="O11" s="33"/>
      <c r="P11" s="33"/>
      <c r="R11" s="32"/>
    </row>
    <row r="12" spans="1:18">
      <c r="A12" s="32" t="s">
        <v>260</v>
      </c>
      <c r="B12" s="37">
        <f t="shared" si="0"/>
        <v>10789.166351</v>
      </c>
      <c r="C12" s="33"/>
      <c r="D12" s="37">
        <f>IF(ISERROR(TER_rest_gas_kWh/1000),0,TER_rest_gas_kWh/1000)*0.902</f>
        <v>4295.0366365104001</v>
      </c>
      <c r="E12" s="33">
        <f>$C$32*'E Balans VL '!I8/100/3.6*1000000</f>
        <v>189.95958259871256</v>
      </c>
      <c r="F12" s="33">
        <f>$C$32*('E Balans VL '!L8+'E Balans VL '!N8)/100/3.6*1000000</f>
        <v>2779.6272151840931</v>
      </c>
      <c r="G12" s="34"/>
      <c r="H12" s="33"/>
      <c r="I12" s="33"/>
      <c r="J12" s="33">
        <f>$C$32*('E Balans VL '!D8+'E Balans VL '!E8)/100/3.6*1000000</f>
        <v>0</v>
      </c>
      <c r="K12" s="33"/>
      <c r="L12" s="33"/>
      <c r="M12" s="33"/>
      <c r="N12" s="33">
        <f>$C$32*'E Balans VL '!Y8/100/3.6*1000000</f>
        <v>952.05715729477697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21437.546457461998</v>
      </c>
      <c r="C16" s="21">
        <f t="shared" ca="1" si="1"/>
        <v>0</v>
      </c>
      <c r="D16" s="21">
        <f t="shared" ca="1" si="1"/>
        <v>10798.557028405938</v>
      </c>
      <c r="E16" s="21">
        <f t="shared" si="1"/>
        <v>402.59326058896625</v>
      </c>
      <c r="F16" s="21">
        <f t="shared" ca="1" si="1"/>
        <v>5430.2721617022107</v>
      </c>
      <c r="G16" s="21">
        <f t="shared" si="1"/>
        <v>0</v>
      </c>
      <c r="H16" s="21">
        <f t="shared" si="1"/>
        <v>0</v>
      </c>
      <c r="I16" s="21">
        <f t="shared" si="1"/>
        <v>0</v>
      </c>
      <c r="J16" s="21">
        <f t="shared" si="1"/>
        <v>0</v>
      </c>
      <c r="K16" s="21">
        <f t="shared" si="1"/>
        <v>0</v>
      </c>
      <c r="L16" s="21">
        <f t="shared" ca="1" si="1"/>
        <v>0</v>
      </c>
      <c r="M16" s="21">
        <f t="shared" si="1"/>
        <v>0</v>
      </c>
      <c r="N16" s="21">
        <f t="shared" ca="1" si="1"/>
        <v>3452.2054369016532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0.20730392333460629</v>
      </c>
      <c r="C18" s="25">
        <f ca="1">'EF ele_warmte'!B22</f>
        <v>0.2145509029367732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4444.0874872997629</v>
      </c>
      <c r="C20" s="23">
        <f t="shared" ref="C20:P20" ca="1" si="2">C16*C18</f>
        <v>0</v>
      </c>
      <c r="D20" s="23">
        <f t="shared" ca="1" si="2"/>
        <v>2181.3085197379996</v>
      </c>
      <c r="E20" s="23">
        <f t="shared" si="2"/>
        <v>91.388670153695344</v>
      </c>
      <c r="F20" s="23">
        <f t="shared" ca="1" si="2"/>
        <v>1449.8826671744903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1336.9160838999999</v>
      </c>
      <c r="C26" s="39">
        <f>IF(ISERROR(B26*3.6/1000000/'E Balans VL '!Z12*100),0,B26*3.6/1000000/'E Balans VL '!Z12*100)</f>
        <v>2.8637781126800606E-2</v>
      </c>
      <c r="D26" s="237" t="s">
        <v>660</v>
      </c>
      <c r="F26" s="6"/>
    </row>
    <row r="27" spans="1:18">
      <c r="A27" s="231" t="s">
        <v>53</v>
      </c>
      <c r="B27" s="33">
        <f>IF(ISERROR(TER_horeca_ele_kWh/1000),0,TER_horeca_ele_kWh/1000)</f>
        <v>1630.7675294000001</v>
      </c>
      <c r="C27" s="39">
        <f>IF(ISERROR(B27*3.6/1000000/'E Balans VL '!Z9*100),0,B27*3.6/1000000/'E Balans VL '!Z9*100)</f>
        <v>0.13086342574427701</v>
      </c>
      <c r="D27" s="237" t="s">
        <v>660</v>
      </c>
      <c r="F27" s="6"/>
    </row>
    <row r="28" spans="1:18">
      <c r="A28" s="171" t="s">
        <v>52</v>
      </c>
      <c r="B28" s="33">
        <f>IF(ISERROR(TER_handel_ele_kWh/1000),0,TER_handel_ele_kWh/1000)</f>
        <v>4316.7202049999996</v>
      </c>
      <c r="C28" s="39">
        <f>IF(ISERROR(B28*3.6/1000000/'E Balans VL '!Z13*100),0,B28*3.6/1000000/'E Balans VL '!Z13*100)</f>
        <v>0.12731848632798909</v>
      </c>
      <c r="D28" s="237" t="s">
        <v>660</v>
      </c>
      <c r="F28" s="6"/>
    </row>
    <row r="29" spans="1:18">
      <c r="A29" s="231" t="s">
        <v>51</v>
      </c>
      <c r="B29" s="33">
        <f>IF(ISERROR(TER_gezond_ele_kWh/1000),0,TER_gezond_ele_kWh/1000)</f>
        <v>116.10520493999999</v>
      </c>
      <c r="C29" s="39">
        <f>IF(ISERROR(B29*3.6/1000000/'E Balans VL '!Z10*100),0,B29*3.6/1000000/'E Balans VL '!Z10*100)</f>
        <v>1.2396922990314871E-2</v>
      </c>
      <c r="D29" s="237" t="s">
        <v>660</v>
      </c>
      <c r="F29" s="6"/>
    </row>
    <row r="30" spans="1:18">
      <c r="A30" s="231" t="s">
        <v>50</v>
      </c>
      <c r="B30" s="33">
        <f>IF(ISERROR(TER_ander_ele_kWh/1000),0,TER_ander_ele_kWh/1000)</f>
        <v>3161.8711775000002</v>
      </c>
      <c r="C30" s="39">
        <f>IF(ISERROR(B30*3.6/1000000/'E Balans VL '!Z14*100),0,B30*3.6/1000000/'E Balans VL '!Z14*100)</f>
        <v>0.23882854620386218</v>
      </c>
      <c r="D30" s="237" t="s">
        <v>660</v>
      </c>
      <c r="F30" s="6"/>
    </row>
    <row r="31" spans="1:18">
      <c r="A31" s="231" t="s">
        <v>55</v>
      </c>
      <c r="B31" s="33">
        <f>IF(ISERROR(TER_onderwijs_ele_kWh/1000),0,TER_onderwijs_ele_kWh/1000)</f>
        <v>85.999905721999994</v>
      </c>
      <c r="C31" s="39">
        <f>IF(ISERROR(B31*3.6/1000000/'E Balans VL '!Z11*100),0,B31*3.6/1000000/'E Balans VL '!Z11*100)</f>
        <v>1.7366251863913811E-2</v>
      </c>
      <c r="D31" s="237" t="s">
        <v>660</v>
      </c>
    </row>
    <row r="32" spans="1:18">
      <c r="A32" s="231" t="s">
        <v>260</v>
      </c>
      <c r="B32" s="33">
        <f>IF(ISERROR(TER_rest_ele_kWh/1000),0,TER_rest_ele_kWh/1000)</f>
        <v>10789.166351</v>
      </c>
      <c r="C32" s="39">
        <f>IF(ISERROR(B32*3.6/1000000/'E Balans VL '!Z8*100),0,B32*3.6/1000000/'E Balans VL '!Z8*100)</f>
        <v>8.9457212855550222E-2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13769.113910485459</v>
      </c>
      <c r="C5" s="17">
        <f>IF(ISERROR('Eigen informatie GS &amp; warmtenet'!B59),0,'Eigen informatie GS &amp; warmtenet'!B59)</f>
        <v>0</v>
      </c>
      <c r="D5" s="30">
        <f>SUM(D6:D15)</f>
        <v>18838.344795719855</v>
      </c>
      <c r="E5" s="17">
        <f>SUM(E6:E15)</f>
        <v>1426.8889985655273</v>
      </c>
      <c r="F5" s="17">
        <f>SUM(F6:F15)</f>
        <v>5331.450280864261</v>
      </c>
      <c r="G5" s="18"/>
      <c r="H5" s="17"/>
      <c r="I5" s="17"/>
      <c r="J5" s="17">
        <f>SUM(J6:J15)</f>
        <v>76.958110341320165</v>
      </c>
      <c r="K5" s="17"/>
      <c r="L5" s="17"/>
      <c r="M5" s="17"/>
      <c r="N5" s="17">
        <f>SUM(N6:N15)</f>
        <v>3160.8268401671867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424.00066873999998</v>
      </c>
      <c r="C8" s="33"/>
      <c r="D8" s="37">
        <f>IF( ISERROR(IND_metaal_Gas_kWH/1000),0,IND_metaal_Gas_kWH/1000)*0.902</f>
        <v>0</v>
      </c>
      <c r="E8" s="33">
        <f>C30*'E Balans VL '!I18/100/3.6*1000000</f>
        <v>15.256826750239064</v>
      </c>
      <c r="F8" s="33">
        <f>C30*'E Balans VL '!L18/100/3.6*1000000+C30*'E Balans VL '!N18/100/3.6*1000000</f>
        <v>185.14734741585963</v>
      </c>
      <c r="G8" s="34"/>
      <c r="H8" s="33"/>
      <c r="I8" s="33"/>
      <c r="J8" s="40">
        <f>C30*'E Balans VL '!D18/100/3.6*1000000+C30*'E Balans VL '!E18/100/3.6*1000000</f>
        <v>0</v>
      </c>
      <c r="K8" s="33"/>
      <c r="L8" s="33"/>
      <c r="M8" s="33"/>
      <c r="N8" s="33">
        <f>C30*'E Balans VL '!Y18/100/3.6*1000000</f>
        <v>21.250625378263297</v>
      </c>
      <c r="O8" s="33"/>
      <c r="P8" s="33"/>
      <c r="R8" s="32"/>
    </row>
    <row r="9" spans="1:18">
      <c r="A9" s="6" t="s">
        <v>33</v>
      </c>
      <c r="B9" s="37">
        <f t="shared" si="0"/>
        <v>3475.4973774999999</v>
      </c>
      <c r="C9" s="33"/>
      <c r="D9" s="37">
        <f>IF( ISERROR(IND_andere_gas_kWh/1000),0,IND_andere_gas_kWh/1000)*0.902</f>
        <v>807.84830907286005</v>
      </c>
      <c r="E9" s="33">
        <f>C31*'E Balans VL '!I19/100/3.6*1000000</f>
        <v>886.86829540734016</v>
      </c>
      <c r="F9" s="33">
        <f>C31*'E Balans VL '!L19/100/3.6*1000000+C31*'E Balans VL '!N19/100/3.6*1000000</f>
        <v>2992.1420134889136</v>
      </c>
      <c r="G9" s="34"/>
      <c r="H9" s="33"/>
      <c r="I9" s="33"/>
      <c r="J9" s="40">
        <f>C31*'E Balans VL '!D19/100/3.6*1000000+C31*'E Balans VL '!E19/100/3.6*1000000</f>
        <v>0</v>
      </c>
      <c r="K9" s="33"/>
      <c r="L9" s="33"/>
      <c r="M9" s="33"/>
      <c r="N9" s="33">
        <f>C31*'E Balans VL '!Y19/100/3.6*1000000</f>
        <v>1086.9070532987753</v>
      </c>
      <c r="O9" s="33"/>
      <c r="P9" s="33"/>
      <c r="R9" s="32"/>
    </row>
    <row r="10" spans="1:18">
      <c r="A10" s="6" t="s">
        <v>41</v>
      </c>
      <c r="B10" s="37">
        <f t="shared" si="0"/>
        <v>376.37945937000001</v>
      </c>
      <c r="C10" s="33"/>
      <c r="D10" s="37">
        <f>IF( ISERROR(IND_voed_gas_kWh/1000),0,IND_voed_gas_kWh/1000)*0.902</f>
        <v>603.05399081840005</v>
      </c>
      <c r="E10" s="33">
        <f>C32*'E Balans VL '!I20/100/3.6*1000000</f>
        <v>9.5680826685349327</v>
      </c>
      <c r="F10" s="33">
        <f>C32*'E Balans VL '!L20/100/3.6*1000000+C32*'E Balans VL '!N20/100/3.6*1000000</f>
        <v>85.169021712494484</v>
      </c>
      <c r="G10" s="34"/>
      <c r="H10" s="33"/>
      <c r="I10" s="33"/>
      <c r="J10" s="40">
        <f>C32*'E Balans VL '!D20/100/3.6*1000000+C32*'E Balans VL '!E20/100/3.6*1000000</f>
        <v>0</v>
      </c>
      <c r="K10" s="33"/>
      <c r="L10" s="33"/>
      <c r="M10" s="33"/>
      <c r="N10" s="33">
        <f>C32*'E Balans VL '!Y20/100/3.6*1000000</f>
        <v>141.15249943028476</v>
      </c>
      <c r="O10" s="33"/>
      <c r="P10" s="33"/>
      <c r="R10" s="32"/>
    </row>
    <row r="11" spans="1:18">
      <c r="A11" s="6" t="s">
        <v>40</v>
      </c>
      <c r="B11" s="37">
        <f t="shared" si="0"/>
        <v>0.57408167546</v>
      </c>
      <c r="C11" s="33"/>
      <c r="D11" s="37">
        <f>IF( ISERROR(IND_textiel_gas_kWh/1000),0,IND_textiel_gas_kWh/1000)*0.902</f>
        <v>2.8051784665981998</v>
      </c>
      <c r="E11" s="33">
        <f>C33*'E Balans VL '!I21/100/3.6*1000000</f>
        <v>1.5760085828181039E-3</v>
      </c>
      <c r="F11" s="33">
        <f>C33*'E Balans VL '!L21/100/3.6*1000000+C33*'E Balans VL '!N21/100/3.6*1000000</f>
        <v>3.0435417926263635E-2</v>
      </c>
      <c r="G11" s="34"/>
      <c r="H11" s="33"/>
      <c r="I11" s="33"/>
      <c r="J11" s="40">
        <f>C33*'E Balans VL '!D21/100/3.6*1000000+C33*'E Balans VL '!E21/100/3.6*1000000</f>
        <v>0</v>
      </c>
      <c r="K11" s="33"/>
      <c r="L11" s="33"/>
      <c r="M11" s="33"/>
      <c r="N11" s="33">
        <f>C33*'E Balans VL '!Y21/100/3.6*1000000</f>
        <v>1.1538091671427406E-3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9492.6623232000002</v>
      </c>
      <c r="C15" s="33"/>
      <c r="D15" s="37">
        <f>IF( ISERROR(IND_rest_gas_kWh/1000),0,IND_rest_gas_kWh/1000)*0.902</f>
        <v>17424.637317361998</v>
      </c>
      <c r="E15" s="33">
        <f>C37*'E Balans VL '!I15/100/3.6*1000000</f>
        <v>515.19421773083036</v>
      </c>
      <c r="F15" s="33">
        <f>C37*'E Balans VL '!L15/100/3.6*1000000+C37*'E Balans VL '!N15/100/3.6*1000000</f>
        <v>2068.9614628290669</v>
      </c>
      <c r="G15" s="34"/>
      <c r="H15" s="33"/>
      <c r="I15" s="33"/>
      <c r="J15" s="40">
        <f>C37*'E Balans VL '!D15/100/3.6*1000000+C37*'E Balans VL '!E15/100/3.6*1000000</f>
        <v>76.958110341320165</v>
      </c>
      <c r="K15" s="33"/>
      <c r="L15" s="33"/>
      <c r="M15" s="33"/>
      <c r="N15" s="33">
        <f>C37*'E Balans VL '!Y15/100/3.6*1000000</f>
        <v>1911.5155082506963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13769.113910485459</v>
      </c>
      <c r="C18" s="21">
        <f>C5+C16</f>
        <v>0</v>
      </c>
      <c r="D18" s="21">
        <f>MAX((D5+D16),0)</f>
        <v>18838.344795719855</v>
      </c>
      <c r="E18" s="21">
        <f>MAX((E5+E16),0)</f>
        <v>1426.8889985655273</v>
      </c>
      <c r="F18" s="21">
        <f>MAX((F5+F16),0)</f>
        <v>5331.450280864261</v>
      </c>
      <c r="G18" s="21"/>
      <c r="H18" s="21"/>
      <c r="I18" s="21"/>
      <c r="J18" s="21">
        <f>MAX((J5+J16),0)</f>
        <v>76.958110341320165</v>
      </c>
      <c r="K18" s="21"/>
      <c r="L18" s="21">
        <f>MAX((L5+L16),0)</f>
        <v>0</v>
      </c>
      <c r="M18" s="21"/>
      <c r="N18" s="21">
        <f>MAX((N5+N16),0)</f>
        <v>3160.8268401671867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0.20730392333460629</v>
      </c>
      <c r="C20" s="25">
        <f ca="1">'EF ele_warmte'!B22</f>
        <v>0.2145509029367732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2854.3913344847388</v>
      </c>
      <c r="C22" s="23">
        <f ca="1">C18*C20</f>
        <v>0</v>
      </c>
      <c r="D22" s="23">
        <f>D18*D20</f>
        <v>3805.345648735411</v>
      </c>
      <c r="E22" s="23">
        <f>E18*E20</f>
        <v>323.90380267437473</v>
      </c>
      <c r="F22" s="23">
        <f>F18*F20</f>
        <v>1423.4972249907578</v>
      </c>
      <c r="G22" s="23"/>
      <c r="H22" s="23"/>
      <c r="I22" s="23"/>
      <c r="J22" s="23">
        <f>J18*J20</f>
        <v>27.243171060827336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424.00066873999998</v>
      </c>
      <c r="C30" s="39">
        <f>IF(ISERROR(B30*3.6/1000000/'E Balans VL '!Z18*100),0,B30*3.6/1000000/'E Balans VL '!Z18*100)</f>
        <v>8.983665137124891E-2</v>
      </c>
      <c r="D30" s="237" t="s">
        <v>660</v>
      </c>
    </row>
    <row r="31" spans="1:18">
      <c r="A31" s="6" t="s">
        <v>33</v>
      </c>
      <c r="B31" s="37">
        <f>IF( ISERROR(IND_ander_ele_kWh/1000),0,IND_ander_ele_kWh/1000)</f>
        <v>3475.4973774999999</v>
      </c>
      <c r="C31" s="39">
        <f>IF(ISERROR(B31*3.6/1000000/'E Balans VL '!Z19*100),0,B31*3.6/1000000/'E Balans VL '!Z19*100)</f>
        <v>0.14629157630970102</v>
      </c>
      <c r="D31" s="237" t="s">
        <v>660</v>
      </c>
    </row>
    <row r="32" spans="1:18">
      <c r="A32" s="171" t="s">
        <v>41</v>
      </c>
      <c r="B32" s="37">
        <f>IF( ISERROR(IND_voed_ele_kWh/1000),0,IND_voed_ele_kWh/1000)</f>
        <v>376.37945937000001</v>
      </c>
      <c r="C32" s="39">
        <f>IF(ISERROR(B32*3.6/1000000/'E Balans VL '!Z20*100),0,B32*3.6/1000000/'E Balans VL '!Z20*100)</f>
        <v>6.2878447128459899E-2</v>
      </c>
      <c r="D32" s="237" t="s">
        <v>660</v>
      </c>
    </row>
    <row r="33" spans="1:5">
      <c r="A33" s="171" t="s">
        <v>40</v>
      </c>
      <c r="B33" s="37">
        <f>IF( ISERROR(IND_textiel_ele_kWh/1000),0,IND_textiel_ele_kWh/1000)</f>
        <v>0.57408167546</v>
      </c>
      <c r="C33" s="39">
        <f>IF(ISERROR(B33*3.6/1000000/'E Balans VL '!Z21*100),0,B33*3.6/1000000/'E Balans VL '!Z21*100)</f>
        <v>3.3516606162461597E-5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9492.6623232000002</v>
      </c>
      <c r="C37" s="39">
        <f>IF(ISERROR(B37*3.6/1000000/'E Balans VL '!Z15*100),0,B37*3.6/1000000/'E Balans VL '!Z15*100)</f>
        <v>7.6637938662517488E-2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5249.0862791830004</v>
      </c>
      <c r="C5" s="17">
        <f>'Eigen informatie GS &amp; warmtenet'!B60</f>
        <v>0</v>
      </c>
      <c r="D5" s="30">
        <f>IF(ISERROR(SUM(LB_lb_gas_kWh,LB_rest_gas_kWh)/1000),0,SUM(LB_lb_gas_kWh,LB_rest_gas_kWh)/1000)*0.902</f>
        <v>263032.13645739137</v>
      </c>
      <c r="E5" s="17">
        <f>B17*'E Balans VL '!I25/3.6*1000000/100</f>
        <v>135.35378097893596</v>
      </c>
      <c r="F5" s="17">
        <f>B17*('E Balans VL '!L25/3.6*1000000+'E Balans VL '!N25/3.6*1000000)/100</f>
        <v>19186.409990336084</v>
      </c>
      <c r="G5" s="18"/>
      <c r="H5" s="17"/>
      <c r="I5" s="17"/>
      <c r="J5" s="17">
        <f>('E Balans VL '!D25+'E Balans VL '!E25)/3.6*1000000*landbouw!B17/100</f>
        <v>755.67532786544734</v>
      </c>
      <c r="K5" s="17"/>
      <c r="L5" s="17">
        <f>L6*(-1)</f>
        <v>0</v>
      </c>
      <c r="M5" s="17"/>
      <c r="N5" s="17">
        <f>N6*(-1)</f>
        <v>37474.714285714283</v>
      </c>
      <c r="O5" s="17"/>
      <c r="P5" s="17"/>
      <c r="R5" s="32"/>
    </row>
    <row r="6" spans="1:18">
      <c r="A6" s="16" t="s">
        <v>491</v>
      </c>
      <c r="B6" s="17" t="s">
        <v>211</v>
      </c>
      <c r="C6" s="17">
        <f>'lokale energieproductie'!O92+'lokale energieproductie'!O61</f>
        <v>192797.35714285713</v>
      </c>
      <c r="D6" s="310">
        <f>('lokale energieproductie'!P61+'lokale energieproductie'!P92)*(-1)</f>
        <v>-348120.00000000006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5249.0862791830004</v>
      </c>
      <c r="C8" s="21">
        <f>C5+C6</f>
        <v>192797.35714285713</v>
      </c>
      <c r="D8" s="21">
        <f>MAX((D5+D6),0)</f>
        <v>0</v>
      </c>
      <c r="E8" s="21">
        <f>MAX((E5+E6),0)</f>
        <v>135.35378097893596</v>
      </c>
      <c r="F8" s="21">
        <f>MAX((F5+F6),0)</f>
        <v>19186.409990336084</v>
      </c>
      <c r="G8" s="21"/>
      <c r="H8" s="21"/>
      <c r="I8" s="21"/>
      <c r="J8" s="21">
        <f>MAX((J5+J6),0)</f>
        <v>755.67532786544734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0.20730392333460629</v>
      </c>
      <c r="C10" s="31">
        <f ca="1">'EF ele_warmte'!B22</f>
        <v>0.2145509029367732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1088.1561795964865</v>
      </c>
      <c r="C12" s="23">
        <f ca="1">C8*C10</f>
        <v>41364.847058823536</v>
      </c>
      <c r="D12" s="23">
        <f>D8*D10</f>
        <v>0</v>
      </c>
      <c r="E12" s="23">
        <f>E8*E10</f>
        <v>30.725308282218464</v>
      </c>
      <c r="F12" s="23">
        <f>F8*F10</f>
        <v>5122.771467419735</v>
      </c>
      <c r="G12" s="23"/>
      <c r="H12" s="23"/>
      <c r="I12" s="23"/>
      <c r="J12" s="23">
        <f>J8*J10</f>
        <v>267.50906606436837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0.74015593453269168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741.94570937339847</v>
      </c>
      <c r="C26" s="247">
        <f>B26*'GWP N2O_CH4'!B5</f>
        <v>15580.859896841368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370.5228288493314</v>
      </c>
      <c r="C27" s="247">
        <f>B27*'GWP N2O_CH4'!B5</f>
        <v>7780.9794058359594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11.740641279508868</v>
      </c>
      <c r="C28" s="247">
        <f>B28*'GWP N2O_CH4'!B4</f>
        <v>3639.5987966477492</v>
      </c>
      <c r="D28" s="50"/>
    </row>
    <row r="29" spans="1:4">
      <c r="A29" s="41" t="s">
        <v>277</v>
      </c>
      <c r="B29" s="247">
        <f>B34*'ha_N2O bodem landbouw'!B4</f>
        <v>18.870619247661743</v>
      </c>
      <c r="C29" s="247">
        <f>B29*'GWP N2O_CH4'!B4</f>
        <v>5849.8919667751406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4.2469147900038003E-3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4.7774008135513741E-5</v>
      </c>
      <c r="C5" s="463" t="s">
        <v>211</v>
      </c>
      <c r="D5" s="448">
        <f>SUM(D6:D11)</f>
        <v>1.0655436188517703E-4</v>
      </c>
      <c r="E5" s="448">
        <f>SUM(E6:E11)</f>
        <v>4.1142647872524304E-4</v>
      </c>
      <c r="F5" s="461" t="s">
        <v>211</v>
      </c>
      <c r="G5" s="448">
        <f>SUM(G6:G11)</f>
        <v>0.15514514222649484</v>
      </c>
      <c r="H5" s="448">
        <f>SUM(H6:H11)</f>
        <v>2.8646999611988709E-2</v>
      </c>
      <c r="I5" s="463" t="s">
        <v>211</v>
      </c>
      <c r="J5" s="463" t="s">
        <v>211</v>
      </c>
      <c r="K5" s="463" t="s">
        <v>211</v>
      </c>
      <c r="L5" s="463" t="s">
        <v>211</v>
      </c>
      <c r="M5" s="448">
        <f>SUM(M6:M11)</f>
        <v>5.7460987577443055E-3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4.0181223170368809E-5</v>
      </c>
      <c r="C6" s="449"/>
      <c r="D6" s="892">
        <f>vkm_2011_GW_PW*SUMIFS(TableVerdeelsleutelVkm[CNG],TableVerdeelsleutelVkm[Voertuigtype],"Lichte voertuigen")*SUMIFS(TableECFTransport[EnergieConsumptieFactor (PJ per km)],TableECFTransport[Index],CONCATENATE($A6,"_CNG_CNG"))</f>
        <v>7.9840794275303184E-5</v>
      </c>
      <c r="E6" s="892">
        <f>vkm_2011_GW_PW*SUMIFS(TableVerdeelsleutelVkm[LPG],TableVerdeelsleutelVkm[Voertuigtype],"Lichte voertuigen")*SUMIFS(TableECFTransport[EnergieConsumptieFactor (PJ per km)],TableECFTransport[Index],CONCATENATE($A6,"_LPG_LPG"))</f>
        <v>3.1420214625252428E-4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7.4706489474559531E-2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2.161530496751813E-2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3.0014760596606006E-3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5.7724233552581203E-2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1.864739304198282E-5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1.8188022767736554E-3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7.592784965144929E-6</v>
      </c>
      <c r="C8" s="449"/>
      <c r="D8" s="451">
        <f>vkm_2011_NGW_PW*SUMIFS(TableVerdeelsleutelVkm[CNG],TableVerdeelsleutelVkm[Voertuigtype],"Lichte voertuigen")*SUMIFS(TableECFTransport[EnergieConsumptieFactor (PJ per km)],TableECFTransport[Index],CONCATENATE($A8,"_CNG_CNG"))</f>
        <v>2.6713567609873843E-5</v>
      </c>
      <c r="E8" s="451">
        <f>vkm_2011_NGW_PW*SUMIFS(TableVerdeelsleutelVkm[LPG],TableVerdeelsleutelVkm[Voertuigtype],"Lichte voertuigen")*SUMIFS(TableECFTransport[EnergieConsumptieFactor (PJ per km)],TableECFTransport[Index],CONCATENATE($A8,"_LPG_LPG"))</f>
        <v>9.7224332472718792E-5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2.1586534884434506E-2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7.0127026732069381E-3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8.9028310545939476E-4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1.1278843149195865E-3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3.445782216578648E-7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3.5537315850654159E-5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13.270557815420483</v>
      </c>
      <c r="C14" s="21"/>
      <c r="D14" s="21">
        <f t="shared" ref="D14:M14" si="0">((D5)*10^9/3600)+D12</f>
        <v>29.598433856993619</v>
      </c>
      <c r="E14" s="21">
        <f t="shared" si="0"/>
        <v>114.28513297923419</v>
      </c>
      <c r="F14" s="21"/>
      <c r="G14" s="21">
        <f t="shared" si="0"/>
        <v>43095.872840693017</v>
      </c>
      <c r="H14" s="21">
        <f t="shared" si="0"/>
        <v>7957.4998922190853</v>
      </c>
      <c r="I14" s="21"/>
      <c r="J14" s="21"/>
      <c r="K14" s="21"/>
      <c r="L14" s="21"/>
      <c r="M14" s="21">
        <f t="shared" si="0"/>
        <v>1596.1385438178627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0.20730392333460629</v>
      </c>
      <c r="C16" s="56">
        <f ca="1">'EF ele_warmte'!B22</f>
        <v>0.2145509029367732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2.7510386999753882</v>
      </c>
      <c r="C18" s="23"/>
      <c r="D18" s="23">
        <f t="shared" ref="D18:M18" si="1">D14*D16</f>
        <v>5.9788836391127118</v>
      </c>
      <c r="E18" s="23">
        <f t="shared" si="1"/>
        <v>25.942725186286161</v>
      </c>
      <c r="F18" s="23"/>
      <c r="G18" s="23">
        <f t="shared" si="1"/>
        <v>11506.598048465035</v>
      </c>
      <c r="H18" s="23">
        <f t="shared" si="1"/>
        <v>1981.4174731625521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4.927020459158841E-3</v>
      </c>
      <c r="H50" s="321">
        <f t="shared" si="2"/>
        <v>0</v>
      </c>
      <c r="I50" s="321">
        <f t="shared" si="2"/>
        <v>0</v>
      </c>
      <c r="J50" s="321">
        <f t="shared" si="2"/>
        <v>0</v>
      </c>
      <c r="K50" s="321">
        <f t="shared" si="2"/>
        <v>0</v>
      </c>
      <c r="L50" s="321">
        <f t="shared" si="2"/>
        <v>0</v>
      </c>
      <c r="M50" s="321">
        <f t="shared" si="2"/>
        <v>1.5282515200118815E-4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4.927020459158841E-3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1.5282515200118815E-4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1368.6167942107891</v>
      </c>
      <c r="H54" s="21">
        <f t="shared" si="3"/>
        <v>0</v>
      </c>
      <c r="I54" s="21">
        <f t="shared" si="3"/>
        <v>0</v>
      </c>
      <c r="J54" s="21">
        <f t="shared" si="3"/>
        <v>0</v>
      </c>
      <c r="K54" s="21">
        <f t="shared" si="3"/>
        <v>0</v>
      </c>
      <c r="L54" s="21">
        <f t="shared" si="3"/>
        <v>0</v>
      </c>
      <c r="M54" s="21">
        <f t="shared" si="3"/>
        <v>42.45143111144116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0.20730392333460629</v>
      </c>
      <c r="C56" s="56">
        <f ca="1">'EF ele_warmte'!B22</f>
        <v>0.2145509029367732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365.42068405428068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22159.182457461997</v>
      </c>
      <c r="D10" s="1012">
        <f ca="1">tertiair!C16</f>
        <v>0</v>
      </c>
      <c r="E10" s="1012">
        <f ca="1">tertiair!D16</f>
        <v>10798.557028405938</v>
      </c>
      <c r="F10" s="1012">
        <f>tertiair!E16</f>
        <v>402.59326058896625</v>
      </c>
      <c r="G10" s="1012">
        <f ca="1">tertiair!F16</f>
        <v>5430.2721617022107</v>
      </c>
      <c r="H10" s="1012">
        <f>tertiair!G16</f>
        <v>0</v>
      </c>
      <c r="I10" s="1012">
        <f>tertiair!H16</f>
        <v>0</v>
      </c>
      <c r="J10" s="1012">
        <f>tertiair!I16</f>
        <v>0</v>
      </c>
      <c r="K10" s="1012">
        <f>tertiair!J16</f>
        <v>0</v>
      </c>
      <c r="L10" s="1012">
        <f>tertiair!K16</f>
        <v>0</v>
      </c>
      <c r="M10" s="1012">
        <f ca="1">tertiair!L16</f>
        <v>0</v>
      </c>
      <c r="N10" s="1012">
        <f>tertiair!M16</f>
        <v>0</v>
      </c>
      <c r="O10" s="1012">
        <f ca="1">tertiair!N16</f>
        <v>3452.2054369016532</v>
      </c>
      <c r="P10" s="1012">
        <f>tertiair!O16</f>
        <v>1.5633333333333335</v>
      </c>
      <c r="Q10" s="1013">
        <f>tertiair!P16</f>
        <v>19.066666666666666</v>
      </c>
      <c r="R10" s="700">
        <f ca="1">SUM(C10:Q10)</f>
        <v>42263.440345060764</v>
      </c>
      <c r="S10" s="67"/>
    </row>
    <row r="11" spans="1:19" s="473" customFormat="1">
      <c r="A11" s="809" t="s">
        <v>225</v>
      </c>
      <c r="B11" s="814"/>
      <c r="C11" s="1012">
        <f>huishoudens!B8</f>
        <v>22558.674579119801</v>
      </c>
      <c r="D11" s="1012">
        <f>huishoudens!C8</f>
        <v>0</v>
      </c>
      <c r="E11" s="1012">
        <f>huishoudens!D8</f>
        <v>46341.134094397996</v>
      </c>
      <c r="F11" s="1012">
        <f>huishoudens!E8</f>
        <v>5822.9752120983794</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15232.031028301208</v>
      </c>
      <c r="P11" s="1012">
        <f>huishoudens!O8</f>
        <v>157.89666666666668</v>
      </c>
      <c r="Q11" s="1013">
        <f>huishoudens!P8</f>
        <v>877.06666666666661</v>
      </c>
      <c r="R11" s="700">
        <f>SUM(C11:Q11)</f>
        <v>90989.77824725071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13769.113910485459</v>
      </c>
      <c r="D13" s="1012">
        <f>industrie!C18</f>
        <v>0</v>
      </c>
      <c r="E13" s="1012">
        <f>industrie!D18</f>
        <v>18838.344795719855</v>
      </c>
      <c r="F13" s="1012">
        <f>industrie!E18</f>
        <v>1426.8889985655273</v>
      </c>
      <c r="G13" s="1012">
        <f>industrie!F18</f>
        <v>5331.450280864261</v>
      </c>
      <c r="H13" s="1012">
        <f>industrie!G18</f>
        <v>0</v>
      </c>
      <c r="I13" s="1012">
        <f>industrie!H18</f>
        <v>0</v>
      </c>
      <c r="J13" s="1012">
        <f>industrie!I18</f>
        <v>0</v>
      </c>
      <c r="K13" s="1012">
        <f>industrie!J18</f>
        <v>76.958110341320165</v>
      </c>
      <c r="L13" s="1012">
        <f>industrie!K18</f>
        <v>0</v>
      </c>
      <c r="M13" s="1012">
        <f>industrie!L18</f>
        <v>0</v>
      </c>
      <c r="N13" s="1012">
        <f>industrie!M18</f>
        <v>0</v>
      </c>
      <c r="O13" s="1012">
        <f>industrie!N18</f>
        <v>3160.8268401671867</v>
      </c>
      <c r="P13" s="1012">
        <f>industrie!O18</f>
        <v>0</v>
      </c>
      <c r="Q13" s="1013">
        <f>industrie!P18</f>
        <v>0</v>
      </c>
      <c r="R13" s="700">
        <f>SUM(C13:Q13)</f>
        <v>42603.582936143612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58486.970947067261</v>
      </c>
      <c r="D16" s="732">
        <f t="shared" ref="D16:R16" ca="1" si="0">SUM(D9:D15)</f>
        <v>0</v>
      </c>
      <c r="E16" s="732">
        <f t="shared" ca="1" si="0"/>
        <v>75978.03591852379</v>
      </c>
      <c r="F16" s="732">
        <f t="shared" si="0"/>
        <v>7652.4574712528738</v>
      </c>
      <c r="G16" s="732">
        <f t="shared" ca="1" si="0"/>
        <v>10761.722442566472</v>
      </c>
      <c r="H16" s="732">
        <f t="shared" si="0"/>
        <v>0</v>
      </c>
      <c r="I16" s="732">
        <f t="shared" si="0"/>
        <v>0</v>
      </c>
      <c r="J16" s="732">
        <f t="shared" si="0"/>
        <v>0</v>
      </c>
      <c r="K16" s="732">
        <f t="shared" si="0"/>
        <v>76.958110341320165</v>
      </c>
      <c r="L16" s="732">
        <f t="shared" si="0"/>
        <v>0</v>
      </c>
      <c r="M16" s="732">
        <f t="shared" ca="1" si="0"/>
        <v>0</v>
      </c>
      <c r="N16" s="732">
        <f t="shared" si="0"/>
        <v>0</v>
      </c>
      <c r="O16" s="732">
        <f t="shared" ca="1" si="0"/>
        <v>21845.063305370051</v>
      </c>
      <c r="P16" s="732">
        <f t="shared" si="0"/>
        <v>159.46</v>
      </c>
      <c r="Q16" s="732">
        <f t="shared" si="0"/>
        <v>896.13333333333333</v>
      </c>
      <c r="R16" s="732">
        <f t="shared" ca="1" si="0"/>
        <v>175856.80152845511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1368.6167942107891</v>
      </c>
      <c r="I19" s="1012">
        <f>transport!H54</f>
        <v>0</v>
      </c>
      <c r="J19" s="1012">
        <f>transport!I54</f>
        <v>0</v>
      </c>
      <c r="K19" s="1012">
        <f>transport!J54</f>
        <v>0</v>
      </c>
      <c r="L19" s="1012">
        <f>transport!K54</f>
        <v>0</v>
      </c>
      <c r="M19" s="1012">
        <f>transport!L54</f>
        <v>0</v>
      </c>
      <c r="N19" s="1012">
        <f>transport!M54</f>
        <v>42.45143111144116</v>
      </c>
      <c r="O19" s="1012">
        <f>transport!N54</f>
        <v>0</v>
      </c>
      <c r="P19" s="1012">
        <f>transport!O54</f>
        <v>0</v>
      </c>
      <c r="Q19" s="1013">
        <f>transport!P54</f>
        <v>0</v>
      </c>
      <c r="R19" s="700">
        <f>SUM(C19:Q19)</f>
        <v>1411.0682253222303</v>
      </c>
      <c r="S19" s="67"/>
    </row>
    <row r="20" spans="1:19" s="473" customFormat="1">
      <c r="A20" s="809" t="s">
        <v>307</v>
      </c>
      <c r="B20" s="814"/>
      <c r="C20" s="1012">
        <f>transport!B14</f>
        <v>13.270557815420483</v>
      </c>
      <c r="D20" s="1012">
        <f>transport!C14</f>
        <v>0</v>
      </c>
      <c r="E20" s="1012">
        <f>transport!D14</f>
        <v>29.598433856993619</v>
      </c>
      <c r="F20" s="1012">
        <f>transport!E14</f>
        <v>114.28513297923419</v>
      </c>
      <c r="G20" s="1012">
        <f>transport!F14</f>
        <v>0</v>
      </c>
      <c r="H20" s="1012">
        <f>transport!G14</f>
        <v>43095.872840693017</v>
      </c>
      <c r="I20" s="1012">
        <f>transport!H14</f>
        <v>7957.4998922190853</v>
      </c>
      <c r="J20" s="1012">
        <f>transport!I14</f>
        <v>0</v>
      </c>
      <c r="K20" s="1012">
        <f>transport!J14</f>
        <v>0</v>
      </c>
      <c r="L20" s="1012">
        <f>transport!K14</f>
        <v>0</v>
      </c>
      <c r="M20" s="1012">
        <f>transport!L14</f>
        <v>0</v>
      </c>
      <c r="N20" s="1012">
        <f>transport!M14</f>
        <v>1596.1385438178627</v>
      </c>
      <c r="O20" s="1012">
        <f>transport!N14</f>
        <v>0</v>
      </c>
      <c r="P20" s="1012">
        <f>transport!O14</f>
        <v>0</v>
      </c>
      <c r="Q20" s="1013">
        <f>transport!P14</f>
        <v>0</v>
      </c>
      <c r="R20" s="700">
        <f>SUM(C20:Q20)</f>
        <v>52806.665401381615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13.270557815420483</v>
      </c>
      <c r="D22" s="812">
        <f t="shared" ref="D22:R22" si="1">SUM(D18:D21)</f>
        <v>0</v>
      </c>
      <c r="E22" s="812">
        <f t="shared" si="1"/>
        <v>29.598433856993619</v>
      </c>
      <c r="F22" s="812">
        <f t="shared" si="1"/>
        <v>114.28513297923419</v>
      </c>
      <c r="G22" s="812">
        <f t="shared" si="1"/>
        <v>0</v>
      </c>
      <c r="H22" s="812">
        <f t="shared" si="1"/>
        <v>44464.489634903803</v>
      </c>
      <c r="I22" s="812">
        <f t="shared" si="1"/>
        <v>7957.4998922190853</v>
      </c>
      <c r="J22" s="812">
        <f t="shared" si="1"/>
        <v>0</v>
      </c>
      <c r="K22" s="812">
        <f t="shared" si="1"/>
        <v>0</v>
      </c>
      <c r="L22" s="812">
        <f t="shared" si="1"/>
        <v>0</v>
      </c>
      <c r="M22" s="812">
        <f t="shared" si="1"/>
        <v>0</v>
      </c>
      <c r="N22" s="812">
        <f t="shared" si="1"/>
        <v>1638.5899749293039</v>
      </c>
      <c r="O22" s="812">
        <f t="shared" si="1"/>
        <v>0</v>
      </c>
      <c r="P22" s="812">
        <f t="shared" si="1"/>
        <v>0</v>
      </c>
      <c r="Q22" s="812">
        <f t="shared" si="1"/>
        <v>0</v>
      </c>
      <c r="R22" s="812">
        <f t="shared" si="1"/>
        <v>54217.733626703848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5249.0862791830004</v>
      </c>
      <c r="D24" s="1012">
        <f>+landbouw!C8</f>
        <v>192797.35714285713</v>
      </c>
      <c r="E24" s="1012">
        <f>+landbouw!D8</f>
        <v>0</v>
      </c>
      <c r="F24" s="1012">
        <f>+landbouw!E8</f>
        <v>135.35378097893596</v>
      </c>
      <c r="G24" s="1012">
        <f>+landbouw!F8</f>
        <v>19186.409990336084</v>
      </c>
      <c r="H24" s="1012">
        <f>+landbouw!G8</f>
        <v>0</v>
      </c>
      <c r="I24" s="1012">
        <f>+landbouw!H8</f>
        <v>0</v>
      </c>
      <c r="J24" s="1012">
        <f>+landbouw!I8</f>
        <v>0</v>
      </c>
      <c r="K24" s="1012">
        <f>+landbouw!J8</f>
        <v>755.67532786544734</v>
      </c>
      <c r="L24" s="1012">
        <f>+landbouw!K8</f>
        <v>0</v>
      </c>
      <c r="M24" s="1012">
        <f>+landbouw!L8</f>
        <v>0</v>
      </c>
      <c r="N24" s="1012">
        <f>+landbouw!M8</f>
        <v>0</v>
      </c>
      <c r="O24" s="1012">
        <f>+landbouw!N8</f>
        <v>0</v>
      </c>
      <c r="P24" s="1012">
        <f>+landbouw!O8</f>
        <v>0</v>
      </c>
      <c r="Q24" s="1013">
        <f>+landbouw!P8</f>
        <v>0</v>
      </c>
      <c r="R24" s="700">
        <f>SUM(C24:Q24)</f>
        <v>218123.8825212206</v>
      </c>
      <c r="S24" s="67"/>
    </row>
    <row r="25" spans="1:19" s="473" customFormat="1" ht="15" thickBot="1">
      <c r="A25" s="831" t="s">
        <v>848</v>
      </c>
      <c r="B25" s="1015"/>
      <c r="C25" s="1016">
        <f>IF(Onbekend_ele_kWh="---",0,Onbekend_ele_kWh)/1000+IF(REST_rest_ele_kWh="---",0,REST_rest_ele_kWh)/1000</f>
        <v>748.61956156999997</v>
      </c>
      <c r="D25" s="1016"/>
      <c r="E25" s="1016">
        <f>IF(onbekend_gas_kWh="---",0,onbekend_gas_kWh)/1000+IF(REST_rest_gas_kWh="---",0,REST_rest_gas_kWh)/1000</f>
        <v>743.28802546000009</v>
      </c>
      <c r="F25" s="1016"/>
      <c r="G25" s="1016"/>
      <c r="H25" s="1016"/>
      <c r="I25" s="1016"/>
      <c r="J25" s="1016"/>
      <c r="K25" s="1016"/>
      <c r="L25" s="1016"/>
      <c r="M25" s="1016"/>
      <c r="N25" s="1016"/>
      <c r="O25" s="1016"/>
      <c r="P25" s="1016"/>
      <c r="Q25" s="1017"/>
      <c r="R25" s="700">
        <f>SUM(C25:Q25)</f>
        <v>1491.9075870300001</v>
      </c>
      <c r="S25" s="67"/>
    </row>
    <row r="26" spans="1:19" s="473" customFormat="1" ht="15.75" thickBot="1">
      <c r="A26" s="705" t="s">
        <v>849</v>
      </c>
      <c r="B26" s="817"/>
      <c r="C26" s="812">
        <f>SUM(C24:C25)</f>
        <v>5997.7058407530003</v>
      </c>
      <c r="D26" s="812">
        <f t="shared" ref="D26:R26" si="2">SUM(D24:D25)</f>
        <v>192797.35714285713</v>
      </c>
      <c r="E26" s="812">
        <f t="shared" si="2"/>
        <v>743.28802546000009</v>
      </c>
      <c r="F26" s="812">
        <f t="shared" si="2"/>
        <v>135.35378097893596</v>
      </c>
      <c r="G26" s="812">
        <f t="shared" si="2"/>
        <v>19186.409990336084</v>
      </c>
      <c r="H26" s="812">
        <f t="shared" si="2"/>
        <v>0</v>
      </c>
      <c r="I26" s="812">
        <f t="shared" si="2"/>
        <v>0</v>
      </c>
      <c r="J26" s="812">
        <f t="shared" si="2"/>
        <v>0</v>
      </c>
      <c r="K26" s="812">
        <f t="shared" si="2"/>
        <v>755.67532786544734</v>
      </c>
      <c r="L26" s="812">
        <f t="shared" si="2"/>
        <v>0</v>
      </c>
      <c r="M26" s="812">
        <f t="shared" si="2"/>
        <v>0</v>
      </c>
      <c r="N26" s="812">
        <f t="shared" si="2"/>
        <v>0</v>
      </c>
      <c r="O26" s="812">
        <f t="shared" si="2"/>
        <v>0</v>
      </c>
      <c r="P26" s="812">
        <f t="shared" si="2"/>
        <v>0</v>
      </c>
      <c r="Q26" s="812">
        <f t="shared" si="2"/>
        <v>0</v>
      </c>
      <c r="R26" s="812">
        <f t="shared" si="2"/>
        <v>219615.7901082506</v>
      </c>
      <c r="S26" s="67"/>
    </row>
    <row r="27" spans="1:19" s="473" customFormat="1" ht="17.25" thickTop="1" thickBot="1">
      <c r="A27" s="706" t="s">
        <v>116</v>
      </c>
      <c r="B27" s="805"/>
      <c r="C27" s="707">
        <f ca="1">C22+C16+C26</f>
        <v>64497.947345635679</v>
      </c>
      <c r="D27" s="707">
        <f t="shared" ref="D27:R27" ca="1" si="3">D22+D16+D26</f>
        <v>192797.35714285713</v>
      </c>
      <c r="E27" s="707">
        <f t="shared" ca="1" si="3"/>
        <v>76750.92237784079</v>
      </c>
      <c r="F27" s="707">
        <f t="shared" si="3"/>
        <v>7902.0963852110435</v>
      </c>
      <c r="G27" s="707">
        <f t="shared" ca="1" si="3"/>
        <v>29948.132432902556</v>
      </c>
      <c r="H27" s="707">
        <f t="shared" si="3"/>
        <v>44464.489634903803</v>
      </c>
      <c r="I27" s="707">
        <f t="shared" si="3"/>
        <v>7957.4998922190853</v>
      </c>
      <c r="J27" s="707">
        <f t="shared" si="3"/>
        <v>0</v>
      </c>
      <c r="K27" s="707">
        <f t="shared" si="3"/>
        <v>832.63343820676755</v>
      </c>
      <c r="L27" s="707">
        <f t="shared" si="3"/>
        <v>0</v>
      </c>
      <c r="M27" s="707">
        <f t="shared" ca="1" si="3"/>
        <v>0</v>
      </c>
      <c r="N27" s="707">
        <f t="shared" si="3"/>
        <v>1638.5899749293039</v>
      </c>
      <c r="O27" s="707">
        <f t="shared" ca="1" si="3"/>
        <v>21845.063305370051</v>
      </c>
      <c r="P27" s="707">
        <f t="shared" si="3"/>
        <v>159.46</v>
      </c>
      <c r="Q27" s="707">
        <f t="shared" si="3"/>
        <v>896.13333333333333</v>
      </c>
      <c r="R27" s="707">
        <f t="shared" ca="1" si="3"/>
        <v>449690.32526340953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4593.6854613192545</v>
      </c>
      <c r="D40" s="1012">
        <f ca="1">tertiair!C20</f>
        <v>0</v>
      </c>
      <c r="E40" s="1012">
        <f ca="1">tertiair!D20</f>
        <v>2181.3085197379996</v>
      </c>
      <c r="F40" s="1012">
        <f>tertiair!E20</f>
        <v>91.388670153695344</v>
      </c>
      <c r="G40" s="1012">
        <f ca="1">tertiair!F20</f>
        <v>1449.8826671744903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8316.26531838544</v>
      </c>
    </row>
    <row r="41" spans="1:18">
      <c r="A41" s="822" t="s">
        <v>225</v>
      </c>
      <c r="B41" s="829"/>
      <c r="C41" s="1012">
        <f ca="1">huishoudens!B12</f>
        <v>4676.5017454801828</v>
      </c>
      <c r="D41" s="1012">
        <f ca="1">huishoudens!C12</f>
        <v>0</v>
      </c>
      <c r="E41" s="1012">
        <f>huishoudens!D12</f>
        <v>9360.9090870683958</v>
      </c>
      <c r="F41" s="1012">
        <f>huishoudens!E12</f>
        <v>1321.8153731463321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15359.226205694911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2854.3913344847388</v>
      </c>
      <c r="D43" s="1012">
        <f ca="1">industrie!C22</f>
        <v>0</v>
      </c>
      <c r="E43" s="1012">
        <f>industrie!D22</f>
        <v>3805.345648735411</v>
      </c>
      <c r="F43" s="1012">
        <f>industrie!E22</f>
        <v>323.90380267437473</v>
      </c>
      <c r="G43" s="1012">
        <f>industrie!F22</f>
        <v>1423.4972249907578</v>
      </c>
      <c r="H43" s="1012">
        <f>industrie!G22</f>
        <v>0</v>
      </c>
      <c r="I43" s="1012">
        <f>industrie!H22</f>
        <v>0</v>
      </c>
      <c r="J43" s="1012">
        <f>industrie!I22</f>
        <v>0</v>
      </c>
      <c r="K43" s="1012">
        <f>industrie!J22</f>
        <v>27.243171060827336</v>
      </c>
      <c r="L43" s="1012">
        <f>industrie!K22</f>
        <v>0</v>
      </c>
      <c r="M43" s="1012">
        <f>industrie!L22</f>
        <v>0</v>
      </c>
      <c r="N43" s="1012">
        <f>industrie!M22</f>
        <v>0</v>
      </c>
      <c r="O43" s="1012">
        <f>industrie!N22</f>
        <v>0</v>
      </c>
      <c r="P43" s="1012">
        <f>industrie!O22</f>
        <v>0</v>
      </c>
      <c r="Q43" s="774">
        <f>industrie!P22</f>
        <v>0</v>
      </c>
      <c r="R43" s="849">
        <f t="shared" ca="1" si="4"/>
        <v>8434.3811819461098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12124.578541284176</v>
      </c>
      <c r="D46" s="732">
        <f t="shared" ref="D46:Q46" ca="1" si="5">SUM(D39:D45)</f>
        <v>0</v>
      </c>
      <c r="E46" s="732">
        <f t="shared" ca="1" si="5"/>
        <v>15347.563255541807</v>
      </c>
      <c r="F46" s="732">
        <f t="shared" si="5"/>
        <v>1737.1078459744022</v>
      </c>
      <c r="G46" s="732">
        <f t="shared" ca="1" si="5"/>
        <v>2873.3798921652478</v>
      </c>
      <c r="H46" s="732">
        <f t="shared" si="5"/>
        <v>0</v>
      </c>
      <c r="I46" s="732">
        <f t="shared" si="5"/>
        <v>0</v>
      </c>
      <c r="J46" s="732">
        <f t="shared" si="5"/>
        <v>0</v>
      </c>
      <c r="K46" s="732">
        <f t="shared" si="5"/>
        <v>27.243171060827336</v>
      </c>
      <c r="L46" s="732">
        <f t="shared" si="5"/>
        <v>0</v>
      </c>
      <c r="M46" s="732">
        <f t="shared" ca="1" si="5"/>
        <v>0</v>
      </c>
      <c r="N46" s="732">
        <f t="shared" si="5"/>
        <v>0</v>
      </c>
      <c r="O46" s="732">
        <f t="shared" ca="1" si="5"/>
        <v>0</v>
      </c>
      <c r="P46" s="732">
        <f t="shared" si="5"/>
        <v>0</v>
      </c>
      <c r="Q46" s="732">
        <f t="shared" si="5"/>
        <v>0</v>
      </c>
      <c r="R46" s="732">
        <f ca="1">SUM(R39:R45)</f>
        <v>32109.872706026465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365.42068405428068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365.42068405428068</v>
      </c>
    </row>
    <row r="50" spans="1:18">
      <c r="A50" s="825" t="s">
        <v>307</v>
      </c>
      <c r="B50" s="835"/>
      <c r="C50" s="703">
        <f ca="1">transport!B18</f>
        <v>2.7510386999753882</v>
      </c>
      <c r="D50" s="703">
        <f>transport!C18</f>
        <v>0</v>
      </c>
      <c r="E50" s="703">
        <f>transport!D18</f>
        <v>5.9788836391127118</v>
      </c>
      <c r="F50" s="703">
        <f>transport!E18</f>
        <v>25.942725186286161</v>
      </c>
      <c r="G50" s="703">
        <f>transport!F18</f>
        <v>0</v>
      </c>
      <c r="H50" s="703">
        <f>transport!G18</f>
        <v>11506.598048465035</v>
      </c>
      <c r="I50" s="703">
        <f>transport!H18</f>
        <v>1981.4174731625521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13522.688169152962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2.7510386999753882</v>
      </c>
      <c r="D52" s="732">
        <f t="shared" ref="D52:Q52" ca="1" si="6">SUM(D48:D51)</f>
        <v>0</v>
      </c>
      <c r="E52" s="732">
        <f t="shared" si="6"/>
        <v>5.9788836391127118</v>
      </c>
      <c r="F52" s="732">
        <f t="shared" si="6"/>
        <v>25.942725186286161</v>
      </c>
      <c r="G52" s="732">
        <f t="shared" si="6"/>
        <v>0</v>
      </c>
      <c r="H52" s="732">
        <f t="shared" si="6"/>
        <v>11872.018732519316</v>
      </c>
      <c r="I52" s="732">
        <f t="shared" si="6"/>
        <v>1981.4174731625521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13888.108853207243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1088.1561795964865</v>
      </c>
      <c r="D54" s="703">
        <f ca="1">+landbouw!C12</f>
        <v>41364.847058823536</v>
      </c>
      <c r="E54" s="703">
        <f>+landbouw!D12</f>
        <v>0</v>
      </c>
      <c r="F54" s="703">
        <f>+landbouw!E12</f>
        <v>30.725308282218464</v>
      </c>
      <c r="G54" s="703">
        <f>+landbouw!F12</f>
        <v>5122.771467419735</v>
      </c>
      <c r="H54" s="703">
        <f>+landbouw!G12</f>
        <v>0</v>
      </c>
      <c r="I54" s="703">
        <f>+landbouw!H12</f>
        <v>0</v>
      </c>
      <c r="J54" s="703">
        <f>+landbouw!I12</f>
        <v>0</v>
      </c>
      <c r="K54" s="703">
        <f>+landbouw!J12</f>
        <v>267.50906606436837</v>
      </c>
      <c r="L54" s="703">
        <f>+landbouw!K12</f>
        <v>0</v>
      </c>
      <c r="M54" s="703">
        <f>+landbouw!L12</f>
        <v>0</v>
      </c>
      <c r="N54" s="703">
        <f>+landbouw!M12</f>
        <v>0</v>
      </c>
      <c r="O54" s="703">
        <f>+landbouw!N12</f>
        <v>0</v>
      </c>
      <c r="P54" s="703">
        <f>+landbouw!O12</f>
        <v>0</v>
      </c>
      <c r="Q54" s="704">
        <f>+landbouw!P12</f>
        <v>0</v>
      </c>
      <c r="R54" s="731">
        <f ca="1">SUM(C54:Q54)</f>
        <v>47874.009080186348</v>
      </c>
    </row>
    <row r="55" spans="1:18" ht="15" thickBot="1">
      <c r="A55" s="825" t="s">
        <v>848</v>
      </c>
      <c r="B55" s="835"/>
      <c r="C55" s="703">
        <f ca="1">C25*'EF ele_warmte'!B12</f>
        <v>155.19177219849385</v>
      </c>
      <c r="D55" s="703"/>
      <c r="E55" s="703">
        <f>E25*EF_CO2_aardgas</f>
        <v>150.14418114292002</v>
      </c>
      <c r="F55" s="703"/>
      <c r="G55" s="703"/>
      <c r="H55" s="703"/>
      <c r="I55" s="703"/>
      <c r="J55" s="703"/>
      <c r="K55" s="703"/>
      <c r="L55" s="703"/>
      <c r="M55" s="703"/>
      <c r="N55" s="703"/>
      <c r="O55" s="703"/>
      <c r="P55" s="703"/>
      <c r="Q55" s="704"/>
      <c r="R55" s="731">
        <f ca="1">SUM(C55:Q55)</f>
        <v>305.33595334141387</v>
      </c>
    </row>
    <row r="56" spans="1:18" ht="15.75" thickBot="1">
      <c r="A56" s="823" t="s">
        <v>849</v>
      </c>
      <c r="B56" s="836"/>
      <c r="C56" s="732">
        <f ca="1">SUM(C54:C55)</f>
        <v>1243.3479517949804</v>
      </c>
      <c r="D56" s="732">
        <f t="shared" ref="D56:Q56" ca="1" si="7">SUM(D54:D55)</f>
        <v>41364.847058823536</v>
      </c>
      <c r="E56" s="732">
        <f t="shared" si="7"/>
        <v>150.14418114292002</v>
      </c>
      <c r="F56" s="732">
        <f t="shared" si="7"/>
        <v>30.725308282218464</v>
      </c>
      <c r="G56" s="732">
        <f t="shared" si="7"/>
        <v>5122.771467419735</v>
      </c>
      <c r="H56" s="732">
        <f t="shared" si="7"/>
        <v>0</v>
      </c>
      <c r="I56" s="732">
        <f t="shared" si="7"/>
        <v>0</v>
      </c>
      <c r="J56" s="732">
        <f t="shared" si="7"/>
        <v>0</v>
      </c>
      <c r="K56" s="732">
        <f t="shared" si="7"/>
        <v>267.50906606436837</v>
      </c>
      <c r="L56" s="732">
        <f t="shared" si="7"/>
        <v>0</v>
      </c>
      <c r="M56" s="732">
        <f t="shared" si="7"/>
        <v>0</v>
      </c>
      <c r="N56" s="732">
        <f t="shared" si="7"/>
        <v>0</v>
      </c>
      <c r="O56" s="732">
        <f t="shared" si="7"/>
        <v>0</v>
      </c>
      <c r="P56" s="732">
        <f t="shared" si="7"/>
        <v>0</v>
      </c>
      <c r="Q56" s="733">
        <f t="shared" si="7"/>
        <v>0</v>
      </c>
      <c r="R56" s="734">
        <f ca="1">SUM(R54:R55)</f>
        <v>48179.345033527759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13370.677531779131</v>
      </c>
      <c r="D61" s="740">
        <f t="shared" ref="D61:Q61" ca="1" si="8">D46+D52+D56</f>
        <v>41364.847058823536</v>
      </c>
      <c r="E61" s="740">
        <f t="shared" ca="1" si="8"/>
        <v>15503.686320323839</v>
      </c>
      <c r="F61" s="740">
        <f t="shared" si="8"/>
        <v>1793.7758794429069</v>
      </c>
      <c r="G61" s="740">
        <f t="shared" ca="1" si="8"/>
        <v>7996.1513595849829</v>
      </c>
      <c r="H61" s="740">
        <f t="shared" si="8"/>
        <v>11872.018732519316</v>
      </c>
      <c r="I61" s="740">
        <f t="shared" si="8"/>
        <v>1981.4174731625521</v>
      </c>
      <c r="J61" s="740">
        <f t="shared" si="8"/>
        <v>0</v>
      </c>
      <c r="K61" s="740">
        <f t="shared" si="8"/>
        <v>294.75223712519573</v>
      </c>
      <c r="L61" s="740">
        <f t="shared" si="8"/>
        <v>0</v>
      </c>
      <c r="M61" s="740">
        <f t="shared" ca="1" si="8"/>
        <v>0</v>
      </c>
      <c r="N61" s="740">
        <f t="shared" si="8"/>
        <v>0</v>
      </c>
      <c r="O61" s="740">
        <f t="shared" ca="1" si="8"/>
        <v>0</v>
      </c>
      <c r="P61" s="740">
        <f t="shared" si="8"/>
        <v>0</v>
      </c>
      <c r="Q61" s="740">
        <f t="shared" si="8"/>
        <v>0</v>
      </c>
      <c r="R61" s="740">
        <f ca="1">R46+R52+R56</f>
        <v>94177.32659276147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0.20730392333460626</v>
      </c>
      <c r="D63" s="781">
        <f t="shared" ca="1" si="9"/>
        <v>0.2145509029367732</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4717.8989401833096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13116.149999999996</v>
      </c>
      <c r="C76" s="750">
        <f>'lokale energieproductie'!B8*IFERROR(SUM(D76:H76)/SUM(D76:O76),0)</f>
        <v>121842</v>
      </c>
      <c r="D76" s="1033">
        <f>'lokale energieproductie'!C8</f>
        <v>143343.52941176473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15430.764705882351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28955.392941176477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17834.048940183304</v>
      </c>
      <c r="C78" s="755">
        <f>SUM(C72:C77)</f>
        <v>121842</v>
      </c>
      <c r="D78" s="756">
        <f t="shared" ref="D78:H78" si="10">SUM(D76:D77)</f>
        <v>143343.52941176473</v>
      </c>
      <c r="E78" s="756">
        <f t="shared" si="10"/>
        <v>0</v>
      </c>
      <c r="F78" s="756">
        <f t="shared" si="10"/>
        <v>0</v>
      </c>
      <c r="G78" s="756">
        <f t="shared" si="10"/>
        <v>0</v>
      </c>
      <c r="H78" s="756">
        <f t="shared" si="10"/>
        <v>0</v>
      </c>
      <c r="I78" s="756">
        <f>SUM(I76:I77)</f>
        <v>0</v>
      </c>
      <c r="J78" s="756">
        <f>SUM(J76:J77)</f>
        <v>15430.764705882351</v>
      </c>
      <c r="K78" s="756">
        <f t="shared" ref="K78:L78" si="11">SUM(K76:K77)</f>
        <v>0</v>
      </c>
      <c r="L78" s="756">
        <f t="shared" si="11"/>
        <v>0</v>
      </c>
      <c r="M78" s="756">
        <f>SUM(M76:M77)</f>
        <v>0</v>
      </c>
      <c r="N78" s="756">
        <f>SUM(N76:N77)</f>
        <v>0</v>
      </c>
      <c r="O78" s="860">
        <f>SUM(O76:O77)</f>
        <v>0</v>
      </c>
      <c r="P78" s="757">
        <v>0</v>
      </c>
      <c r="Q78" s="757">
        <f>SUM(Q76:Q77)</f>
        <v>28955.392941176477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18737.357142857138</v>
      </c>
      <c r="C87" s="766">
        <f>'lokale energieproductie'!B17*IFERROR(SUM(D87:H87)/SUM(D87:O87),0)</f>
        <v>174060</v>
      </c>
      <c r="D87" s="777">
        <f>'lokale energieproductie'!C17</f>
        <v>204776.47058823533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22043.949579831933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41364.847058823536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18737.357142857138</v>
      </c>
      <c r="C90" s="755">
        <f>SUM(C87:C89)</f>
        <v>174060</v>
      </c>
      <c r="D90" s="755">
        <f t="shared" ref="D90:H90" si="12">SUM(D87:D89)</f>
        <v>204776.47058823533</v>
      </c>
      <c r="E90" s="755">
        <f t="shared" si="12"/>
        <v>0</v>
      </c>
      <c r="F90" s="755">
        <f t="shared" si="12"/>
        <v>0</v>
      </c>
      <c r="G90" s="755">
        <f t="shared" si="12"/>
        <v>0</v>
      </c>
      <c r="H90" s="755">
        <f t="shared" si="12"/>
        <v>0</v>
      </c>
      <c r="I90" s="755">
        <f>SUM(I87:I89)</f>
        <v>0</v>
      </c>
      <c r="J90" s="755">
        <f>SUM(J87:J89)</f>
        <v>22043.949579831933</v>
      </c>
      <c r="K90" s="755">
        <f t="shared" ref="K90:L90" si="13">SUM(K87:K89)</f>
        <v>0</v>
      </c>
      <c r="L90" s="755">
        <f t="shared" si="13"/>
        <v>0</v>
      </c>
      <c r="M90" s="755">
        <f>SUM(M87:M89)</f>
        <v>0</v>
      </c>
      <c r="N90" s="755">
        <f>SUM(N87:N89)</f>
        <v>0</v>
      </c>
      <c r="O90" s="755">
        <f>SUM(O87:O89)</f>
        <v>0</v>
      </c>
      <c r="P90" s="755">
        <v>0</v>
      </c>
      <c r="Q90" s="755">
        <f>SUM(Q87:Q89)</f>
        <v>41364.847058823536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4717.8989401833096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134958.15</v>
      </c>
      <c r="C8" s="570">
        <f>B101</f>
        <v>143343.52941176473</v>
      </c>
      <c r="D8" s="1043"/>
      <c r="E8" s="1043">
        <f>E101</f>
        <v>0</v>
      </c>
      <c r="F8" s="1044"/>
      <c r="G8" s="571"/>
      <c r="H8" s="1043">
        <f>I101</f>
        <v>0</v>
      </c>
      <c r="I8" s="1043">
        <f>G101+F101</f>
        <v>0</v>
      </c>
      <c r="J8" s="1043">
        <f>H101+D101+C101</f>
        <v>15430.764705882351</v>
      </c>
      <c r="K8" s="1043"/>
      <c r="L8" s="1043"/>
      <c r="M8" s="1043"/>
      <c r="N8" s="572"/>
      <c r="O8" s="573">
        <f>C8*$C$12+D8*$D$12+E8*$E$12+F8*$F$12+G8*$G$12+H8*$H$12+I8*$I$12+J8*$J$12</f>
        <v>28955.392941176477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139676.0489401833</v>
      </c>
      <c r="C10" s="583">
        <f t="shared" ref="C10:L10" si="0">SUM(C8:C9)</f>
        <v>143343.52941176473</v>
      </c>
      <c r="D10" s="583">
        <f t="shared" si="0"/>
        <v>0</v>
      </c>
      <c r="E10" s="583">
        <f t="shared" si="0"/>
        <v>0</v>
      </c>
      <c r="F10" s="583">
        <f t="shared" si="0"/>
        <v>0</v>
      </c>
      <c r="G10" s="583">
        <f t="shared" si="0"/>
        <v>0</v>
      </c>
      <c r="H10" s="583">
        <f t="shared" si="0"/>
        <v>0</v>
      </c>
      <c r="I10" s="583">
        <f t="shared" si="0"/>
        <v>0</v>
      </c>
      <c r="J10" s="583">
        <f t="shared" si="0"/>
        <v>15430.764705882351</v>
      </c>
      <c r="K10" s="583">
        <f t="shared" si="0"/>
        <v>0</v>
      </c>
      <c r="L10" s="583">
        <f t="shared" si="0"/>
        <v>0</v>
      </c>
      <c r="M10" s="1046"/>
      <c r="N10" s="1046"/>
      <c r="O10" s="584">
        <f>SUM(O4:O9)</f>
        <v>28955.392941176477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192797.35714285713</v>
      </c>
      <c r="C17" s="595">
        <f>B102</f>
        <v>204776.47058823533</v>
      </c>
      <c r="D17" s="596"/>
      <c r="E17" s="596">
        <f>E102</f>
        <v>0</v>
      </c>
      <c r="F17" s="1049"/>
      <c r="G17" s="597"/>
      <c r="H17" s="595">
        <f>I102</f>
        <v>0</v>
      </c>
      <c r="I17" s="596">
        <f>G102+F102</f>
        <v>0</v>
      </c>
      <c r="J17" s="596">
        <f>H102+D102+C102</f>
        <v>22043.949579831933</v>
      </c>
      <c r="K17" s="596"/>
      <c r="L17" s="596"/>
      <c r="M17" s="596"/>
      <c r="N17" s="1050"/>
      <c r="O17" s="598">
        <f>C17*$C$22+E17*$E$22+H17*$H$22+I17*$I$22+J17*$J$22+D17*$D$22+F17*$F$22+G17*$G$22+K17*$K$22+L17*$L$22</f>
        <v>41364.847058823536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192797.35714285713</v>
      </c>
      <c r="C20" s="582">
        <f>SUM(C17:C19)</f>
        <v>204776.47058823533</v>
      </c>
      <c r="D20" s="582">
        <f t="shared" ref="D20:L20" si="1">SUM(D17:D19)</f>
        <v>0</v>
      </c>
      <c r="E20" s="582">
        <f t="shared" si="1"/>
        <v>0</v>
      </c>
      <c r="F20" s="582">
        <f t="shared" si="1"/>
        <v>0</v>
      </c>
      <c r="G20" s="582">
        <f t="shared" si="1"/>
        <v>0</v>
      </c>
      <c r="H20" s="582">
        <f t="shared" si="1"/>
        <v>0</v>
      </c>
      <c r="I20" s="582">
        <f t="shared" si="1"/>
        <v>0</v>
      </c>
      <c r="J20" s="582">
        <f t="shared" si="1"/>
        <v>22043.949579831933</v>
      </c>
      <c r="K20" s="582">
        <f t="shared" si="1"/>
        <v>0</v>
      </c>
      <c r="L20" s="582">
        <f t="shared" si="1"/>
        <v>0</v>
      </c>
      <c r="M20" s="582"/>
      <c r="N20" s="582"/>
      <c r="O20" s="601">
        <f>SUM(O17:O19)</f>
        <v>41364.847058823536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13037</v>
      </c>
      <c r="C28" s="796">
        <v>2310</v>
      </c>
      <c r="D28" s="653" t="s">
        <v>890</v>
      </c>
      <c r="E28" s="652" t="s">
        <v>891</v>
      </c>
      <c r="F28" s="652" t="s">
        <v>892</v>
      </c>
      <c r="G28" s="652" t="s">
        <v>893</v>
      </c>
      <c r="H28" s="652" t="s">
        <v>894</v>
      </c>
      <c r="I28" s="652" t="s">
        <v>895</v>
      </c>
      <c r="J28" s="795">
        <v>39240</v>
      </c>
      <c r="K28" s="795">
        <v>38534</v>
      </c>
      <c r="L28" s="652" t="s">
        <v>896</v>
      </c>
      <c r="M28" s="652">
        <v>5145</v>
      </c>
      <c r="N28" s="652">
        <v>23152.499999999996</v>
      </c>
      <c r="O28" s="652">
        <v>33074.999999999993</v>
      </c>
      <c r="P28" s="652">
        <v>66150</v>
      </c>
      <c r="Q28" s="652">
        <v>0</v>
      </c>
      <c r="R28" s="652">
        <v>0</v>
      </c>
      <c r="S28" s="652">
        <v>0</v>
      </c>
      <c r="T28" s="652">
        <v>0</v>
      </c>
      <c r="U28" s="652">
        <v>0</v>
      </c>
      <c r="V28" s="652">
        <v>0</v>
      </c>
      <c r="W28" s="652">
        <v>0</v>
      </c>
      <c r="X28" s="652">
        <v>10</v>
      </c>
      <c r="Y28" s="652" t="s">
        <v>112</v>
      </c>
      <c r="Z28" s="654" t="s">
        <v>112</v>
      </c>
    </row>
    <row r="29" spans="1:26" s="606" customFormat="1" ht="25.5">
      <c r="A29" s="605"/>
      <c r="B29" s="796">
        <v>13037</v>
      </c>
      <c r="C29" s="796">
        <v>2310</v>
      </c>
      <c r="D29" s="653" t="s">
        <v>897</v>
      </c>
      <c r="E29" s="652" t="s">
        <v>898</v>
      </c>
      <c r="F29" s="652" t="s">
        <v>899</v>
      </c>
      <c r="G29" s="652" t="s">
        <v>893</v>
      </c>
      <c r="H29" s="652" t="s">
        <v>894</v>
      </c>
      <c r="I29" s="652" t="s">
        <v>898</v>
      </c>
      <c r="J29" s="795">
        <v>40941</v>
      </c>
      <c r="K29" s="795">
        <v>39554</v>
      </c>
      <c r="L29" s="652" t="s">
        <v>896</v>
      </c>
      <c r="M29" s="652">
        <v>6900</v>
      </c>
      <c r="N29" s="652">
        <v>31050</v>
      </c>
      <c r="O29" s="652">
        <v>44357.142857142855</v>
      </c>
      <c r="P29" s="652">
        <v>88714.285714285725</v>
      </c>
      <c r="Q29" s="652">
        <v>0</v>
      </c>
      <c r="R29" s="652">
        <v>0</v>
      </c>
      <c r="S29" s="652">
        <v>0</v>
      </c>
      <c r="T29" s="652">
        <v>0</v>
      </c>
      <c r="U29" s="652">
        <v>0</v>
      </c>
      <c r="V29" s="652">
        <v>0</v>
      </c>
      <c r="W29" s="652">
        <v>0</v>
      </c>
      <c r="X29" s="652">
        <v>10</v>
      </c>
      <c r="Y29" s="652" t="s">
        <v>112</v>
      </c>
      <c r="Z29" s="654" t="s">
        <v>112</v>
      </c>
    </row>
    <row r="30" spans="1:26" s="606" customFormat="1" ht="25.5">
      <c r="A30" s="605"/>
      <c r="B30" s="796">
        <v>13037</v>
      </c>
      <c r="C30" s="796">
        <v>2310</v>
      </c>
      <c r="D30" s="653" t="s">
        <v>900</v>
      </c>
      <c r="E30" s="652" t="s">
        <v>901</v>
      </c>
      <c r="F30" s="652" t="s">
        <v>902</v>
      </c>
      <c r="G30" s="652" t="s">
        <v>893</v>
      </c>
      <c r="H30" s="652" t="s">
        <v>894</v>
      </c>
      <c r="I30" s="652" t="s">
        <v>901</v>
      </c>
      <c r="J30" s="795">
        <v>39717</v>
      </c>
      <c r="K30" s="795">
        <v>39722</v>
      </c>
      <c r="L30" s="652" t="s">
        <v>896</v>
      </c>
      <c r="M30" s="652">
        <v>1400</v>
      </c>
      <c r="N30" s="652">
        <v>6300</v>
      </c>
      <c r="O30" s="652">
        <v>9000</v>
      </c>
      <c r="P30" s="652">
        <v>18000</v>
      </c>
      <c r="Q30" s="652">
        <v>0</v>
      </c>
      <c r="R30" s="652">
        <v>0</v>
      </c>
      <c r="S30" s="652">
        <v>0</v>
      </c>
      <c r="T30" s="652">
        <v>0</v>
      </c>
      <c r="U30" s="652">
        <v>0</v>
      </c>
      <c r="V30" s="652">
        <v>0</v>
      </c>
      <c r="W30" s="652">
        <v>0</v>
      </c>
      <c r="X30" s="652">
        <v>10</v>
      </c>
      <c r="Y30" s="652" t="s">
        <v>112</v>
      </c>
      <c r="Z30" s="654" t="s">
        <v>112</v>
      </c>
    </row>
    <row r="31" spans="1:26" s="606" customFormat="1" ht="25.5">
      <c r="A31" s="605"/>
      <c r="B31" s="796">
        <v>13037</v>
      </c>
      <c r="C31" s="796">
        <v>2310</v>
      </c>
      <c r="D31" s="653" t="s">
        <v>903</v>
      </c>
      <c r="E31" s="652" t="s">
        <v>904</v>
      </c>
      <c r="F31" s="652" t="s">
        <v>905</v>
      </c>
      <c r="G31" s="652" t="s">
        <v>893</v>
      </c>
      <c r="H31" s="652" t="s">
        <v>894</v>
      </c>
      <c r="I31" s="652" t="s">
        <v>904</v>
      </c>
      <c r="J31" s="795">
        <v>39682</v>
      </c>
      <c r="K31" s="795">
        <v>39728</v>
      </c>
      <c r="L31" s="652" t="s">
        <v>896</v>
      </c>
      <c r="M31" s="652">
        <v>2425</v>
      </c>
      <c r="N31" s="652">
        <v>10912.5</v>
      </c>
      <c r="O31" s="652">
        <v>15589.285714285714</v>
      </c>
      <c r="P31" s="652">
        <v>31178.571428571431</v>
      </c>
      <c r="Q31" s="652">
        <v>0</v>
      </c>
      <c r="R31" s="652">
        <v>0</v>
      </c>
      <c r="S31" s="652">
        <v>0</v>
      </c>
      <c r="T31" s="652">
        <v>0</v>
      </c>
      <c r="U31" s="652">
        <v>0</v>
      </c>
      <c r="V31" s="652">
        <v>0</v>
      </c>
      <c r="W31" s="652">
        <v>0</v>
      </c>
      <c r="X31" s="652">
        <v>10</v>
      </c>
      <c r="Y31" s="652" t="s">
        <v>112</v>
      </c>
      <c r="Z31" s="654" t="s">
        <v>112</v>
      </c>
    </row>
    <row r="32" spans="1:26" s="606" customFormat="1" ht="25.5">
      <c r="A32" s="605"/>
      <c r="B32" s="796">
        <v>13037</v>
      </c>
      <c r="C32" s="796">
        <v>2310</v>
      </c>
      <c r="D32" s="653" t="s">
        <v>906</v>
      </c>
      <c r="E32" s="652" t="s">
        <v>907</v>
      </c>
      <c r="F32" s="652" t="s">
        <v>908</v>
      </c>
      <c r="G32" s="652" t="s">
        <v>893</v>
      </c>
      <c r="H32" s="652" t="s">
        <v>894</v>
      </c>
      <c r="I32" s="652" t="s">
        <v>909</v>
      </c>
      <c r="J32" s="795">
        <v>39710</v>
      </c>
      <c r="K32" s="795">
        <v>39749</v>
      </c>
      <c r="L32" s="652" t="s">
        <v>896</v>
      </c>
      <c r="M32" s="652">
        <v>2905</v>
      </c>
      <c r="N32" s="652">
        <v>13072.5</v>
      </c>
      <c r="O32" s="652">
        <v>18675</v>
      </c>
      <c r="P32" s="652">
        <v>0</v>
      </c>
      <c r="Q32" s="652">
        <v>37350</v>
      </c>
      <c r="R32" s="652">
        <v>0</v>
      </c>
      <c r="S32" s="652">
        <v>0</v>
      </c>
      <c r="T32" s="652">
        <v>0</v>
      </c>
      <c r="U32" s="652">
        <v>0</v>
      </c>
      <c r="V32" s="652">
        <v>0</v>
      </c>
      <c r="W32" s="652">
        <v>0</v>
      </c>
      <c r="X32" s="652">
        <v>10</v>
      </c>
      <c r="Y32" s="652" t="s">
        <v>112</v>
      </c>
      <c r="Z32" s="654" t="s">
        <v>112</v>
      </c>
    </row>
    <row r="33" spans="1:26" s="606" customFormat="1" ht="25.5">
      <c r="A33" s="605"/>
      <c r="B33" s="796">
        <v>13037</v>
      </c>
      <c r="C33" s="796">
        <v>2310</v>
      </c>
      <c r="D33" s="653" t="s">
        <v>910</v>
      </c>
      <c r="E33" s="652" t="s">
        <v>911</v>
      </c>
      <c r="F33" s="652" t="s">
        <v>912</v>
      </c>
      <c r="G33" s="652" t="s">
        <v>893</v>
      </c>
      <c r="H33" s="652" t="s">
        <v>894</v>
      </c>
      <c r="I33" s="652" t="s">
        <v>911</v>
      </c>
      <c r="J33" s="795">
        <v>39791</v>
      </c>
      <c r="K33" s="795">
        <v>39819</v>
      </c>
      <c r="L33" s="652" t="s">
        <v>896</v>
      </c>
      <c r="M33" s="652">
        <v>4028</v>
      </c>
      <c r="N33" s="652">
        <v>18125.999999999996</v>
      </c>
      <c r="O33" s="652">
        <v>25894.28571428571</v>
      </c>
      <c r="P33" s="652">
        <v>51788.57142857142</v>
      </c>
      <c r="Q33" s="652">
        <v>0</v>
      </c>
      <c r="R33" s="652">
        <v>0</v>
      </c>
      <c r="S33" s="652">
        <v>0</v>
      </c>
      <c r="T33" s="652">
        <v>0</v>
      </c>
      <c r="U33" s="652">
        <v>0</v>
      </c>
      <c r="V33" s="652">
        <v>0</v>
      </c>
      <c r="W33" s="652">
        <v>0</v>
      </c>
      <c r="X33" s="652">
        <v>10</v>
      </c>
      <c r="Y33" s="652" t="s">
        <v>112</v>
      </c>
      <c r="Z33" s="654" t="s">
        <v>112</v>
      </c>
    </row>
    <row r="34" spans="1:26" s="606" customFormat="1" ht="25.5">
      <c r="A34" s="605"/>
      <c r="B34" s="796">
        <v>13037</v>
      </c>
      <c r="C34" s="796">
        <v>2310</v>
      </c>
      <c r="D34" s="653" t="s">
        <v>913</v>
      </c>
      <c r="E34" s="652" t="s">
        <v>914</v>
      </c>
      <c r="F34" s="652" t="s">
        <v>915</v>
      </c>
      <c r="G34" s="652" t="s">
        <v>893</v>
      </c>
      <c r="H34" s="652" t="s">
        <v>894</v>
      </c>
      <c r="I34" s="652" t="s">
        <v>914</v>
      </c>
      <c r="J34" s="795">
        <v>39826</v>
      </c>
      <c r="K34" s="795">
        <v>39826</v>
      </c>
      <c r="L34" s="652" t="s">
        <v>896</v>
      </c>
      <c r="M34" s="652">
        <v>2941</v>
      </c>
      <c r="N34" s="652">
        <v>13234.5</v>
      </c>
      <c r="O34" s="652">
        <v>18906.428571428572</v>
      </c>
      <c r="P34" s="652">
        <v>37812.857142857145</v>
      </c>
      <c r="Q34" s="652">
        <v>0</v>
      </c>
      <c r="R34" s="652">
        <v>0</v>
      </c>
      <c r="S34" s="652">
        <v>0</v>
      </c>
      <c r="T34" s="652">
        <v>0</v>
      </c>
      <c r="U34" s="652">
        <v>0</v>
      </c>
      <c r="V34" s="652">
        <v>0</v>
      </c>
      <c r="W34" s="652">
        <v>0</v>
      </c>
      <c r="X34" s="652">
        <v>10</v>
      </c>
      <c r="Y34" s="652" t="s">
        <v>112</v>
      </c>
      <c r="Z34" s="654" t="s">
        <v>112</v>
      </c>
    </row>
    <row r="35" spans="1:26" s="606" customFormat="1" ht="25.5">
      <c r="A35" s="605"/>
      <c r="B35" s="796">
        <v>13037</v>
      </c>
      <c r="C35" s="796">
        <v>2310</v>
      </c>
      <c r="D35" s="653" t="s">
        <v>916</v>
      </c>
      <c r="E35" s="652" t="s">
        <v>917</v>
      </c>
      <c r="F35" s="652" t="s">
        <v>918</v>
      </c>
      <c r="G35" s="652" t="s">
        <v>893</v>
      </c>
      <c r="H35" s="652" t="s">
        <v>894</v>
      </c>
      <c r="I35" s="652" t="s">
        <v>917</v>
      </c>
      <c r="J35" s="795">
        <v>39959</v>
      </c>
      <c r="K35" s="795">
        <v>39959</v>
      </c>
      <c r="L35" s="652" t="s">
        <v>896</v>
      </c>
      <c r="M35" s="652">
        <v>1558</v>
      </c>
      <c r="N35" s="652">
        <v>7011</v>
      </c>
      <c r="O35" s="652">
        <v>10015.714285714286</v>
      </c>
      <c r="P35" s="652">
        <v>20031.428571428572</v>
      </c>
      <c r="Q35" s="652">
        <v>0</v>
      </c>
      <c r="R35" s="652">
        <v>0</v>
      </c>
      <c r="S35" s="652">
        <v>0</v>
      </c>
      <c r="T35" s="652">
        <v>0</v>
      </c>
      <c r="U35" s="652">
        <v>0</v>
      </c>
      <c r="V35" s="652">
        <v>0</v>
      </c>
      <c r="W35" s="652">
        <v>0</v>
      </c>
      <c r="X35" s="652">
        <v>10</v>
      </c>
      <c r="Y35" s="652" t="s">
        <v>112</v>
      </c>
      <c r="Z35" s="654" t="s">
        <v>112</v>
      </c>
    </row>
    <row r="36" spans="1:26" s="606" customFormat="1" ht="25.5">
      <c r="A36" s="605"/>
      <c r="B36" s="796">
        <v>13037</v>
      </c>
      <c r="C36" s="796">
        <v>2310</v>
      </c>
      <c r="D36" s="653" t="s">
        <v>919</v>
      </c>
      <c r="E36" s="652" t="s">
        <v>920</v>
      </c>
      <c r="F36" s="652" t="s">
        <v>921</v>
      </c>
      <c r="G36" s="652" t="s">
        <v>893</v>
      </c>
      <c r="H36" s="652" t="s">
        <v>894</v>
      </c>
      <c r="I36" s="652" t="s">
        <v>922</v>
      </c>
      <c r="J36" s="795">
        <v>41172</v>
      </c>
      <c r="K36" s="795">
        <v>41275</v>
      </c>
      <c r="L36" s="652" t="s">
        <v>896</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25.5">
      <c r="A37" s="605"/>
      <c r="B37" s="796">
        <v>13037</v>
      </c>
      <c r="C37" s="796">
        <v>2310</v>
      </c>
      <c r="D37" s="653" t="s">
        <v>903</v>
      </c>
      <c r="E37" s="652" t="s">
        <v>904</v>
      </c>
      <c r="F37" s="652" t="s">
        <v>923</v>
      </c>
      <c r="G37" s="652" t="s">
        <v>893</v>
      </c>
      <c r="H37" s="652" t="s">
        <v>894</v>
      </c>
      <c r="I37" s="652" t="s">
        <v>924</v>
      </c>
      <c r="J37" s="795">
        <v>41676</v>
      </c>
      <c r="K37" s="795">
        <v>41680</v>
      </c>
      <c r="L37" s="652" t="s">
        <v>896</v>
      </c>
      <c r="M37" s="652">
        <v>2679</v>
      </c>
      <c r="N37" s="652">
        <v>12055.5</v>
      </c>
      <c r="O37" s="652">
        <v>17222.142857142859</v>
      </c>
      <c r="P37" s="652">
        <v>34444.285714285717</v>
      </c>
      <c r="Q37" s="652">
        <v>0</v>
      </c>
      <c r="R37" s="652">
        <v>0</v>
      </c>
      <c r="S37" s="652">
        <v>0</v>
      </c>
      <c r="T37" s="652">
        <v>0</v>
      </c>
      <c r="U37" s="652">
        <v>0</v>
      </c>
      <c r="V37" s="652">
        <v>0</v>
      </c>
      <c r="W37" s="652">
        <v>0</v>
      </c>
      <c r="X37" s="652">
        <v>10</v>
      </c>
      <c r="Y37" s="652" t="s">
        <v>112</v>
      </c>
      <c r="Z37" s="654" t="s">
        <v>112</v>
      </c>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29990.7</v>
      </c>
      <c r="N58" s="610">
        <f>SUM(N28:N57)</f>
        <v>134958.15</v>
      </c>
      <c r="O58" s="610">
        <f t="shared" ref="O58:W58" si="2">SUM(O28:O57)</f>
        <v>192797.35714285713</v>
      </c>
      <c r="P58" s="610">
        <f t="shared" si="2"/>
        <v>348120.00000000006</v>
      </c>
      <c r="Q58" s="610">
        <f t="shared" si="2"/>
        <v>37474.714285714283</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29990.7</v>
      </c>
      <c r="N61" s="615">
        <f t="shared" si="4"/>
        <v>134958.15</v>
      </c>
      <c r="O61" s="615">
        <f t="shared" si="4"/>
        <v>192797.35714285713</v>
      </c>
      <c r="P61" s="615">
        <f t="shared" si="4"/>
        <v>348120.00000000006</v>
      </c>
      <c r="Q61" s="615">
        <f t="shared" si="4"/>
        <v>37474.714285714283</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143343.52941176473</v>
      </c>
      <c r="C101" s="644">
        <f t="shared" si="9"/>
        <v>15430.764705882351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204776.47058823533</v>
      </c>
      <c r="C102" s="647">
        <f t="shared" si="10"/>
        <v>22043.949579831933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22558.674579119801</v>
      </c>
      <c r="C4" s="477">
        <f>huishoudens!C8</f>
        <v>0</v>
      </c>
      <c r="D4" s="477">
        <f>huishoudens!D8</f>
        <v>46341.134094397996</v>
      </c>
      <c r="E4" s="477">
        <f>huishoudens!E8</f>
        <v>5822.9752120983794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15232.031028301208</v>
      </c>
      <c r="O4" s="477">
        <f>huishoudens!O8</f>
        <v>157.89666666666668</v>
      </c>
      <c r="P4" s="478">
        <f>huishoudens!P8</f>
        <v>877.06666666666661</v>
      </c>
      <c r="Q4" s="479">
        <f>SUM(B4:P4)</f>
        <v>90989.77824725071</v>
      </c>
    </row>
    <row r="5" spans="1:17">
      <c r="A5" s="476" t="s">
        <v>156</v>
      </c>
      <c r="B5" s="477">
        <f ca="1">tertiair!B16</f>
        <v>21437.546457461998</v>
      </c>
      <c r="C5" s="477">
        <f ca="1">tertiair!C16</f>
        <v>0</v>
      </c>
      <c r="D5" s="477">
        <f ca="1">tertiair!D16</f>
        <v>10798.557028405938</v>
      </c>
      <c r="E5" s="477">
        <f>tertiair!E16</f>
        <v>402.59326058896625</v>
      </c>
      <c r="F5" s="477">
        <f ca="1">tertiair!F16</f>
        <v>5430.2721617022107</v>
      </c>
      <c r="G5" s="477">
        <f>tertiair!G16</f>
        <v>0</v>
      </c>
      <c r="H5" s="477">
        <f>tertiair!H16</f>
        <v>0</v>
      </c>
      <c r="I5" s="477">
        <f>tertiair!I16</f>
        <v>0</v>
      </c>
      <c r="J5" s="477">
        <f>tertiair!J16</f>
        <v>0</v>
      </c>
      <c r="K5" s="477">
        <f>tertiair!K16</f>
        <v>0</v>
      </c>
      <c r="L5" s="477">
        <f ca="1">tertiair!L16</f>
        <v>0</v>
      </c>
      <c r="M5" s="477">
        <f>tertiair!M16</f>
        <v>0</v>
      </c>
      <c r="N5" s="477">
        <f ca="1">tertiair!N16</f>
        <v>3452.2054369016532</v>
      </c>
      <c r="O5" s="477">
        <f>tertiair!O16</f>
        <v>1.5633333333333335</v>
      </c>
      <c r="P5" s="478">
        <f>tertiair!P16</f>
        <v>19.066666666666666</v>
      </c>
      <c r="Q5" s="476">
        <f t="shared" ref="Q5:Q14" ca="1" si="0">SUM(B5:P5)</f>
        <v>41541.804345060758</v>
      </c>
    </row>
    <row r="6" spans="1:17">
      <c r="A6" s="476" t="s">
        <v>194</v>
      </c>
      <c r="B6" s="477">
        <f>'openbare verlichting'!B8</f>
        <v>721.63599999999997</v>
      </c>
      <c r="C6" s="477"/>
      <c r="D6" s="477"/>
      <c r="E6" s="477"/>
      <c r="F6" s="477"/>
      <c r="G6" s="477"/>
      <c r="H6" s="477"/>
      <c r="I6" s="477"/>
      <c r="J6" s="477"/>
      <c r="K6" s="477"/>
      <c r="L6" s="477"/>
      <c r="M6" s="477"/>
      <c r="N6" s="477"/>
      <c r="O6" s="477"/>
      <c r="P6" s="478"/>
      <c r="Q6" s="476">
        <f t="shared" si="0"/>
        <v>721.63599999999997</v>
      </c>
    </row>
    <row r="7" spans="1:17">
      <c r="A7" s="476" t="s">
        <v>112</v>
      </c>
      <c r="B7" s="477">
        <f>landbouw!B8</f>
        <v>5249.0862791830004</v>
      </c>
      <c r="C7" s="477">
        <f>landbouw!C8</f>
        <v>192797.35714285713</v>
      </c>
      <c r="D7" s="477">
        <f>landbouw!D8</f>
        <v>0</v>
      </c>
      <c r="E7" s="477">
        <f>landbouw!E8</f>
        <v>135.35378097893596</v>
      </c>
      <c r="F7" s="477">
        <f>landbouw!F8</f>
        <v>19186.409990336084</v>
      </c>
      <c r="G7" s="477">
        <f>landbouw!G8</f>
        <v>0</v>
      </c>
      <c r="H7" s="477">
        <f>landbouw!H8</f>
        <v>0</v>
      </c>
      <c r="I7" s="477">
        <f>landbouw!I8</f>
        <v>0</v>
      </c>
      <c r="J7" s="477">
        <f>landbouw!J8</f>
        <v>755.67532786544734</v>
      </c>
      <c r="K7" s="477">
        <f>landbouw!K8</f>
        <v>0</v>
      </c>
      <c r="L7" s="477">
        <f>landbouw!L8</f>
        <v>0</v>
      </c>
      <c r="M7" s="477">
        <f>landbouw!M8</f>
        <v>0</v>
      </c>
      <c r="N7" s="477">
        <f>landbouw!N8</f>
        <v>0</v>
      </c>
      <c r="O7" s="477">
        <f>landbouw!O8</f>
        <v>0</v>
      </c>
      <c r="P7" s="478">
        <f>landbouw!P8</f>
        <v>0</v>
      </c>
      <c r="Q7" s="476">
        <f t="shared" si="0"/>
        <v>218123.8825212206</v>
      </c>
    </row>
    <row r="8" spans="1:17">
      <c r="A8" s="476" t="s">
        <v>638</v>
      </c>
      <c r="B8" s="477">
        <f>industrie!B18</f>
        <v>13769.113910485459</v>
      </c>
      <c r="C8" s="477">
        <f>industrie!C18</f>
        <v>0</v>
      </c>
      <c r="D8" s="477">
        <f>industrie!D18</f>
        <v>18838.344795719855</v>
      </c>
      <c r="E8" s="477">
        <f>industrie!E18</f>
        <v>1426.8889985655273</v>
      </c>
      <c r="F8" s="477">
        <f>industrie!F18</f>
        <v>5331.450280864261</v>
      </c>
      <c r="G8" s="477">
        <f>industrie!G18</f>
        <v>0</v>
      </c>
      <c r="H8" s="477">
        <f>industrie!H18</f>
        <v>0</v>
      </c>
      <c r="I8" s="477">
        <f>industrie!I18</f>
        <v>0</v>
      </c>
      <c r="J8" s="477">
        <f>industrie!J18</f>
        <v>76.958110341320165</v>
      </c>
      <c r="K8" s="477">
        <f>industrie!K18</f>
        <v>0</v>
      </c>
      <c r="L8" s="477">
        <f>industrie!L18</f>
        <v>0</v>
      </c>
      <c r="M8" s="477">
        <f>industrie!M18</f>
        <v>0</v>
      </c>
      <c r="N8" s="477">
        <f>industrie!N18</f>
        <v>3160.8268401671867</v>
      </c>
      <c r="O8" s="477">
        <f>industrie!O18</f>
        <v>0</v>
      </c>
      <c r="P8" s="478">
        <f>industrie!P18</f>
        <v>0</v>
      </c>
      <c r="Q8" s="476">
        <f t="shared" si="0"/>
        <v>42603.582936143612</v>
      </c>
    </row>
    <row r="9" spans="1:17" s="482" customFormat="1">
      <c r="A9" s="480" t="s">
        <v>564</v>
      </c>
      <c r="B9" s="481">
        <f>transport!B14</f>
        <v>13.270557815420483</v>
      </c>
      <c r="C9" s="481">
        <f>transport!C14</f>
        <v>0</v>
      </c>
      <c r="D9" s="481">
        <f>transport!D14</f>
        <v>29.598433856993619</v>
      </c>
      <c r="E9" s="481">
        <f>transport!E14</f>
        <v>114.28513297923419</v>
      </c>
      <c r="F9" s="481">
        <f>transport!F14</f>
        <v>0</v>
      </c>
      <c r="G9" s="481">
        <f>transport!G14</f>
        <v>43095.872840693017</v>
      </c>
      <c r="H9" s="481">
        <f>transport!H14</f>
        <v>7957.4998922190853</v>
      </c>
      <c r="I9" s="481">
        <f>transport!I14</f>
        <v>0</v>
      </c>
      <c r="J9" s="481">
        <f>transport!J14</f>
        <v>0</v>
      </c>
      <c r="K9" s="481">
        <f>transport!K14</f>
        <v>0</v>
      </c>
      <c r="L9" s="481">
        <f>transport!L14</f>
        <v>0</v>
      </c>
      <c r="M9" s="481">
        <f>transport!M14</f>
        <v>1596.1385438178627</v>
      </c>
      <c r="N9" s="481">
        <f>transport!N14</f>
        <v>0</v>
      </c>
      <c r="O9" s="481">
        <f>transport!O14</f>
        <v>0</v>
      </c>
      <c r="P9" s="481">
        <f>transport!P14</f>
        <v>0</v>
      </c>
      <c r="Q9" s="480">
        <f>SUM(B9:P9)</f>
        <v>52806.665401381615</v>
      </c>
    </row>
    <row r="10" spans="1:17">
      <c r="A10" s="476" t="s">
        <v>554</v>
      </c>
      <c r="B10" s="477">
        <f>transport!B54</f>
        <v>0</v>
      </c>
      <c r="C10" s="477">
        <f>transport!C54</f>
        <v>0</v>
      </c>
      <c r="D10" s="477">
        <f>transport!D54</f>
        <v>0</v>
      </c>
      <c r="E10" s="477">
        <f>transport!E54</f>
        <v>0</v>
      </c>
      <c r="F10" s="477">
        <f>transport!F54</f>
        <v>0</v>
      </c>
      <c r="G10" s="477">
        <f>transport!G54</f>
        <v>1368.6167942107891</v>
      </c>
      <c r="H10" s="477">
        <f>transport!H54</f>
        <v>0</v>
      </c>
      <c r="I10" s="477">
        <f>transport!I54</f>
        <v>0</v>
      </c>
      <c r="J10" s="477">
        <f>transport!J54</f>
        <v>0</v>
      </c>
      <c r="K10" s="477">
        <f>transport!K54</f>
        <v>0</v>
      </c>
      <c r="L10" s="477">
        <f>transport!L54</f>
        <v>0</v>
      </c>
      <c r="M10" s="477">
        <f>transport!M54</f>
        <v>42.45143111144116</v>
      </c>
      <c r="N10" s="477">
        <f>transport!N54</f>
        <v>0</v>
      </c>
      <c r="O10" s="477">
        <f>transport!O54</f>
        <v>0</v>
      </c>
      <c r="P10" s="478">
        <f>transport!P54</f>
        <v>0</v>
      </c>
      <c r="Q10" s="476">
        <f t="shared" si="0"/>
        <v>1411.0682253222303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748.61956156999997</v>
      </c>
      <c r="C14" s="484"/>
      <c r="D14" s="484">
        <f>'SEAP template'!E25</f>
        <v>743.28802546000009</v>
      </c>
      <c r="E14" s="484"/>
      <c r="F14" s="484"/>
      <c r="G14" s="484"/>
      <c r="H14" s="484"/>
      <c r="I14" s="484"/>
      <c r="J14" s="484"/>
      <c r="K14" s="484"/>
      <c r="L14" s="484"/>
      <c r="M14" s="484"/>
      <c r="N14" s="484"/>
      <c r="O14" s="484"/>
      <c r="P14" s="485"/>
      <c r="Q14" s="476">
        <f t="shared" si="0"/>
        <v>1491.9075870300001</v>
      </c>
    </row>
    <row r="15" spans="1:17" s="486" customFormat="1">
      <c r="A15" s="1038" t="s">
        <v>558</v>
      </c>
      <c r="B15" s="978">
        <f ca="1">SUM(B4:B14)</f>
        <v>64497.947345635679</v>
      </c>
      <c r="C15" s="978">
        <f t="shared" ref="C15:Q15" ca="1" si="1">SUM(C4:C14)</f>
        <v>192797.35714285713</v>
      </c>
      <c r="D15" s="978">
        <f t="shared" ca="1" si="1"/>
        <v>76750.92237784079</v>
      </c>
      <c r="E15" s="978">
        <f t="shared" si="1"/>
        <v>7902.0963852110435</v>
      </c>
      <c r="F15" s="978">
        <f t="shared" ca="1" si="1"/>
        <v>29948.132432902556</v>
      </c>
      <c r="G15" s="978">
        <f t="shared" si="1"/>
        <v>44464.489634903803</v>
      </c>
      <c r="H15" s="978">
        <f t="shared" si="1"/>
        <v>7957.4998922190853</v>
      </c>
      <c r="I15" s="978">
        <f t="shared" si="1"/>
        <v>0</v>
      </c>
      <c r="J15" s="978">
        <f t="shared" si="1"/>
        <v>832.63343820676755</v>
      </c>
      <c r="K15" s="978">
        <f t="shared" si="1"/>
        <v>0</v>
      </c>
      <c r="L15" s="978">
        <f t="shared" ca="1" si="1"/>
        <v>0</v>
      </c>
      <c r="M15" s="978">
        <f t="shared" si="1"/>
        <v>1638.5899749293039</v>
      </c>
      <c r="N15" s="978">
        <f t="shared" ca="1" si="1"/>
        <v>21845.063305370051</v>
      </c>
      <c r="O15" s="978">
        <f t="shared" si="1"/>
        <v>159.46</v>
      </c>
      <c r="P15" s="978">
        <f t="shared" si="1"/>
        <v>896.13333333333333</v>
      </c>
      <c r="Q15" s="978">
        <f t="shared" ca="1" si="1"/>
        <v>449690.32526340953</v>
      </c>
    </row>
    <row r="17" spans="1:17">
      <c r="A17" s="487" t="s">
        <v>559</v>
      </c>
      <c r="B17" s="786">
        <f ca="1">huishoudens!B10</f>
        <v>0.20730392333460629</v>
      </c>
      <c r="C17" s="786">
        <f ca="1">huishoudens!C10</f>
        <v>0.2145509029367732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4676.5017454801828</v>
      </c>
      <c r="C22" s="477">
        <f t="shared" ref="C22:C32" ca="1" si="3">C4*$C$17</f>
        <v>0</v>
      </c>
      <c r="D22" s="477">
        <f t="shared" ref="D22:D32" si="4">D4*$D$17</f>
        <v>9360.9090870683958</v>
      </c>
      <c r="E22" s="477">
        <f t="shared" ref="E22:E32" si="5">E4*$E$17</f>
        <v>1321.8153731463321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15359.226205694911</v>
      </c>
    </row>
    <row r="23" spans="1:17">
      <c r="A23" s="476" t="s">
        <v>156</v>
      </c>
      <c r="B23" s="477">
        <f t="shared" ca="1" si="2"/>
        <v>4444.0874872997629</v>
      </c>
      <c r="C23" s="477">
        <f t="shared" ca="1" si="3"/>
        <v>0</v>
      </c>
      <c r="D23" s="477">
        <f t="shared" ca="1" si="4"/>
        <v>2181.3085197379996</v>
      </c>
      <c r="E23" s="477">
        <f t="shared" si="5"/>
        <v>91.388670153695344</v>
      </c>
      <c r="F23" s="477">
        <f t="shared" ca="1" si="6"/>
        <v>1449.8826671744903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8166.6673443659483</v>
      </c>
    </row>
    <row r="24" spans="1:17">
      <c r="A24" s="476" t="s">
        <v>194</v>
      </c>
      <c r="B24" s="477">
        <f t="shared" ca="1" si="2"/>
        <v>149.59797401949194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149.59797401949194</v>
      </c>
    </row>
    <row r="25" spans="1:17">
      <c r="A25" s="476" t="s">
        <v>112</v>
      </c>
      <c r="B25" s="477">
        <f t="shared" ca="1" si="2"/>
        <v>1088.1561795964865</v>
      </c>
      <c r="C25" s="477">
        <f t="shared" ca="1" si="3"/>
        <v>41364.847058823536</v>
      </c>
      <c r="D25" s="477">
        <f t="shared" si="4"/>
        <v>0</v>
      </c>
      <c r="E25" s="477">
        <f t="shared" si="5"/>
        <v>30.725308282218464</v>
      </c>
      <c r="F25" s="477">
        <f t="shared" si="6"/>
        <v>5122.771467419735</v>
      </c>
      <c r="G25" s="477">
        <f t="shared" si="7"/>
        <v>0</v>
      </c>
      <c r="H25" s="477">
        <f t="shared" si="8"/>
        <v>0</v>
      </c>
      <c r="I25" s="477">
        <f t="shared" si="9"/>
        <v>0</v>
      </c>
      <c r="J25" s="477">
        <f t="shared" si="10"/>
        <v>267.50906606436837</v>
      </c>
      <c r="K25" s="477">
        <f t="shared" si="11"/>
        <v>0</v>
      </c>
      <c r="L25" s="477">
        <f t="shared" si="12"/>
        <v>0</v>
      </c>
      <c r="M25" s="477">
        <f t="shared" si="13"/>
        <v>0</v>
      </c>
      <c r="N25" s="477">
        <f t="shared" si="14"/>
        <v>0</v>
      </c>
      <c r="O25" s="477">
        <f t="shared" si="15"/>
        <v>0</v>
      </c>
      <c r="P25" s="478">
        <f t="shared" si="16"/>
        <v>0</v>
      </c>
      <c r="Q25" s="476">
        <f t="shared" ca="1" si="17"/>
        <v>47874.009080186348</v>
      </c>
    </row>
    <row r="26" spans="1:17">
      <c r="A26" s="476" t="s">
        <v>638</v>
      </c>
      <c r="B26" s="477">
        <f t="shared" ca="1" si="2"/>
        <v>2854.3913344847388</v>
      </c>
      <c r="C26" s="477">
        <f t="shared" ca="1" si="3"/>
        <v>0</v>
      </c>
      <c r="D26" s="477">
        <f t="shared" si="4"/>
        <v>3805.345648735411</v>
      </c>
      <c r="E26" s="477">
        <f t="shared" si="5"/>
        <v>323.90380267437473</v>
      </c>
      <c r="F26" s="477">
        <f t="shared" si="6"/>
        <v>1423.4972249907578</v>
      </c>
      <c r="G26" s="477">
        <f t="shared" si="7"/>
        <v>0</v>
      </c>
      <c r="H26" s="477">
        <f t="shared" si="8"/>
        <v>0</v>
      </c>
      <c r="I26" s="477">
        <f t="shared" si="9"/>
        <v>0</v>
      </c>
      <c r="J26" s="477">
        <f t="shared" si="10"/>
        <v>27.243171060827336</v>
      </c>
      <c r="K26" s="477">
        <f t="shared" si="11"/>
        <v>0</v>
      </c>
      <c r="L26" s="477">
        <f t="shared" si="12"/>
        <v>0</v>
      </c>
      <c r="M26" s="477">
        <f t="shared" si="13"/>
        <v>0</v>
      </c>
      <c r="N26" s="477">
        <f t="shared" si="14"/>
        <v>0</v>
      </c>
      <c r="O26" s="477">
        <f t="shared" si="15"/>
        <v>0</v>
      </c>
      <c r="P26" s="478">
        <f t="shared" si="16"/>
        <v>0</v>
      </c>
      <c r="Q26" s="476">
        <f t="shared" ca="1" si="17"/>
        <v>8434.3811819461098</v>
      </c>
    </row>
    <row r="27" spans="1:17" s="482" customFormat="1">
      <c r="A27" s="480" t="s">
        <v>564</v>
      </c>
      <c r="B27" s="780">
        <f t="shared" ca="1" si="2"/>
        <v>2.7510386999753882</v>
      </c>
      <c r="C27" s="481">
        <f t="shared" ca="1" si="3"/>
        <v>0</v>
      </c>
      <c r="D27" s="481">
        <f t="shared" si="4"/>
        <v>5.9788836391127118</v>
      </c>
      <c r="E27" s="481">
        <f t="shared" si="5"/>
        <v>25.942725186286161</v>
      </c>
      <c r="F27" s="481">
        <f t="shared" si="6"/>
        <v>0</v>
      </c>
      <c r="G27" s="481">
        <f t="shared" si="7"/>
        <v>11506.598048465035</v>
      </c>
      <c r="H27" s="481">
        <f t="shared" si="8"/>
        <v>1981.4174731625521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13522.688169152962</v>
      </c>
    </row>
    <row r="28" spans="1:17">
      <c r="A28" s="476" t="s">
        <v>554</v>
      </c>
      <c r="B28" s="477">
        <f t="shared" ca="1" si="2"/>
        <v>0</v>
      </c>
      <c r="C28" s="477">
        <f t="shared" ca="1" si="3"/>
        <v>0</v>
      </c>
      <c r="D28" s="477">
        <f t="shared" si="4"/>
        <v>0</v>
      </c>
      <c r="E28" s="477">
        <f t="shared" si="5"/>
        <v>0</v>
      </c>
      <c r="F28" s="477">
        <f t="shared" si="6"/>
        <v>0</v>
      </c>
      <c r="G28" s="477">
        <f t="shared" si="7"/>
        <v>365.42068405428068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365.42068405428068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155.19177219849385</v>
      </c>
      <c r="C32" s="477">
        <f t="shared" ca="1" si="3"/>
        <v>0</v>
      </c>
      <c r="D32" s="477">
        <f t="shared" si="4"/>
        <v>150.14418114292002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305.33595334141387</v>
      </c>
    </row>
    <row r="33" spans="1:17" s="486" customFormat="1">
      <c r="A33" s="1038" t="s">
        <v>558</v>
      </c>
      <c r="B33" s="978">
        <f ca="1">SUM(B22:B32)</f>
        <v>13370.677531779131</v>
      </c>
      <c r="C33" s="978">
        <f t="shared" ref="C33:Q33" ca="1" si="18">SUM(C22:C32)</f>
        <v>41364.847058823536</v>
      </c>
      <c r="D33" s="978">
        <f t="shared" ca="1" si="18"/>
        <v>15503.686320323839</v>
      </c>
      <c r="E33" s="978">
        <f t="shared" si="18"/>
        <v>1793.7758794429069</v>
      </c>
      <c r="F33" s="978">
        <f t="shared" ca="1" si="18"/>
        <v>7996.1513595849829</v>
      </c>
      <c r="G33" s="978">
        <f t="shared" si="18"/>
        <v>11872.018732519316</v>
      </c>
      <c r="H33" s="978">
        <f t="shared" si="18"/>
        <v>1981.4174731625521</v>
      </c>
      <c r="I33" s="978">
        <f t="shared" si="18"/>
        <v>0</v>
      </c>
      <c r="J33" s="978">
        <f t="shared" si="18"/>
        <v>294.75223712519573</v>
      </c>
      <c r="K33" s="978">
        <f t="shared" si="18"/>
        <v>0</v>
      </c>
      <c r="L33" s="978">
        <f t="shared" ca="1" si="18"/>
        <v>0</v>
      </c>
      <c r="M33" s="978">
        <f t="shared" si="18"/>
        <v>0</v>
      </c>
      <c r="N33" s="978">
        <f t="shared" ca="1" si="18"/>
        <v>0</v>
      </c>
      <c r="O33" s="978">
        <f t="shared" si="18"/>
        <v>0</v>
      </c>
      <c r="P33" s="978">
        <f t="shared" si="18"/>
        <v>0</v>
      </c>
      <c r="Q33" s="978">
        <f t="shared" ca="1" si="18"/>
        <v>94177.32659276147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4717.8989401833096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13116.149999999996</v>
      </c>
      <c r="C8" s="1055">
        <f>'SEAP template'!C76</f>
        <v>121842</v>
      </c>
      <c r="D8" s="1055">
        <f>'SEAP template'!D76</f>
        <v>143343.52941176473</v>
      </c>
      <c r="E8" s="1055">
        <f>'SEAP template'!E76</f>
        <v>0</v>
      </c>
      <c r="F8" s="1055">
        <f>'SEAP template'!F76</f>
        <v>0</v>
      </c>
      <c r="G8" s="1055">
        <f>'SEAP template'!G76</f>
        <v>0</v>
      </c>
      <c r="H8" s="1055">
        <f>'SEAP template'!H76</f>
        <v>0</v>
      </c>
      <c r="I8" s="1055">
        <f>'SEAP template'!I76</f>
        <v>0</v>
      </c>
      <c r="J8" s="1055">
        <f>'SEAP template'!J76</f>
        <v>15430.764705882351</v>
      </c>
      <c r="K8" s="1055">
        <f>'SEAP template'!K76</f>
        <v>0</v>
      </c>
      <c r="L8" s="1055">
        <f>'SEAP template'!L76</f>
        <v>0</v>
      </c>
      <c r="M8" s="1055">
        <f>'SEAP template'!M76</f>
        <v>0</v>
      </c>
      <c r="N8" s="1055">
        <f>'SEAP template'!N76</f>
        <v>0</v>
      </c>
      <c r="O8" s="1055">
        <f>'SEAP template'!O76</f>
        <v>0</v>
      </c>
      <c r="P8" s="1056">
        <f>'SEAP template'!Q76</f>
        <v>28955.392941176477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17834.048940183304</v>
      </c>
      <c r="C10" s="1059">
        <f>SUM(C4:C9)</f>
        <v>121842</v>
      </c>
      <c r="D10" s="1059">
        <f t="shared" ref="D10:H10" si="0">SUM(D8:D9)</f>
        <v>143343.52941176473</v>
      </c>
      <c r="E10" s="1059">
        <f t="shared" si="0"/>
        <v>0</v>
      </c>
      <c r="F10" s="1059">
        <f t="shared" si="0"/>
        <v>0</v>
      </c>
      <c r="G10" s="1059">
        <f t="shared" si="0"/>
        <v>0</v>
      </c>
      <c r="H10" s="1059">
        <f t="shared" si="0"/>
        <v>0</v>
      </c>
      <c r="I10" s="1059">
        <f>SUM(I8:I9)</f>
        <v>0</v>
      </c>
      <c r="J10" s="1059">
        <f>SUM(J8:J9)</f>
        <v>15430.764705882351</v>
      </c>
      <c r="K10" s="1059">
        <f t="shared" ref="K10:L10" si="1">SUM(K8:K9)</f>
        <v>0</v>
      </c>
      <c r="L10" s="1059">
        <f t="shared" si="1"/>
        <v>0</v>
      </c>
      <c r="M10" s="1059">
        <f>SUM(M8:M9)</f>
        <v>0</v>
      </c>
      <c r="N10" s="1059">
        <f>SUM(N8:N9)</f>
        <v>0</v>
      </c>
      <c r="O10" s="1059">
        <f>SUM(O8:O9)</f>
        <v>0</v>
      </c>
      <c r="P10" s="1059">
        <f>SUM(P8:P9)</f>
        <v>28955.392941176477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0.20730392333460629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18737.357142857138</v>
      </c>
      <c r="C17" s="1061">
        <f>'SEAP template'!C87</f>
        <v>174060</v>
      </c>
      <c r="D17" s="1056">
        <f>'SEAP template'!D87</f>
        <v>204776.47058823533</v>
      </c>
      <c r="E17" s="1056">
        <f>'SEAP template'!E87</f>
        <v>0</v>
      </c>
      <c r="F17" s="1056">
        <f>'SEAP template'!F87</f>
        <v>0</v>
      </c>
      <c r="G17" s="1056">
        <f>'SEAP template'!G87</f>
        <v>0</v>
      </c>
      <c r="H17" s="1056">
        <f>'SEAP template'!H87</f>
        <v>0</v>
      </c>
      <c r="I17" s="1056">
        <f>'SEAP template'!I87</f>
        <v>0</v>
      </c>
      <c r="J17" s="1056">
        <f>'SEAP template'!J87</f>
        <v>22043.949579831933</v>
      </c>
      <c r="K17" s="1056">
        <f>'SEAP template'!K87</f>
        <v>0</v>
      </c>
      <c r="L17" s="1056">
        <f>'SEAP template'!L87</f>
        <v>0</v>
      </c>
      <c r="M17" s="1056">
        <f>'SEAP template'!M87</f>
        <v>0</v>
      </c>
      <c r="N17" s="1056">
        <f>'SEAP template'!N87</f>
        <v>0</v>
      </c>
      <c r="O17" s="1056">
        <f>'SEAP template'!O87</f>
        <v>0</v>
      </c>
      <c r="P17" s="1056">
        <f>'SEAP template'!Q87</f>
        <v>41364.847058823536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18737.357142857138</v>
      </c>
      <c r="C20" s="1059">
        <f>SUM(C17:C19)</f>
        <v>174060</v>
      </c>
      <c r="D20" s="1059">
        <f t="shared" ref="D20:H20" si="2">SUM(D17:D19)</f>
        <v>204776.47058823533</v>
      </c>
      <c r="E20" s="1059">
        <f t="shared" si="2"/>
        <v>0</v>
      </c>
      <c r="F20" s="1059">
        <f t="shared" si="2"/>
        <v>0</v>
      </c>
      <c r="G20" s="1059">
        <f t="shared" si="2"/>
        <v>0</v>
      </c>
      <c r="H20" s="1059">
        <f t="shared" si="2"/>
        <v>0</v>
      </c>
      <c r="I20" s="1059">
        <f>SUM(I17:I19)</f>
        <v>0</v>
      </c>
      <c r="J20" s="1059">
        <f>SUM(J17:J19)</f>
        <v>22043.949579831933</v>
      </c>
      <c r="K20" s="1059">
        <f t="shared" ref="K20:L20" si="3">SUM(K17:K19)</f>
        <v>0</v>
      </c>
      <c r="L20" s="1059">
        <f t="shared" si="3"/>
        <v>0</v>
      </c>
      <c r="M20" s="1059">
        <f>SUM(M17:M19)</f>
        <v>0</v>
      </c>
      <c r="N20" s="1059">
        <f>SUM(N17:N19)</f>
        <v>0</v>
      </c>
      <c r="O20" s="1059">
        <f>SUM(O17:O19)</f>
        <v>0</v>
      </c>
      <c r="P20" s="1059">
        <f>SUM(P17:P19)</f>
        <v>41364.847058823536</v>
      </c>
    </row>
    <row r="22" spans="1:16">
      <c r="A22" s="487" t="s">
        <v>871</v>
      </c>
      <c r="B22" s="786" t="s">
        <v>865</v>
      </c>
      <c r="C22" s="786">
        <f ca="1">'EF ele_warmte'!B22</f>
        <v>0.2145509029367732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0.20730392333460629</v>
      </c>
      <c r="C17" s="524">
        <f ca="1">'EF ele_warmte'!B22</f>
        <v>0.2145509029367732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2019-08-12T08:23:01Z</dcterms:modified>
</cp:coreProperties>
</file>