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J28"/>
  <c r="J27"/>
  <c r="J32"/>
  <c r="J29"/>
  <c r="J31"/>
  <c r="J24"/>
  <c r="J30"/>
  <c r="O4"/>
  <c r="P11" i="14"/>
  <c r="I27" i="48"/>
  <c r="I32"/>
  <c r="I31"/>
  <c r="I25"/>
  <c r="I29"/>
  <c r="I26"/>
  <c r="I28"/>
  <c r="I30"/>
  <c r="I22"/>
  <c r="I24"/>
  <c r="D4"/>
  <c r="D22" s="1"/>
  <c r="E11" i="14"/>
  <c r="H32" i="48"/>
  <c r="H25"/>
  <c r="H29"/>
  <c r="H26"/>
  <c r="H28"/>
  <c r="H22"/>
  <c r="H30"/>
  <c r="H24"/>
  <c r="H23"/>
  <c r="C24" i="14"/>
  <c r="C26" s="1"/>
  <c r="B7" i="48"/>
  <c r="P4"/>
  <c r="Q11" i="14"/>
  <c r="C4" i="48"/>
  <c r="D11" i="14"/>
  <c r="G32" i="48"/>
  <c r="G25"/>
  <c r="G29"/>
  <c r="G26"/>
  <c r="G24"/>
  <c r="G22"/>
  <c r="G30"/>
  <c r="G23"/>
  <c r="B4"/>
  <c r="C11" i="14"/>
  <c r="F32" i="48"/>
  <c r="F28"/>
  <c r="F27"/>
  <c r="F29"/>
  <c r="F24"/>
  <c r="F31"/>
  <c r="F30"/>
  <c r="N32"/>
  <c r="N28"/>
  <c r="N27"/>
  <c r="N29"/>
  <c r="N24"/>
  <c r="N31"/>
  <c r="N30"/>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7" i="48" l="1"/>
  <c r="J25" s="1"/>
  <c r="K24" i="14"/>
  <c r="K26" s="1"/>
  <c r="C20"/>
  <c r="B9" i="48"/>
  <c r="F4"/>
  <c r="F22" s="1"/>
  <c r="G11" i="14"/>
  <c r="H18"/>
  <c r="G13" i="48"/>
  <c r="H13"/>
  <c r="H31" s="1"/>
  <c r="I18" i="14"/>
  <c r="O22" i="48"/>
  <c r="J12" i="17"/>
  <c r="K54" i="14" s="1"/>
  <c r="K56" s="1"/>
  <c r="E20"/>
  <c r="E22" s="1"/>
  <c r="D9" i="48"/>
  <c r="D27" s="1"/>
  <c r="O5"/>
  <c r="O23" s="1"/>
  <c r="P10" i="14"/>
  <c r="I5" i="48"/>
  <c r="J10" i="14"/>
  <c r="J16" s="1"/>
  <c r="J27" s="1"/>
  <c r="K23" i="48"/>
  <c r="K33" s="1"/>
  <c r="K15"/>
  <c r="M12" i="22"/>
  <c r="M13" i="48"/>
  <c r="M31" s="1"/>
  <c r="N18" i="14"/>
  <c r="P8" i="48"/>
  <c r="P26" s="1"/>
  <c r="Q13" i="14"/>
  <c r="F20"/>
  <c r="F22" s="1"/>
  <c r="E9" i="48"/>
  <c r="E27" s="1"/>
  <c r="P15"/>
  <c r="P22"/>
  <c r="P33" s="1"/>
  <c r="Q16" i="14"/>
  <c r="Q27"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F11"/>
  <c r="R11" s="1"/>
  <c r="E4" i="48"/>
  <c r="N4"/>
  <c r="N22" s="1"/>
  <c r="O11" i="14"/>
  <c r="G10" i="48"/>
  <c r="H19" i="14"/>
  <c r="H22" s="1"/>
  <c r="H27" s="1"/>
  <c r="G31" i="48"/>
  <c r="Q13"/>
  <c r="H20" i="14"/>
  <c r="G9" i="48"/>
  <c r="I20" i="14"/>
  <c r="I22" s="1"/>
  <c r="I27" s="1"/>
  <c r="H9" i="48"/>
  <c r="M10"/>
  <c r="M28" s="1"/>
  <c r="N19" i="14"/>
  <c r="R18"/>
  <c r="J4" i="48"/>
  <c r="K11" i="14"/>
  <c r="E7" i="48"/>
  <c r="E25" s="1"/>
  <c r="F24" i="14"/>
  <c r="F26" s="1"/>
  <c r="O22" i="16"/>
  <c r="P43" i="14" s="1"/>
  <c r="O8" i="48"/>
  <c r="P13" i="14"/>
  <c r="I23" i="48"/>
  <c r="I33" s="1"/>
  <c r="I15"/>
  <c r="J63" i="14"/>
  <c r="P46"/>
  <c r="P61" s="1"/>
  <c r="P63" s="1"/>
  <c r="P16"/>
  <c r="P27" s="1"/>
  <c r="M14" i="22"/>
  <c r="Q63" i="14"/>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I63" l="1"/>
  <c r="H27" i="48"/>
  <c r="H33" s="1"/>
  <c r="H15"/>
  <c r="O26"/>
  <c r="O33" s="1"/>
  <c r="O15"/>
  <c r="E22"/>
  <c r="Q4"/>
  <c r="E5"/>
  <c r="E23" s="1"/>
  <c r="F10" i="14"/>
  <c r="J5" i="48"/>
  <c r="J23" s="1"/>
  <c r="K10" i="14"/>
  <c r="N20"/>
  <c r="N22" s="1"/>
  <c r="N27" s="1"/>
  <c r="M9" i="48"/>
  <c r="J22"/>
  <c r="G28"/>
  <c r="Q10"/>
  <c r="G27"/>
  <c r="G33" s="1"/>
  <c r="G15"/>
  <c r="R24" i="14"/>
  <c r="R26" s="1"/>
  <c r="M18" i="22"/>
  <c r="N50" i="14" s="1"/>
  <c r="N52" s="1"/>
  <c r="N61" s="1"/>
  <c r="R19"/>
  <c r="J20" i="15"/>
  <c r="K40" i="14" s="1"/>
  <c r="Q7" i="48"/>
  <c r="E20" i="15"/>
  <c r="F40" i="14" s="1"/>
  <c r="J18" i="16"/>
  <c r="E18"/>
  <c r="F18"/>
  <c r="F22" s="1"/>
  <c r="G43" i="14" s="1"/>
  <c r="N18" i="16"/>
  <c r="G18" i="22"/>
  <c r="H50" i="14" s="1"/>
  <c r="H52" s="1"/>
  <c r="H61" s="1"/>
  <c r="H63" s="1"/>
  <c r="H18" i="22"/>
  <c r="I50" i="14" s="1"/>
  <c r="I52" s="1"/>
  <c r="I61" s="1"/>
  <c r="J22" i="16" l="1"/>
  <c r="K43" i="14" s="1"/>
  <c r="J8" i="48"/>
  <c r="J26" s="1"/>
  <c r="K13" i="14"/>
  <c r="M27" i="48"/>
  <c r="M33" s="1"/>
  <c r="M15"/>
  <c r="Q9"/>
  <c r="F16" i="14"/>
  <c r="F27" s="1"/>
  <c r="N63"/>
  <c r="R20"/>
  <c r="R22" s="1"/>
  <c r="E8" i="48"/>
  <c r="F13" i="14"/>
  <c r="F46"/>
  <c r="F61" s="1"/>
  <c r="F63" s="1"/>
  <c r="K16"/>
  <c r="K27" s="1"/>
  <c r="E22" i="16"/>
  <c r="F43" i="14" s="1"/>
  <c r="K46"/>
  <c r="K61" s="1"/>
  <c r="J33" i="48"/>
  <c r="N8"/>
  <c r="N26" s="1"/>
  <c r="O13" i="14"/>
  <c r="N22" i="16"/>
  <c r="O43" i="14" s="1"/>
  <c r="G13"/>
  <c r="R13" s="1"/>
  <c r="F8" i="48"/>
  <c r="J15" l="1"/>
  <c r="E26"/>
  <c r="E33" s="1"/>
  <c r="E15"/>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<sst xmlns="http://schemas.openxmlformats.org/spreadsheetml/2006/main" count="2419" uniqueCount="906">
  <si>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</si>
  <si>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</si>
  <si>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</si>
  <si>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</si>
  <si>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</si>
  <si>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</si>
  <si>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</si>
  <si>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</si>
  <si>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</si>
  <si>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</si>
  <si>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</si>
  <si>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</si>
  <si>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</si>
  <si>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</si>
  <si>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</si>
  <si>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</si>
  <si>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</si>
  <si>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</si>
  <si>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</si>
  <si>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</si>
  <si>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</si>
  <si>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</si>
  <si>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</si>
  <si>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</si>
  <si>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</si>
  <si>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</si>
  <si>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</si>
  <si>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</si>
  <si>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</si>
  <si>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</si>
  <si>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</si>
  <si>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</si>
  <si>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</si>
  <si>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</si>
  <si>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</si>
  <si>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</si>
  <si>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</si>
  <si>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</si>
  <si>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</si>
  <si>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</si>
  <si>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</si>
  <si>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</si>
  <si>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</si>
  <si>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</si>
  <si>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</si>
  <si>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</si>
  <si>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</si>
  <si>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</si>
  <si>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</si>
  <si>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</si>
  <si>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</si>
  <si>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</si>
  <si>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</si>
  <si>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</si>
  <si>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</si>
  <si>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</si>
  <si>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</si>
  <si>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</si>
  <si>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</si>
  <si>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</si>
  <si>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</si>
  <si>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</si>
  <si>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</si>
  <si>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</si>
  <si>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</si>
  <si>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</si>
  <si>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</si>
  <si>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</si>
  <si>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</si>
  <si>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</si>
  <si>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</si>
  <si>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</si>
  <si>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</si>
  <si>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</si>
  <si>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</si>
  <si>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</si>
  <si>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</si>
  <si>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</si>
  <si>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</si>
  <si>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</si>
  <si>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</si>
  <si>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</si>
  <si>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</si>
  <si>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</si>
  <si>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</si>
  <si>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</si>
  <si>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</si>
  <si>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</si>
  <si>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</si>
  <si>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</si>
  <si>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</si>
  <si>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</si>
  <si>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</si>
  <si>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</si>
  <si>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</si>
  <si>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</si>
  <si>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</si>
  <si>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</si>
  <si>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</si>
  <si>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</si>
  <si>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</si>
  <si>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</si>
  <si>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</si>
  <si>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</si>
  <si>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</si>
  <si>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</si>
  <si>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</si>
  <si>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</si>
  <si>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</si>
  <si>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</si>
  <si>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</si>
  <si>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</si>
  <si>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</si>
  <si>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</si>
  <si>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</si>
  <si>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</si>
  <si>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</si>
  <si>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</si>
  <si>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</si>
  <si>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</si>
  <si>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</si>
  <si>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</si>
  <si>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</si>
  <si>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</si>
  <si>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</si>
  <si>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</si>
  <si>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</si>
  <si>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</si>
  <si>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</si>
  <si>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</si>
  <si>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</si>
  <si>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</si>
  <si>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</si>
  <si>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</si>
  <si>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</si>
  <si>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</si>
  <si>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</si>
  <si>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</si>
  <si>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</si>
  <si>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</si>
  <si>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</si>
  <si>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</si>
  <si>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</si>
  <si>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</si>
  <si>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</si>
  <si>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</si>
  <si>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</si>
  <si>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</si>
  <si>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</si>
  <si>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</si>
  <si>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</si>
  <si>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</si>
  <si>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</si>
  <si>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</si>
  <si>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</si>
  <si>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</si>
  <si>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</si>
  <si>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</si>
  <si>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</si>
  <si>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</si>
  <si>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</si>
  <si>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</si>
  <si>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</si>
  <si>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</si>
  <si>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</si>
  <si>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</si>
  <si>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</si>
  <si>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</si>
  <si>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</si>
  <si>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</si>
  <si>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</si>
  <si>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</si>
  <si>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</si>
  <si>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</si>
  <si>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</si>
  <si>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</si>
  <si>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</si>
  <si>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</si>
  <si>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</si>
  <si>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</si>
  <si>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</si>
  <si>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</si>
  <si>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</si>
  <si>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</si>
  <si>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</si>
  <si>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</si>
  <si>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</si>
  <si>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</si>
  <si>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</si>
  <si>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</si>
  <si>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</si>
  <si>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</si>
  <si>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</si>
  <si>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</si>
  <si>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</si>
  <si>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</si>
  <si>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</si>
  <si>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</si>
  <si>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</si>
  <si>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</si>
  <si>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</si>
  <si>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</si>
  <si>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</si>
  <si>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</si>
  <si>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</si>
  <si>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</si>
  <si>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</si>
  <si>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</si>
  <si>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</si>
  <si>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</si>
  <si>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</si>
  <si>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</si>
  <si>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</si>
  <si>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</si>
  <si>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</si>
  <si>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</si>
  <si>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</si>
  <si>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</si>
  <si>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</si>
  <si>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</si>
  <si>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</si>
  <si>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</si>
  <si>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</si>
  <si>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</si>
  <si>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</si>
  <si>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</si>
  <si>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</si>
  <si>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</si>
  <si>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</si>
  <si>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</si>
  <si>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</si>
  <si>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</si>
  <si>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</si>
  <si>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</si>
  <si>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</si>
  <si>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</si>
  <si>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</si>
  <si>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</si>
  <si>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</si>
  <si>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</si>
  <si>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</si>
  <si>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</si>
  <si>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</si>
  <si>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</si>
  <si>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</si>
  <si>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</si>
  <si>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</si>
  <si>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</si>
  <si>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</si>
  <si>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</si>
  <si>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</si>
  <si>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</si>
  <si>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</si>
  <si>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</si>
  <si>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</si>
  <si>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</si>
  <si>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</si>
  <si>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</si>
  <si>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</si>
  <si>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</si>
  <si>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</si>
  <si>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</si>
  <si>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</si>
  <si>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</si>
  <si>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</si>
  <si>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</si>
  <si>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</si>
  <si>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</si>
  <si>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</si>
  <si>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</si>
  <si>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</si>
  <si>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</si>
  <si>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</si>
  <si>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</si>
  <si>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</si>
  <si>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</si>
  <si>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</si>
  <si>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</si>
  <si>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</si>
  <si>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</si>
  <si>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</si>
  <si>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</si>
  <si>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</si>
  <si>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</si>
  <si>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</si>
  <si>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</si>
  <si>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</si>
  <si>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</si>
  <si>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</si>
  <si>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</si>
  <si>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</si>
  <si>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</si>
  <si>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</si>
  <si>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</si>
  <si>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</si>
  <si>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</si>
  <si>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</si>
  <si>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</si>
  <si>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</si>
  <si>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</si>
  <si>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</si>
  <si>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</si>
  <si>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</si>
  <si>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</si>
  <si>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</si>
  <si>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</si>
  <si>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</si>
  <si>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</si>
  <si>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</si>
  <si>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</si>
  <si>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</si>
  <si>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</si>
  <si>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</si>
  <si>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</si>
  <si>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</si>
  <si>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</si>
  <si>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</si>
  <si>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</si>
  <si>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</si>
  <si>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</si>
  <si>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</si>
  <si>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</si>
  <si>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</si>
  <si>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</si>
  <si>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</si>
  <si>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</si>
  <si>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</si>
  <si>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</si>
  <si>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</si>
  <si>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</si>
  <si>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</si>
  <si>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</si>
  <si>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</si>
  <si>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</si>
  <si>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</si>
  <si>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</si>
  <si>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</si>
  <si>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</si>
  <si>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</si>
  <si>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</si>
  <si>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</si>
  <si>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</si>
  <si>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</si>
  <si>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</si>
  <si>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</si>
  <si>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</si>
  <si>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</si>
  <si>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</si>
  <si>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</si>
  <si>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</si>
  <si>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</si>
  <si>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</si>
  <si>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</si>
  <si>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</si>
  <si>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</si>
  <si>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</si>
  <si>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</si>
  <si>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</si>
  <si>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</si>
  <si>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</si>
  <si>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</si>
  <si>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</si>
  <si>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</si>
  <si>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</si>
  <si>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</si>
  <si>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</si>
  <si>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</si>
  <si>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</si>
  <si>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</si>
  <si>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</si>
  <si>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</si>
  <si>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</si>
  <si>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</si>
  <si>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</si>
  <si>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</si>
  <si>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</si>
  <si>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</si>
  <si>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</si>
  <si>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</si>
  <si>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</si>
  <si>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</si>
  <si>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</si>
  <si>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</si>
  <si>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</si>
  <si>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</si>
  <si>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</si>
  <si>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</si>
  <si>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</si>
  <si>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</si>
  <si>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</si>
  <si>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</si>
  <si>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</si>
  <si>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</si>
  <si>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</si>
  <si>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</si>
  <si>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</si>
  <si>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</si>
  <si>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</si>
  <si>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</si>
  <si>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</si>
  <si>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</si>
  <si>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</si>
  <si>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</si>
  <si>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</si>
  <si>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</si>
  <si>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</si>
  <si>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</si>
  <si>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</si>
  <si>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</si>
  <si>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</si>
  <si>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</si>
  <si>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</si>
  <si>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</si>
  <si>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</si>
  <si>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</si>
  <si>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</si>
  <si>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</si>
  <si>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</si>
  <si>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</si>
  <si>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</si>
  <si>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</si>
  <si>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</si>
  <si>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</si>
  <si>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</si>
  <si>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</si>
  <si>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</si>
  <si>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</si>
  <si>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</si>
  <si>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</si>
  <si>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</si>
  <si>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</si>
  <si>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</si>
  <si>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</si>
  <si>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</si>
  <si>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</si>
  <si>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</si>
  <si>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</si>
  <si>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</si>
  <si>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</si>
  <si>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</si>
  <si>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</si>
  <si>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</si>
  <si>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</si>
  <si>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</si>
  <si>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</si>
  <si>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</si>
  <si>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</si>
  <si>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</si>
  <si>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</si>
  <si>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</si>
  <si>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</si>
  <si>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</si>
  <si>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</si>
  <si>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</si>
  <si>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</si>
  <si>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</si>
  <si>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</si>
  <si>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</si>
  <si>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</si>
  <si>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</si>
  <si>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</si>
  <si>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</si>
  <si>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</si>
  <si>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</si>
  <si>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</si>
  <si>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</si>
  <si>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</si>
  <si>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</si>
  <si>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</si>
  <si>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</si>
  <si>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</si>
  <si>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</si>
  <si>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</si>
  <si>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</si>
  <si>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</si>
  <si>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</si>
  <si>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</si>
  <si>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</si>
  <si>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</si>
  <si>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</si>
  <si>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</si>
  <si>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</si>
  <si>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</si>
  <si>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</si>
  <si>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</si>
  <si>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</si>
  <si>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</si>
  <si>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</si>
  <si>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</si>
  <si>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</si>
  <si>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</si>
  <si>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</si>
  <si>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</si>
  <si>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</si>
  <si>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</si>
  <si>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</si>
  <si>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</si>
  <si>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</si>
  <si>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</si>
  <si>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</si>
  <si>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</si>
  <si>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</si>
  <si>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</si>
  <si>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</si>
  <si>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</si>
  <si>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</si>
  <si>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</si>
  <si>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</si>
  <si>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</si>
  <si>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</si>
  <si>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</si>
  <si>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</si>
  <si>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</si>
  <si>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</si>
  <si>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</si>
  <si>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</si>
  <si>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</si>
  <si>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</si>
  <si>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</si>
  <si>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</si>
  <si>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</si>
  <si>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</si>
  <si>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</si>
  <si>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</si>
  <si>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</si>
  <si>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</si>
  <si>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</si>
  <si>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</si>
  <si>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</si>
  <si>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</si>
  <si>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</si>
  <si>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</si>
  <si>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</si>
  <si>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</si>
  <si>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</si>
  <si>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</si>
  <si>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</si>
  <si>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</si>
  <si>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</si>
  <si>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</si>
  <si>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</si>
  <si>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</si>
  <si>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</si>
  <si>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</si>
  <si>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</si>
  <si>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</si>
  <si>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</si>
  <si>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</si>
  <si>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</si>
  <si>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</si>
  <si>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</si>
  <si>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</si>
  <si>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</si>
  <si>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</si>
  <si>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</si>
  <si>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</si>
  <si>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</si>
  <si>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</si>
  <si>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</si>
  <si>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</si>
  <si>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</si>
  <si>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</si>
  <si>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</si>
  <si>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</si>
  <si>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</si>
  <si>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</si>
  <si>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</si>
  <si>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</si>
  <si>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</si>
  <si>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</si>
  <si>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</si>
  <si>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</si>
  <si>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</si>
  <si>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</si>
  <si>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</si>
  <si>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</si>
  <si>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</si>
  <si>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</si>
  <si>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</si>
  <si>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</si>
  <si>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</si>
  <si>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</si>
  <si>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</si>
  <si>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</si>
  <si>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</si>
  <si>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</si>
  <si>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</si>
  <si>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</si>
  <si>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</si>
  <si>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</si>
  <si>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</si>
  <si>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</si>
  <si>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</si>
  <si>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</si>
  <si>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</si>
  <si>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</si>
  <si>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</si>
  <si>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</si>
  <si>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</si>
  <si>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</si>
  <si>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</si>
  <si>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</si>
  <si>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</si>
  <si>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</si>
  <si>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</si>
  <si>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</si>
  <si>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</si>
  <si>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</si>
  <si>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</si>
  <si>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</si>
  <si>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</si>
  <si>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</si>
  <si>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</si>
  <si>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</si>
  <si>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</si>
  <si>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</si>
  <si>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</si>
  <si>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</si>
  <si>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</si>
  <si>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</si>
  <si>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</si>
  <si>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</si>
  <si>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</si>
  <si>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</si>
  <si>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</si>
  <si>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</si>
  <si>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</si>
  <si>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</si>
  <si>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</si>
  <si>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</si>
  <si>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</si>
  <si>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</si>
  <si>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</si>
  <si>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</si>
  <si>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</si>
  <si>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</si>
  <si>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</si>
  <si>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</si>
  <si>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</si>
  <si>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</si>
  <si>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</si>
  <si>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</si>
  <si>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</si>
  <si>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</si>
  <si>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</si>
  <si>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</si>
  <si>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</si>
  <si>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</si>
  <si>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</si>
  <si>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</si>
  <si>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</si>
  <si>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</si>
  <si>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</si>
  <si>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</si>
  <si>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</si>
  <si>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</si>
  <si>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</si>
  <si>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</si>
  <si>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</si>
  <si>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</si>
  <si>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</si>
  <si>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</si>
  <si>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</si>
  <si>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</si>
  <si>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</si>
  <si>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</si>
  <si>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</si>
  <si>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</si>
  <si>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</si>
  <si>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</si>
  <si>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</si>
  <si>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</si>
  <si>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</si>
  <si>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</si>
  <si>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</si>
  <si>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</si>
  <si>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</si>
  <si>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</si>
  <si>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</si>
  <si>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</si>
  <si>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</si>
  <si>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</si>
  <si>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</si>
  <si>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</si>
  <si>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</si>
  <si>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</si>
  <si>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</si>
  <si>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</si>
  <si>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</si>
  <si>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</si>
  <si>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</si>
  <si>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</si>
  <si>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</si>
  <si>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</si>
  <si>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</si>
  <si>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</si>
  <si>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</si>
  <si>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</si>
  <si>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</si>
  <si>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</si>
  <si>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</si>
  <si>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</si>
  <si>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</si>
  <si>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</si>
  <si>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</si>
  <si>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</si>
  <si>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</si>
  <si>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</si>
  <si>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</si>
  <si>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</si>
  <si>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</si>
  <si>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</si>
  <si>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</si>
  <si>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</si>
  <si>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</si>
  <si>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</si>
  <si>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</si>
  <si>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</si>
  <si>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</si>
  <si>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</si>
  <si>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</si>
  <si>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</si>
  <si>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</si>
  <si>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</si>
  <si>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</si>
  <si>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</si>
  <si>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</si>
  <si>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</si>
  <si>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</si>
  <si>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</si>
  <si>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</si>
  <si>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</si>
  <si>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</si>
  <si>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</si>
  <si>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</si>
  <si>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</si>
  <si>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</si>
  <si>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</si>
  <si>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</si>
  <si>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</si>
  <si>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</si>
  <si>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</si>
  <si>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</si>
  <si>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</si>
  <si>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</si>
  <si>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</si>
  <si>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</si>
  <si>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</si>
  <si>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</si>
  <si>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</si>
  <si>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</si>
  <si>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</si>
  <si>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</si>
  <si>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</si>
  <si>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</si>
  <si>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</si>
  <si>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</si>
  <si>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</si>
  <si>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</si>
  <si>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</si>
  <si>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</si>
  <si>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</si>
  <si>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</si>
  <si>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</si>
  <si>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</si>
  <si>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</si>
  <si>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</si>
  <si>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</si>
  <si>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</si>
  <si>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</si>
  <si>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</si>
  <si>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</si>
  <si>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</si>
  <si>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</si>
  <si>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</si>
  <si>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</si>
  <si>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</si>
  <si>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</si>
  <si>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</si>
  <si>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</si>
  <si>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</si>
  <si>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</si>
  <si>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</si>
  <si>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</si>
  <si>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</si>
  <si>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</si>
  <si>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</si>
  <si>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</si>
  <si>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</si>
  <si>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</si>
  <si>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</si>
  <si>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</si>
  <si>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</si>
  <si>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</si>
  <si>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</si>
  <si>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</si>
  <si>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</si>
  <si>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</si>
  <si>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</si>
  <si>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</si>
  <si>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</si>
  <si>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</si>
  <si>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</si>
  <si>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</si>
  <si>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</si>
  <si>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</si>
  <si>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</si>
  <si>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</si>
  <si>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</si>
  <si>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</si>
  <si>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</si>
  <si>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</si>
  <si>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</si>
  <si>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</si>
  <si>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</si>
  <si>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</si>
  <si>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</si>
  <si>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</si>
  <si>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</si>
  <si>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</si>
  <si>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</si>
  <si>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</si>
  <si>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</si>
  <si>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</si>
  <si>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</si>
  <si>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</si>
  <si>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</si>
  <si>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</si>
  <si>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</si>
  <si>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</si>
  <si>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</si>
  <si>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</si>
  <si>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</si>
  <si>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</si>
  <si>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</si>
  <si>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</si>
  <si>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</si>
  <si>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</si>
  <si>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</si>
  <si>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</si>
  <si>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</si>
  <si>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</si>
  <si>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</si>
  <si>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</si>
  <si>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</si>
  <si>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</si>
  <si>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</si>
  <si>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</si>
  <si>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</si>
  <si>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</si>
  <si>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</si>
  <si>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</si>
  <si>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</si>
  <si>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</si>
  <si>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</si>
  <si>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</si>
  <si>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</si>
  <si>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</si>
  <si>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</si>
  <si>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</si>
  <si>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</si>
  <si>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</si>
  <si>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</si>
  <si>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</si>
  <si>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</si>
  <si>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</si>
  <si>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</si>
  <si>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</si>
  <si>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</si>
  <si>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</si>
  <si>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</si>
  <si>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</si>
  <si>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</si>
  <si>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</si>
  <si>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</si>
  <si>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</si>
  <si>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</si>
  <si>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</si>
  <si>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</si>
  <si>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</si>
  <si>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</si>
  <si>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</si>
  <si>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13011</t>
  </si>
  <si>
    <t>HERENTALS</t>
  </si>
  <si>
    <t>Paarden&amp;pony's 200 - 600 kg</t>
  </si>
  <si>
    <t>Paarden&amp;pony's &lt; 200 kg</t>
  </si>
  <si>
    <t>referentietaak LNE (2017); Jaarverslag De Lijn (2015)</t>
  </si>
  <si>
    <t>op basis van VEA (maart 2018) en Inventaris Hernieuwbare Energiebronnen (juni 2018)</t>
  </si>
  <si>
    <t>VEA (januari 2017)</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</si>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</sst>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212289.23393546703</c:v>
                </c:pt>
                <c:pt idx="1">
                  <c:v>164366.31713387652</c:v>
                </c:pt>
                <c:pt idx="2">
                  <c:v>1362.1759999999999</c:v>
                </c:pt>
                <c:pt idx="3">
                  <c:v>41505.597367024195</c:v>
                </c:pt>
                <c:pt idx="4">
                  <c:v>206719.98158803815</c:v>
                </c:pt>
                <c:pt idx="5">
                  <c:v>221012.28286691359</c:v>
                </c:pt>
                <c:pt idx="6">
                  <c:v>2372.0841852468511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212289.23393546703</c:v>
                </c:pt>
                <c:pt idx="1">
                  <c:v>164366.31713387652</c:v>
                </c:pt>
                <c:pt idx="2">
                  <c:v>1362.1759999999999</c:v>
                </c:pt>
                <c:pt idx="3">
                  <c:v>41505.597367024195</c:v>
                </c:pt>
                <c:pt idx="4">
                  <c:v>206719.98158803815</c:v>
                </c:pt>
                <c:pt idx="5">
                  <c:v>221012.28286691359</c:v>
                </c:pt>
                <c:pt idx="6">
                  <c:v>2372.0841852468511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37505.611627547907</c:v>
                </c:pt>
                <c:pt idx="2">
                  <c:v>34048.131888895354</c:v>
                </c:pt>
                <c:pt idx="3">
                  <c:v>287.65554339553796</c:v>
                </c:pt>
                <c:pt idx="4">
                  <c:v>9964.4731045097651</c:v>
                </c:pt>
                <c:pt idx="5">
                  <c:v>41019.47645896727</c:v>
                </c:pt>
                <c:pt idx="6">
                  <c:v>56593.299049110348</c:v>
                </c:pt>
                <c:pt idx="7">
                  <c:v>614.29249844337028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62720"/>
      </c:barChart>
      <c:catAx>
        <c:axId val="184003584"/>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37505.611627547907</c:v>
                </c:pt>
                <c:pt idx="2">
                  <c:v>34048.131888895354</c:v>
                </c:pt>
                <c:pt idx="3">
                  <c:v>287.65554339553796</c:v>
                </c:pt>
                <c:pt idx="4">
                  <c:v>9964.4731045097651</c:v>
                </c:pt>
                <c:pt idx="5">
                  <c:v>41019.47645896727</c:v>
                </c:pt>
                <c:pt idx="6">
                  <c:v>56593.299049110348</c:v>
                </c:pt>
                <c:pt idx="7">
                  <c:v>614.29249844337028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13011</v>
      </c>
      <c r="B6" s="415"/>
      <c r="C6" s="416"/>
    </row>
    <row r="7" spans="1:7" s="413" customFormat="1" ht="15.75" customHeight="1">
      <c r="A7" s="417" t="str">
        <f>txtMunicipality</f>
        <v>HERENTALS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0.21117355128525095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0.21117355128525095</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12216</v>
      </c>
      <c r="C9" s="342">
        <v>12306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1562.39</v>
      </c>
    </row>
    <row r="15" spans="1:6">
      <c r="A15" s="348" t="s">
        <v>184</v>
      </c>
      <c r="B15" s="334">
        <v>2212</v>
      </c>
    </row>
    <row r="16" spans="1:6">
      <c r="A16" s="348" t="s">
        <v>6</v>
      </c>
      <c r="B16" s="334">
        <v>613</v>
      </c>
    </row>
    <row r="17" spans="1:6">
      <c r="A17" s="348" t="s">
        <v>7</v>
      </c>
      <c r="B17" s="334">
        <v>124</v>
      </c>
    </row>
    <row r="18" spans="1:6">
      <c r="A18" s="348" t="s">
        <v>8</v>
      </c>
      <c r="B18" s="334">
        <v>335</v>
      </c>
    </row>
    <row r="19" spans="1:6">
      <c r="A19" s="348" t="s">
        <v>9</v>
      </c>
      <c r="B19" s="334">
        <v>322</v>
      </c>
    </row>
    <row r="20" spans="1:6">
      <c r="A20" s="348" t="s">
        <v>10</v>
      </c>
      <c r="B20" s="334">
        <v>255</v>
      </c>
    </row>
    <row r="21" spans="1:6">
      <c r="A21" s="348" t="s">
        <v>11</v>
      </c>
      <c r="B21" s="334">
        <v>1279</v>
      </c>
    </row>
    <row r="22" spans="1:6">
      <c r="A22" s="348" t="s">
        <v>12</v>
      </c>
      <c r="B22" s="334">
        <v>4643</v>
      </c>
    </row>
    <row r="23" spans="1:6">
      <c r="A23" s="348" t="s">
        <v>13</v>
      </c>
      <c r="B23" s="334">
        <v>47</v>
      </c>
    </row>
    <row r="24" spans="1:6">
      <c r="A24" s="348" t="s">
        <v>14</v>
      </c>
      <c r="B24" s="334">
        <v>1</v>
      </c>
    </row>
    <row r="25" spans="1:6">
      <c r="A25" s="348" t="s">
        <v>15</v>
      </c>
      <c r="B25" s="334">
        <v>292</v>
      </c>
    </row>
    <row r="26" spans="1:6">
      <c r="A26" s="348" t="s">
        <v>16</v>
      </c>
      <c r="B26" s="334">
        <v>64</v>
      </c>
    </row>
    <row r="27" spans="1:6">
      <c r="A27" s="348" t="s">
        <v>17</v>
      </c>
      <c r="B27" s="334">
        <v>385</v>
      </c>
    </row>
    <row r="28" spans="1:6" s="356" customFormat="1">
      <c r="A28" s="355" t="s">
        <v>18</v>
      </c>
      <c r="B28" s="355">
        <v>135408</v>
      </c>
    </row>
    <row r="29" spans="1:6">
      <c r="A29" s="355" t="s">
        <v>884</v>
      </c>
      <c r="B29" s="355">
        <v>167</v>
      </c>
      <c r="C29" s="356"/>
      <c r="D29" s="356"/>
      <c r="E29" s="356"/>
      <c r="F29" s="356"/>
    </row>
    <row r="30" spans="1:6">
      <c r="A30" s="355" t="s">
        <v>885</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22573.383761000001</v>
      </c>
    </row>
    <row r="36" spans="1:6">
      <c r="A36" s="348" t="s">
        <v>25</v>
      </c>
      <c r="B36" s="348" t="s">
        <v>27</v>
      </c>
      <c r="C36" s="334">
        <v>5</v>
      </c>
      <c r="D36" s="334">
        <v>698700.01760999998</v>
      </c>
      <c r="E36" s="334">
        <v>10</v>
      </c>
      <c r="F36" s="334">
        <v>117670.52266</v>
      </c>
    </row>
    <row r="37" spans="1:6">
      <c r="A37" s="348" t="s">
        <v>25</v>
      </c>
      <c r="B37" s="348" t="s">
        <v>28</v>
      </c>
      <c r="C37" s="334">
        <v>0</v>
      </c>
      <c r="D37" s="334">
        <v>0</v>
      </c>
      <c r="E37" s="334">
        <v>0</v>
      </c>
      <c r="F37" s="334">
        <v>0</v>
      </c>
    </row>
    <row r="38" spans="1:6">
      <c r="A38" s="348" t="s">
        <v>25</v>
      </c>
      <c r="B38" s="348" t="s">
        <v>29</v>
      </c>
      <c r="C38" s="334">
        <v>0</v>
      </c>
      <c r="D38" s="334">
        <v>0</v>
      </c>
      <c r="E38" s="334">
        <v>2</v>
      </c>
      <c r="F38" s="334">
        <v>101831.84102000001</v>
      </c>
    </row>
    <row r="39" spans="1:6">
      <c r="A39" s="348" t="s">
        <v>30</v>
      </c>
      <c r="B39" s="348" t="s">
        <v>31</v>
      </c>
      <c r="C39" s="334">
        <v>9839</v>
      </c>
      <c r="D39" s="334">
        <v>143806475.87</v>
      </c>
      <c r="E39" s="334">
        <v>12224</v>
      </c>
      <c r="F39" s="334">
        <v>38973796.468999997</v>
      </c>
    </row>
    <row r="40" spans="1:6">
      <c r="A40" s="348" t="s">
        <v>30</v>
      </c>
      <c r="B40" s="348" t="s">
        <v>29</v>
      </c>
      <c r="C40" s="334">
        <v>0</v>
      </c>
      <c r="D40" s="334">
        <v>0</v>
      </c>
      <c r="E40" s="334">
        <v>0</v>
      </c>
      <c r="F40" s="334">
        <v>0</v>
      </c>
    </row>
    <row r="41" spans="1:6">
      <c r="A41" s="348" t="s">
        <v>32</v>
      </c>
      <c r="B41" s="348" t="s">
        <v>33</v>
      </c>
      <c r="C41" s="334">
        <v>121</v>
      </c>
      <c r="D41" s="334">
        <v>2975210.2606000002</v>
      </c>
      <c r="E41" s="334">
        <v>234</v>
      </c>
      <c r="F41" s="334">
        <v>10675091.666999999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19</v>
      </c>
      <c r="D44" s="334">
        <v>1722914.8711999999</v>
      </c>
      <c r="E44" s="334">
        <v>36</v>
      </c>
      <c r="F44" s="334">
        <v>27700196.736000001</v>
      </c>
    </row>
    <row r="45" spans="1:6">
      <c r="A45" s="348" t="s">
        <v>32</v>
      </c>
      <c r="B45" s="348" t="s">
        <v>37</v>
      </c>
      <c r="C45" s="334">
        <v>0</v>
      </c>
      <c r="D45" s="334">
        <v>0</v>
      </c>
      <c r="E45" s="334">
        <v>3</v>
      </c>
      <c r="F45" s="334">
        <v>221726.98478</v>
      </c>
    </row>
    <row r="46" spans="1:6">
      <c r="A46" s="348" t="s">
        <v>32</v>
      </c>
      <c r="B46" s="348" t="s">
        <v>38</v>
      </c>
      <c r="C46" s="334">
        <v>0</v>
      </c>
      <c r="D46" s="334">
        <v>0</v>
      </c>
      <c r="E46" s="334">
        <v>0</v>
      </c>
      <c r="F46" s="334">
        <v>0</v>
      </c>
    </row>
    <row r="47" spans="1:6">
      <c r="A47" s="348" t="s">
        <v>32</v>
      </c>
      <c r="B47" s="348" t="s">
        <v>39</v>
      </c>
      <c r="C47" s="334">
        <v>11</v>
      </c>
      <c r="D47" s="334">
        <v>598812.9203</v>
      </c>
      <c r="E47" s="334">
        <v>16</v>
      </c>
      <c r="F47" s="334">
        <v>1696883.3369</v>
      </c>
    </row>
    <row r="48" spans="1:6">
      <c r="A48" s="348" t="s">
        <v>32</v>
      </c>
      <c r="B48" s="348" t="s">
        <v>29</v>
      </c>
      <c r="C48" s="334">
        <v>47</v>
      </c>
      <c r="D48" s="334">
        <v>38171380.392999999</v>
      </c>
      <c r="E48" s="334">
        <v>60</v>
      </c>
      <c r="F48" s="334">
        <v>51546578.899999999</v>
      </c>
    </row>
    <row r="49" spans="1:6">
      <c r="A49" s="348" t="s">
        <v>32</v>
      </c>
      <c r="B49" s="348" t="s">
        <v>40</v>
      </c>
      <c r="C49" s="334">
        <v>0</v>
      </c>
      <c r="D49" s="334">
        <v>0</v>
      </c>
      <c r="E49" s="334">
        <v>0</v>
      </c>
      <c r="F49" s="334">
        <v>0</v>
      </c>
    </row>
    <row r="50" spans="1:6">
      <c r="A50" s="348" t="s">
        <v>32</v>
      </c>
      <c r="B50" s="348" t="s">
        <v>41</v>
      </c>
      <c r="C50" s="334">
        <v>22</v>
      </c>
      <c r="D50" s="334">
        <v>9280032.8735000007</v>
      </c>
      <c r="E50" s="334">
        <v>28</v>
      </c>
      <c r="F50" s="334">
        <v>5971008.2583999997</v>
      </c>
    </row>
    <row r="51" spans="1:6">
      <c r="A51" s="348" t="s">
        <v>42</v>
      </c>
      <c r="B51" s="348" t="s">
        <v>43</v>
      </c>
      <c r="C51" s="334">
        <v>3</v>
      </c>
      <c r="D51" s="334">
        <v>34881.392155000001</v>
      </c>
      <c r="E51" s="334">
        <v>68</v>
      </c>
      <c r="F51" s="334">
        <v>1445591.5845999999</v>
      </c>
    </row>
    <row r="52" spans="1:6">
      <c r="A52" s="348" t="s">
        <v>42</v>
      </c>
      <c r="B52" s="348" t="s">
        <v>29</v>
      </c>
      <c r="C52" s="334">
        <v>12</v>
      </c>
      <c r="D52" s="334">
        <v>73462314.055000007</v>
      </c>
      <c r="E52" s="334">
        <v>7</v>
      </c>
      <c r="F52" s="334">
        <v>133196.11803000001</v>
      </c>
    </row>
    <row r="53" spans="1:6">
      <c r="A53" s="348" t="s">
        <v>44</v>
      </c>
      <c r="B53" s="348" t="s">
        <v>45</v>
      </c>
      <c r="C53" s="334">
        <v>226</v>
      </c>
      <c r="D53" s="334">
        <v>4415203.3393999999</v>
      </c>
      <c r="E53" s="334">
        <v>592</v>
      </c>
      <c r="F53" s="334">
        <v>2942318.6003999999</v>
      </c>
    </row>
    <row r="54" spans="1:6">
      <c r="A54" s="348" t="s">
        <v>46</v>
      </c>
      <c r="B54" s="348" t="s">
        <v>47</v>
      </c>
      <c r="C54" s="334">
        <v>0</v>
      </c>
      <c r="D54" s="334">
        <v>0</v>
      </c>
      <c r="E54" s="334">
        <v>1</v>
      </c>
      <c r="F54" s="334">
        <v>1362176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9370219.0526000001</v>
      </c>
      <c r="E57" s="334">
        <v>121</v>
      </c>
      <c r="F57" s="334">
        <v>7968097.8547999999</v>
      </c>
    </row>
    <row r="58" spans="1:6">
      <c r="A58" s="348" t="s">
        <v>49</v>
      </c>
      <c r="B58" s="348" t="s">
        <v>51</v>
      </c>
      <c r="C58" s="334">
        <v>57</v>
      </c>
      <c r="D58" s="334">
        <v>7171945.6869000001</v>
      </c>
      <c r="E58" s="334">
        <v>85</v>
      </c>
      <c r="F58" s="334">
        <v>8218827.0645000003</v>
      </c>
    </row>
    <row r="59" spans="1:6">
      <c r="A59" s="348" t="s">
        <v>49</v>
      </c>
      <c r="B59" s="348" t="s">
        <v>52</v>
      </c>
      <c r="C59" s="334">
        <v>254</v>
      </c>
      <c r="D59" s="334">
        <v>21130950.533</v>
      </c>
      <c r="E59" s="334">
        <v>468</v>
      </c>
      <c r="F59" s="334">
        <v>24116668.002999999</v>
      </c>
    </row>
    <row r="60" spans="1:6">
      <c r="A60" s="348" t="s">
        <v>49</v>
      </c>
      <c r="B60" s="348" t="s">
        <v>53</v>
      </c>
      <c r="C60" s="334">
        <v>120</v>
      </c>
      <c r="D60" s="334">
        <v>5777823.6079000002</v>
      </c>
      <c r="E60" s="334">
        <v>143</v>
      </c>
      <c r="F60" s="334">
        <v>4049299.4024999999</v>
      </c>
    </row>
    <row r="61" spans="1:6">
      <c r="A61" s="348" t="s">
        <v>49</v>
      </c>
      <c r="B61" s="348" t="s">
        <v>54</v>
      </c>
      <c r="C61" s="334">
        <v>343</v>
      </c>
      <c r="D61" s="334">
        <v>16353150.068</v>
      </c>
      <c r="E61" s="334">
        <v>585</v>
      </c>
      <c r="F61" s="334">
        <v>15652853.444</v>
      </c>
    </row>
    <row r="62" spans="1:6">
      <c r="A62" s="348" t="s">
        <v>49</v>
      </c>
      <c r="B62" s="348" t="s">
        <v>55</v>
      </c>
      <c r="C62" s="334">
        <v>34</v>
      </c>
      <c r="D62" s="334">
        <v>5958192.6621000003</v>
      </c>
      <c r="E62" s="334">
        <v>38</v>
      </c>
      <c r="F62" s="334">
        <v>3047776.2089999998</v>
      </c>
    </row>
    <row r="63" spans="1:6">
      <c r="A63" s="348" t="s">
        <v>49</v>
      </c>
      <c r="B63" s="348" t="s">
        <v>29</v>
      </c>
      <c r="C63" s="334">
        <v>107</v>
      </c>
      <c r="D63" s="334">
        <v>7993295.6223999998</v>
      </c>
      <c r="E63" s="334">
        <v>100</v>
      </c>
      <c r="F63" s="334">
        <v>9699956.1021999996</v>
      </c>
    </row>
    <row r="64" spans="1:6">
      <c r="A64" s="348" t="s">
        <v>56</v>
      </c>
      <c r="B64" s="348" t="s">
        <v>57</v>
      </c>
      <c r="C64" s="334">
        <v>0</v>
      </c>
      <c r="D64" s="334">
        <v>0</v>
      </c>
      <c r="E64" s="334">
        <v>0</v>
      </c>
      <c r="F64" s="334">
        <v>0</v>
      </c>
    </row>
    <row r="65" spans="1:6">
      <c r="A65" s="348" t="s">
        <v>56</v>
      </c>
      <c r="B65" s="348" t="s">
        <v>29</v>
      </c>
      <c r="C65" s="334">
        <v>3</v>
      </c>
      <c r="D65" s="334">
        <v>194891.49075999999</v>
      </c>
      <c r="E65" s="334">
        <v>2</v>
      </c>
      <c r="F65" s="334">
        <v>9099.5190781000001</v>
      </c>
    </row>
    <row r="66" spans="1:6">
      <c r="A66" s="348" t="s">
        <v>56</v>
      </c>
      <c r="B66" s="348" t="s">
        <v>58</v>
      </c>
      <c r="C66" s="334">
        <v>0</v>
      </c>
      <c r="D66" s="334">
        <v>0</v>
      </c>
      <c r="E66" s="334">
        <v>11</v>
      </c>
      <c r="F66" s="334">
        <v>604015</v>
      </c>
    </row>
    <row r="67" spans="1:6">
      <c r="A67" s="355" t="s">
        <v>56</v>
      </c>
      <c r="B67" s="355" t="s">
        <v>59</v>
      </c>
      <c r="C67" s="334">
        <v>0</v>
      </c>
      <c r="D67" s="334">
        <v>0</v>
      </c>
      <c r="E67" s="334">
        <v>0</v>
      </c>
      <c r="F67" s="334">
        <v>0</v>
      </c>
    </row>
    <row r="68" spans="1:6">
      <c r="A68" s="341" t="s">
        <v>56</v>
      </c>
      <c r="B68" s="341" t="s">
        <v>60</v>
      </c>
      <c r="C68" s="334">
        <v>8</v>
      </c>
      <c r="D68" s="334">
        <v>339988.30128000001</v>
      </c>
      <c r="E68" s="334">
        <v>27</v>
      </c>
      <c r="F68" s="334">
        <v>597695.56782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115945122</v>
      </c>
      <c r="E73" s="475">
        <v>117996600.51896253</v>
      </c>
    </row>
    <row r="74" spans="1:6">
      <c r="A74" s="348" t="s">
        <v>64</v>
      </c>
      <c r="B74" s="348" t="s">
        <v>667</v>
      </c>
      <c r="C74" s="1294" t="s">
        <v>669</v>
      </c>
      <c r="D74" s="475">
        <v>7811543.263337478</v>
      </c>
      <c r="E74" s="475">
        <v>7894413.4702297682</v>
      </c>
    </row>
    <row r="75" spans="1:6">
      <c r="A75" s="348" t="s">
        <v>65</v>
      </c>
      <c r="B75" s="348" t="s">
        <v>666</v>
      </c>
      <c r="C75" s="1294" t="s">
        <v>670</v>
      </c>
      <c r="D75" s="475">
        <v>31481756</v>
      </c>
      <c r="E75" s="475">
        <v>32180101.751689337</v>
      </c>
    </row>
    <row r="76" spans="1:6">
      <c r="A76" s="348" t="s">
        <v>65</v>
      </c>
      <c r="B76" s="348" t="s">
        <v>667</v>
      </c>
      <c r="C76" s="1294" t="s">
        <v>671</v>
      </c>
      <c r="D76" s="475">
        <v>1497850.263337478</v>
      </c>
      <c r="E76" s="475">
        <v>1514764.1707825686</v>
      </c>
    </row>
    <row r="77" spans="1:6">
      <c r="A77" s="348" t="s">
        <v>66</v>
      </c>
      <c r="B77" s="348" t="s">
        <v>666</v>
      </c>
      <c r="C77" s="1294" t="s">
        <v>672</v>
      </c>
      <c r="D77" s="475">
        <v>87239350</v>
      </c>
      <c r="E77" s="475">
        <v>91859423.202845797</v>
      </c>
    </row>
    <row r="78" spans="1:6">
      <c r="A78" s="341" t="s">
        <v>66</v>
      </c>
      <c r="B78" s="341" t="s">
        <v>667</v>
      </c>
      <c r="C78" s="341" t="s">
        <v>673</v>
      </c>
      <c r="D78" s="1295">
        <v>15107325</v>
      </c>
      <c r="E78" s="1295">
        <v>15804948.696965352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637109.47332504392</v>
      </c>
      <c r="C83" s="475">
        <v>637109.47332504392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4547.188586089881</v>
      </c>
    </row>
    <row r="92" spans="1:6">
      <c r="A92" s="341" t="s">
        <v>69</v>
      </c>
      <c r="B92" s="342">
        <v>6160.092191586843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6292</v>
      </c>
    </row>
    <row r="98" spans="1:6">
      <c r="A98" s="348" t="s">
        <v>72</v>
      </c>
      <c r="B98" s="334">
        <v>7</v>
      </c>
    </row>
    <row r="99" spans="1:6">
      <c r="A99" s="348" t="s">
        <v>73</v>
      </c>
      <c r="B99" s="334">
        <v>107</v>
      </c>
    </row>
    <row r="100" spans="1:6">
      <c r="A100" s="348" t="s">
        <v>74</v>
      </c>
      <c r="B100" s="334">
        <v>383</v>
      </c>
    </row>
    <row r="101" spans="1:6">
      <c r="A101" s="348" t="s">
        <v>75</v>
      </c>
      <c r="B101" s="334">
        <v>115</v>
      </c>
    </row>
    <row r="102" spans="1:6">
      <c r="A102" s="348" t="s">
        <v>76</v>
      </c>
      <c r="B102" s="334">
        <v>106</v>
      </c>
    </row>
    <row r="103" spans="1:6">
      <c r="A103" s="348" t="s">
        <v>77</v>
      </c>
      <c r="B103" s="334">
        <v>207</v>
      </c>
    </row>
    <row r="104" spans="1:6">
      <c r="A104" s="348" t="s">
        <v>78</v>
      </c>
      <c r="B104" s="334">
        <v>2932</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2</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26</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217</v>
      </c>
    </row>
    <row r="130" spans="1:6">
      <c r="A130" s="348" t="s">
        <v>295</v>
      </c>
      <c r="B130" s="334">
        <v>1</v>
      </c>
    </row>
    <row r="131" spans="1:6">
      <c r="A131" s="348" t="s">
        <v>296</v>
      </c>
      <c r="B131" s="334">
        <v>18</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221554.22188869343</v>
      </c>
      <c r="C3" s="43" t="s">
        <v>170</v>
      </c>
      <c r="D3" s="43"/>
      <c r="E3" s="154"/>
      <c r="F3" s="43"/>
      <c r="G3" s="43"/>
      <c r="H3" s="43"/>
      <c r="I3" s="43"/>
      <c r="J3" s="43"/>
      <c r="K3" s="96"/>
    </row>
    <row r="4" spans="1:11">
      <c r="A4" s="383" t="s">
        <v>171</v>
      </c>
      <c r="B4" s="49">
        <f>IF(ISERROR('SEAP template'!B78+'SEAP template'!C78),0,'SEAP template'!B78+'SEAP template'!C78)</f>
        <v>34921.780777676722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5540.6223529411773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0.21117355128525095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7915.1747899159682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33306.428571428572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1362.1759999999999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1362.1759999999999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0.21117355128525095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287.65554339553796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38973.796468999994</v>
      </c>
      <c r="C5" s="17">
        <f>IF(ISERROR('Eigen informatie GS &amp; warmtenet'!B57),0,'Eigen informatie GS &amp; warmtenet'!B57)</f>
        <v>0</v>
      </c>
      <c r="D5" s="30">
        <f>(SUM(HH_hh_gas_kWh,HH_rest_gas_kWh)/1000)*0.902</f>
        <v>129713.44123473999</v>
      </c>
      <c r="E5" s="17">
        <f>B46*B57</f>
        <v>9308.4384520474232</v>
      </c>
      <c r="F5" s="17">
        <f>B51*B62</f>
        <v>0</v>
      </c>
      <c r="G5" s="18"/>
      <c r="H5" s="17"/>
      <c r="I5" s="17"/>
      <c r="J5" s="17">
        <f>B50*B61+C50*C61</f>
        <v>0</v>
      </c>
      <c r="K5" s="17"/>
      <c r="L5" s="17"/>
      <c r="M5" s="17"/>
      <c r="N5" s="17">
        <f>B48*B59+C48*C59</f>
        <v>28413.145860256391</v>
      </c>
      <c r="O5" s="17">
        <f>B69*B70*B71</f>
        <v>379.89000000000004</v>
      </c>
      <c r="P5" s="17">
        <f>B77*B78*B79/1000-B77*B78*B79/1000/B80</f>
        <v>953.33333333333326</v>
      </c>
    </row>
    <row r="6" spans="1:16">
      <c r="A6" s="16" t="s">
        <v>624</v>
      </c>
      <c r="B6" s="788">
        <f>kWh_PV_kleiner_dan_10kW</f>
        <v>4547.188586089881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43520.985055089877</v>
      </c>
      <c r="C8" s="21">
        <f>C5</f>
        <v>0</v>
      </c>
      <c r="D8" s="21">
        <f>D5</f>
        <v>129713.44123473999</v>
      </c>
      <c r="E8" s="21">
        <f>E5</f>
        <v>9308.4384520474232</v>
      </c>
      <c r="F8" s="21">
        <f>F5</f>
        <v>0</v>
      </c>
      <c r="G8" s="21"/>
      <c r="H8" s="21"/>
      <c r="I8" s="21"/>
      <c r="J8" s="21">
        <f>J5</f>
        <v>0</v>
      </c>
      <c r="K8" s="21"/>
      <c r="L8" s="21">
        <f>L5</f>
        <v>0</v>
      </c>
      <c r="M8" s="21">
        <f>M5</f>
        <v>0</v>
      </c>
      <c r="N8" s="21">
        <f>N5</f>
        <v>28413.145860256391</v>
      </c>
      <c r="O8" s="21">
        <f>O5</f>
        <v>379.89000000000004</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0.21117355128525095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9190.4809695156619</v>
      </c>
      <c r="C12" s="23">
        <f ca="1">C10*C8</f>
        <v>0</v>
      </c>
      <c r="D12" s="23">
        <f>D8*D10</f>
        <v>26202.115129417482</v>
      </c>
      <c r="E12" s="23">
        <f>E10*E8</f>
        <v>2113.0155286147651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6292</v>
      </c>
      <c r="C18" s="166" t="s">
        <v>111</v>
      </c>
      <c r="D18" s="228"/>
      <c r="E18" s="15"/>
    </row>
    <row r="19" spans="1:7">
      <c r="A19" s="171" t="s">
        <v>72</v>
      </c>
      <c r="B19" s="37">
        <f>aantalw2001_ander</f>
        <v>7</v>
      </c>
      <c r="C19" s="166" t="s">
        <v>111</v>
      </c>
      <c r="D19" s="229"/>
      <c r="E19" s="15"/>
    </row>
    <row r="20" spans="1:7">
      <c r="A20" s="171" t="s">
        <v>73</v>
      </c>
      <c r="B20" s="37">
        <f>aantalw2001_propaan</f>
        <v>107</v>
      </c>
      <c r="C20" s="167">
        <f>IF(ISERROR(B20/SUM($B$20,$B$21,$B$22)*100),0,B20/SUM($B$20,$B$21,$B$22)*100)</f>
        <v>17.685950413223139</v>
      </c>
      <c r="D20" s="229"/>
      <c r="E20" s="15"/>
    </row>
    <row r="21" spans="1:7">
      <c r="A21" s="171" t="s">
        <v>74</v>
      </c>
      <c r="B21" s="37">
        <f>aantalw2001_elektriciteit</f>
        <v>383</v>
      </c>
      <c r="C21" s="167">
        <f>IF(ISERROR(B21/SUM($B$20,$B$21,$B$22)*100),0,B21/SUM($B$20,$B$21,$B$22)*100)</f>
        <v>63.305785123966942</v>
      </c>
      <c r="D21" s="229"/>
      <c r="E21" s="15"/>
    </row>
    <row r="22" spans="1:7">
      <c r="A22" s="171" t="s">
        <v>75</v>
      </c>
      <c r="B22" s="37">
        <f>aantalw2001_hout</f>
        <v>115</v>
      </c>
      <c r="C22" s="167">
        <f>IF(ISERROR(B22/SUM($B$20,$B$21,$B$22)*100),0,B22/SUM($B$20,$B$21,$B$22)*100)</f>
        <v>19.008264462809919</v>
      </c>
      <c r="D22" s="229"/>
      <c r="E22" s="15"/>
    </row>
    <row r="23" spans="1:7">
      <c r="A23" s="171" t="s">
        <v>76</v>
      </c>
      <c r="B23" s="37">
        <f>aantalw2001_niet_gespec</f>
        <v>106</v>
      </c>
      <c r="C23" s="166" t="s">
        <v>111</v>
      </c>
      <c r="D23" s="228"/>
      <c r="E23" s="15"/>
    </row>
    <row r="24" spans="1:7">
      <c r="A24" s="171" t="s">
        <v>77</v>
      </c>
      <c r="B24" s="37">
        <f>aantalw2001_steenkool</f>
        <v>207</v>
      </c>
      <c r="C24" s="166" t="s">
        <v>111</v>
      </c>
      <c r="D24" s="229"/>
      <c r="E24" s="15"/>
    </row>
    <row r="25" spans="1:7">
      <c r="A25" s="171" t="s">
        <v>78</v>
      </c>
      <c r="B25" s="37">
        <f>aantalw2001_stookolie</f>
        <v>2932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12216</v>
      </c>
      <c r="C28" s="36"/>
      <c r="D28" s="228"/>
    </row>
    <row r="29" spans="1:7" s="15" customFormat="1">
      <c r="A29" s="230" t="s">
        <v>699</v>
      </c>
      <c r="B29" s="37">
        <f>SUM(HH_hh_gas_aantal,HH_rest_gas_aantal)</f>
        <v>9839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9839</v>
      </c>
      <c r="C32" s="167">
        <f>IF(ISERROR(B32/SUM($B$32,$B$34,$B$35,$B$36,$B$38,$B$39)*100),0,B32/SUM($B$32,$B$34,$B$35,$B$36,$B$38,$B$39)*100)</f>
        <v>80.872924543810626</v>
      </c>
      <c r="D32" s="233"/>
      <c r="G32" s="15"/>
    </row>
    <row r="33" spans="1:7">
      <c r="A33" s="171" t="s">
        <v>72</v>
      </c>
      <c r="B33" s="34" t="s">
        <v>111</v>
      </c>
      <c r="C33" s="167"/>
      <c r="D33" s="233"/>
      <c r="G33" s="15"/>
    </row>
    <row r="34" spans="1:7">
      <c r="A34" s="171" t="s">
        <v>73</v>
      </c>
      <c r="B34" s="33">
        <f>IF((($B$28-$B$32-$B$39-$B$77-$B$38)*C20/100)&lt;0,0,($B$28-$B$32-$B$39-$B$77-$B$38)*C20/100)</f>
        <v>411.55206611570247</v>
      </c>
      <c r="C34" s="167">
        <f>IF(ISERROR(B34/SUM($B$32,$B$34,$B$35,$B$36,$B$38,$B$39)*100),0,B34/SUM($B$32,$B$34,$B$35,$B$36,$B$38,$B$39)*100)</f>
        <v>3.3828050806814272</v>
      </c>
      <c r="D34" s="233"/>
      <c r="G34" s="15"/>
    </row>
    <row r="35" spans="1:7">
      <c r="A35" s="171" t="s">
        <v>74</v>
      </c>
      <c r="B35" s="33">
        <f>IF((($B$28-$B$32-$B$39-$B$77-$B$38)*C21/100)&lt;0,0,($B$28-$B$32-$B$39-$B$77-$B$38)*C21/100)</f>
        <v>1473.1256198347107</v>
      </c>
      <c r="C35" s="167">
        <f>IF(ISERROR(B35/SUM($B$32,$B$34,$B$35,$B$36,$B$38,$B$39)*100),0,B35/SUM($B$32,$B$34,$B$35,$B$36,$B$38,$B$39)*100)</f>
        <v>12.108545288794268</v>
      </c>
      <c r="D35" s="233"/>
      <c r="G35" s="15"/>
    </row>
    <row r="36" spans="1:7">
      <c r="A36" s="171" t="s">
        <v>75</v>
      </c>
      <c r="B36" s="33">
        <f>IF((($B$28-$B$32-$B$39-$B$77-$B$38)*C22/100)&lt;0,0,($B$28-$B$32-$B$39-$B$77-$B$38)*C22/100)</f>
        <v>442.32231404958679</v>
      </c>
      <c r="C36" s="167">
        <f>IF(ISERROR(B36/SUM($B$32,$B$34,$B$35,$B$36,$B$38,$B$39)*100),0,B36/SUM($B$32,$B$34,$B$35,$B$36,$B$38,$B$39)*100)</f>
        <v>3.6357250867136841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9839</v>
      </c>
      <c r="C44" s="34" t="s">
        <v>111</v>
      </c>
      <c r="D44" s="174"/>
    </row>
    <row r="45" spans="1:7">
      <c r="A45" s="171" t="s">
        <v>72</v>
      </c>
      <c r="B45" s="33" t="str">
        <f t="shared" si="0"/>
        <v>-</v>
      </c>
      <c r="C45" s="34" t="s">
        <v>111</v>
      </c>
      <c r="D45" s="174"/>
    </row>
    <row r="46" spans="1:7">
      <c r="A46" s="171" t="s">
        <v>73</v>
      </c>
      <c r="B46" s="33">
        <f t="shared" si="0"/>
        <v>411.55206611570247</v>
      </c>
      <c r="C46" s="34" t="s">
        <v>111</v>
      </c>
      <c r="D46" s="174"/>
    </row>
    <row r="47" spans="1:7">
      <c r="A47" s="171" t="s">
        <v>74</v>
      </c>
      <c r="B47" s="33">
        <f t="shared" si="0"/>
        <v>1473.1256198347107</v>
      </c>
      <c r="C47" s="34" t="s">
        <v>111</v>
      </c>
      <c r="D47" s="174"/>
    </row>
    <row r="48" spans="1:7">
      <c r="A48" s="171" t="s">
        <v>75</v>
      </c>
      <c r="B48" s="33">
        <f t="shared" si="0"/>
        <v>442.32231404958679</v>
      </c>
      <c r="C48" s="33">
        <f>B48*10</f>
        <v>4423.2231404958675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72753.478080000001</v>
      </c>
      <c r="C5" s="17">
        <f>IF(ISERROR('Eigen informatie GS &amp; warmtenet'!B58),0,'Eigen informatie GS &amp; warmtenet'!B58)</f>
        <v>0</v>
      </c>
      <c r="D5" s="30">
        <f>SUM(D6:D12)</f>
        <v>66527.530664075806</v>
      </c>
      <c r="E5" s="17">
        <f>SUM(E6:E12)</f>
        <v>1289.2653782772431</v>
      </c>
      <c r="F5" s="17">
        <f>SUM(F6:F12)</f>
        <v>17839.853645015446</v>
      </c>
      <c r="G5" s="18"/>
      <c r="H5" s="17"/>
      <c r="I5" s="17"/>
      <c r="J5" s="17">
        <f>SUM(J6:J12)</f>
        <v>0</v>
      </c>
      <c r="K5" s="17"/>
      <c r="L5" s="17"/>
      <c r="M5" s="17"/>
      <c r="N5" s="17">
        <f>SUM(N6:N12)</f>
        <v>7282.8546046032479</v>
      </c>
      <c r="O5" s="17">
        <f>B38*B39*B40</f>
        <v>1.5633333333333335</v>
      </c>
      <c r="P5" s="17">
        <f>B46*B47*B48/1000-B46*B47*B48/1000/B49</f>
        <v>343.2</v>
      </c>
      <c r="R5" s="32"/>
    </row>
    <row r="6" spans="1:18">
      <c r="A6" s="32" t="s">
        <v>54</v>
      </c>
      <c r="B6" s="37">
        <f>B26</f>
        <v>15652.853444</v>
      </c>
      <c r="C6" s="33"/>
      <c r="D6" s="37">
        <f>IF(ISERROR(TER_kantoor_gas_kWh/1000),0,TER_kantoor_gas_kWh/1000)*0.902</f>
        <v>14750.541361336002</v>
      </c>
      <c r="E6" s="33">
        <f>$C$26*'E Balans VL '!I12/100/3.6*1000000</f>
        <v>204.91513310150506</v>
      </c>
      <c r="F6" s="33">
        <f>$C$26*('E Balans VL '!L12+'E Balans VL '!N12)/100/3.6*1000000</f>
        <v>3991.3158776746859</v>
      </c>
      <c r="G6" s="34"/>
      <c r="H6" s="33"/>
      <c r="I6" s="33"/>
      <c r="J6" s="33">
        <f>$C$26*('E Balans VL '!D12+'E Balans VL '!E12)/100/3.6*1000000</f>
        <v>0</v>
      </c>
      <c r="K6" s="33"/>
      <c r="L6" s="33"/>
      <c r="M6" s="33"/>
      <c r="N6" s="33">
        <f>$C$26*'E Balans VL '!Y12/100/3.6*1000000</f>
        <v>15.705563589561866</v>
      </c>
      <c r="O6" s="33"/>
      <c r="P6" s="33"/>
      <c r="R6" s="32"/>
    </row>
    <row r="7" spans="1:18">
      <c r="A7" s="32" t="s">
        <v>53</v>
      </c>
      <c r="B7" s="37">
        <f t="shared" ref="B7:B12" si="0">B27</f>
        <v>4049.2994024999998</v>
      </c>
      <c r="C7" s="33"/>
      <c r="D7" s="37">
        <f>IF(ISERROR(TER_horeca_gas_kWh/1000),0,TER_horeca_gas_kWh/1000)*0.902</f>
        <v>5211.5968943258003</v>
      </c>
      <c r="E7" s="33">
        <f>$C$27*'E Balans VL '!I9/100/3.6*1000000</f>
        <v>134.00717916075675</v>
      </c>
      <c r="F7" s="33">
        <f>$C$27*('E Balans VL '!L9+'E Balans VL '!N9)/100/3.6*1000000</f>
        <v>1741.1832242799251</v>
      </c>
      <c r="G7" s="34"/>
      <c r="H7" s="33"/>
      <c r="I7" s="33"/>
      <c r="J7" s="33">
        <f>$C$27*('E Balans VL '!D9+'E Balans VL '!E9)/100/3.6*1000000</f>
        <v>0</v>
      </c>
      <c r="K7" s="33"/>
      <c r="L7" s="33"/>
      <c r="M7" s="33"/>
      <c r="N7" s="33">
        <f>$C$27*'E Balans VL '!Y9/100/3.6*1000000</f>
        <v>0.97472516846208823</v>
      </c>
      <c r="O7" s="33"/>
      <c r="P7" s="33"/>
      <c r="R7" s="32"/>
    </row>
    <row r="8" spans="1:18">
      <c r="A8" s="6" t="s">
        <v>52</v>
      </c>
      <c r="B8" s="37">
        <f t="shared" si="0"/>
        <v>24116.668002999999</v>
      </c>
      <c r="C8" s="33"/>
      <c r="D8" s="37">
        <f>IF(ISERROR(TER_handel_gas_kWh/1000),0,TER_handel_gas_kWh/1000)*0.902</f>
        <v>19060.117380766002</v>
      </c>
      <c r="E8" s="33">
        <f>$C$28*'E Balans VL '!I13/100/3.6*1000000</f>
        <v>761.15889134651445</v>
      </c>
      <c r="F8" s="33">
        <f>$C$28*('E Balans VL '!L13+'E Balans VL '!N13)/100/3.6*1000000</f>
        <v>4729.7032635460955</v>
      </c>
      <c r="G8" s="34"/>
      <c r="H8" s="33"/>
      <c r="I8" s="33"/>
      <c r="J8" s="33">
        <f>$C$28*('E Balans VL '!D13+'E Balans VL '!E13)/100/3.6*1000000</f>
        <v>0</v>
      </c>
      <c r="K8" s="33"/>
      <c r="L8" s="33"/>
      <c r="M8" s="33"/>
      <c r="N8" s="33">
        <f>$C$28*'E Balans VL '!Y13/100/3.6*1000000</f>
        <v>28.621802725949006</v>
      </c>
      <c r="O8" s="33"/>
      <c r="P8" s="33"/>
      <c r="R8" s="32"/>
    </row>
    <row r="9" spans="1:18">
      <c r="A9" s="32" t="s">
        <v>51</v>
      </c>
      <c r="B9" s="37">
        <f t="shared" si="0"/>
        <v>8218.8270645000011</v>
      </c>
      <c r="C9" s="33"/>
      <c r="D9" s="37">
        <f>IF(ISERROR(TER_gezond_gas_kWh/1000),0,TER_gezond_gas_kWh/1000)*0.902</f>
        <v>6469.0950095838007</v>
      </c>
      <c r="E9" s="33">
        <f>$C$29*'E Balans VL '!I10/100/3.6*1000000</f>
        <v>1.0522503007069379</v>
      </c>
      <c r="F9" s="33">
        <f>$C$29*('E Balans VL '!L10+'E Balans VL '!N10)/100/3.6*1000000</f>
        <v>1712.3261601471752</v>
      </c>
      <c r="G9" s="34"/>
      <c r="H9" s="33"/>
      <c r="I9" s="33"/>
      <c r="J9" s="33">
        <f>$C$29*('E Balans VL '!D10+'E Balans VL '!E10)/100/3.6*1000000</f>
        <v>0</v>
      </c>
      <c r="K9" s="33"/>
      <c r="L9" s="33"/>
      <c r="M9" s="33"/>
      <c r="N9" s="33">
        <f>$C$29*'E Balans VL '!Y10/100/3.6*1000000</f>
        <v>96.534008600932211</v>
      </c>
      <c r="O9" s="33"/>
      <c r="P9" s="33"/>
      <c r="R9" s="32"/>
    </row>
    <row r="10" spans="1:18">
      <c r="A10" s="32" t="s">
        <v>50</v>
      </c>
      <c r="B10" s="37">
        <f t="shared" si="0"/>
        <v>7968.0978548000003</v>
      </c>
      <c r="C10" s="33"/>
      <c r="D10" s="37">
        <f>IF(ISERROR(TER_ander_gas_kWh/1000),0,TER_ander_gas_kWh/1000)*0.902</f>
        <v>8451.9375854451991</v>
      </c>
      <c r="E10" s="33">
        <f>$C$30*'E Balans VL '!I14/100/3.6*1000000</f>
        <v>11.982145351202568</v>
      </c>
      <c r="F10" s="33">
        <f>$C$30*('E Balans VL '!L14+'E Balans VL '!N14)/100/3.6*1000000</f>
        <v>1759.0991579167335</v>
      </c>
      <c r="G10" s="34"/>
      <c r="H10" s="33"/>
      <c r="I10" s="33"/>
      <c r="J10" s="33">
        <f>$C$30*('E Balans VL '!D14+'E Balans VL '!E14)/100/3.6*1000000</f>
        <v>0</v>
      </c>
      <c r="K10" s="33"/>
      <c r="L10" s="33"/>
      <c r="M10" s="33"/>
      <c r="N10" s="33">
        <f>$C$30*'E Balans VL '!Y14/100/3.6*1000000</f>
        <v>6279.3973423500402</v>
      </c>
      <c r="O10" s="33"/>
      <c r="P10" s="33"/>
      <c r="R10" s="32"/>
    </row>
    <row r="11" spans="1:18">
      <c r="A11" s="32" t="s">
        <v>55</v>
      </c>
      <c r="B11" s="37">
        <f t="shared" si="0"/>
        <v>3047.7762089999997</v>
      </c>
      <c r="C11" s="33"/>
      <c r="D11" s="37">
        <f>IF(ISERROR(TER_onderwijs_gas_kWh/1000),0,TER_onderwijs_gas_kWh/1000)*0.902</f>
        <v>5374.2897812142</v>
      </c>
      <c r="E11" s="33">
        <f>$C$31*'E Balans VL '!I11/100/3.6*1000000</f>
        <v>5.3673893068124787</v>
      </c>
      <c r="F11" s="33">
        <f>$C$31*('E Balans VL '!L11+'E Balans VL '!N11)/100/3.6*1000000</f>
        <v>1407.2134251145885</v>
      </c>
      <c r="G11" s="34"/>
      <c r="H11" s="33"/>
      <c r="I11" s="33"/>
      <c r="J11" s="33">
        <f>$C$31*('E Balans VL '!D11+'E Balans VL '!E11)/100/3.6*1000000</f>
        <v>0</v>
      </c>
      <c r="K11" s="33"/>
      <c r="L11" s="33"/>
      <c r="M11" s="33"/>
      <c r="N11" s="33">
        <f>$C$31*'E Balans VL '!Y11/100/3.6*1000000</f>
        <v>5.6780492243897536</v>
      </c>
      <c r="O11" s="33"/>
      <c r="P11" s="33"/>
      <c r="R11" s="32"/>
    </row>
    <row r="12" spans="1:18">
      <c r="A12" s="32" t="s">
        <v>260</v>
      </c>
      <c r="B12" s="37">
        <f t="shared" si="0"/>
        <v>9699.9561021999998</v>
      </c>
      <c r="C12" s="33"/>
      <c r="D12" s="37">
        <f>IF(ISERROR(TER_rest_gas_kWh/1000),0,TER_rest_gas_kWh/1000)*0.902</f>
        <v>7209.9526514048002</v>
      </c>
      <c r="E12" s="33">
        <f>$C$32*'E Balans VL '!I8/100/3.6*1000000</f>
        <v>170.78238970974473</v>
      </c>
      <c r="F12" s="33">
        <f>$C$32*('E Balans VL '!L8+'E Balans VL '!N8)/100/3.6*1000000</f>
        <v>2499.0125363362408</v>
      </c>
      <c r="G12" s="34"/>
      <c r="H12" s="33"/>
      <c r="I12" s="33"/>
      <c r="J12" s="33">
        <f>$C$32*('E Balans VL '!D8+'E Balans VL '!E8)/100/3.6*1000000</f>
        <v>0</v>
      </c>
      <c r="K12" s="33"/>
      <c r="L12" s="33"/>
      <c r="M12" s="33"/>
      <c r="N12" s="33">
        <f>$C$32*'E Balans VL '!Y8/100/3.6*1000000</f>
        <v>855.94311294391287</v>
      </c>
      <c r="O12" s="33"/>
      <c r="P12" s="33"/>
      <c r="R12" s="32"/>
    </row>
    <row r="13" spans="1:18">
      <c r="A13" s="16" t="s">
        <v>491</v>
      </c>
      <c r="B13" s="247">
        <f ca="1">'lokale energieproductie'!N91+'lokale energieproductie'!N60</f>
        <v>900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-2571.4285714285716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73653.478080000001</v>
      </c>
      <c r="C16" s="21">
        <f t="shared" ca="1" si="1"/>
        <v>0</v>
      </c>
      <c r="D16" s="21">
        <f t="shared" ca="1" si="1"/>
        <v>66527.530664075806</v>
      </c>
      <c r="E16" s="21">
        <f t="shared" si="1"/>
        <v>1289.2653782772431</v>
      </c>
      <c r="F16" s="21">
        <f t="shared" ca="1" si="1"/>
        <v>17839.853645015446</v>
      </c>
      <c r="G16" s="21">
        <f t="shared" si="1"/>
        <v>0</v>
      </c>
      <c r="H16" s="21">
        <f t="shared" si="1"/>
        <v>0</v>
      </c>
      <c r="I16" s="21">
        <f t="shared" si="1"/>
        <v>0</v>
      </c>
      <c r="J16" s="21">
        <f t="shared" si="1"/>
        <v>0</v>
      </c>
      <c r="K16" s="21">
        <f t="shared" si="1"/>
        <v>0</v>
      </c>
      <c r="L16" s="21">
        <f t="shared" ca="1" si="1"/>
        <v>0</v>
      </c>
      <c r="M16" s="21">
        <f t="shared" si="1"/>
        <v>0</v>
      </c>
      <c r="N16" s="21">
        <f t="shared" ca="1" si="1"/>
        <v>4711.4260331746764</v>
      </c>
      <c r="O16" s="21">
        <f>O5</f>
        <v>1.5633333333333335</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0.21117355128525095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15553.666530663986</v>
      </c>
      <c r="C20" s="23">
        <f t="shared" ref="C20:P20" ca="1" si="2">C16*C18</f>
        <v>0</v>
      </c>
      <c r="D20" s="23">
        <f t="shared" ca="1" si="2"/>
        <v>13438.561194143314</v>
      </c>
      <c r="E20" s="23">
        <f t="shared" si="2"/>
        <v>292.66324086893422</v>
      </c>
      <c r="F20" s="23">
        <f t="shared" ca="1" si="2"/>
        <v>4763.2409232191239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15652.853444</v>
      </c>
      <c r="C26" s="39">
        <f>IF(ISERROR(B26*3.6/1000000/'E Balans VL '!Z12*100),0,B26*3.6/1000000/'E Balans VL '!Z12*100)</f>
        <v>0.33529628099880709</v>
      </c>
      <c r="D26" s="237" t="s">
        <v>660</v>
      </c>
      <c r="F26" s="6"/>
    </row>
    <row r="27" spans="1:18">
      <c r="A27" s="231" t="s">
        <v>53</v>
      </c>
      <c r="B27" s="33">
        <f>IF(ISERROR(TER_horeca_ele_kWh/1000),0,TER_horeca_ele_kWh/1000)</f>
        <v>4049.2994024999998</v>
      </c>
      <c r="C27" s="39">
        <f>IF(ISERROR(B27*3.6/1000000/'E Balans VL '!Z9*100),0,B27*3.6/1000000/'E Balans VL '!Z9*100)</f>
        <v>0.32494220182957001</v>
      </c>
      <c r="D27" s="237" t="s">
        <v>660</v>
      </c>
      <c r="F27" s="6"/>
    </row>
    <row r="28" spans="1:18">
      <c r="A28" s="171" t="s">
        <v>52</v>
      </c>
      <c r="B28" s="33">
        <f>IF(ISERROR(TER_handel_ele_kWh/1000),0,TER_handel_ele_kWh/1000)</f>
        <v>24116.668002999999</v>
      </c>
      <c r="C28" s="39">
        <f>IF(ISERROR(B28*3.6/1000000/'E Balans VL '!Z13*100),0,B28*3.6/1000000/'E Balans VL '!Z13*100)</f>
        <v>0.71130337839827806</v>
      </c>
      <c r="D28" s="237" t="s">
        <v>660</v>
      </c>
      <c r="F28" s="6"/>
    </row>
    <row r="29" spans="1:18">
      <c r="A29" s="231" t="s">
        <v>51</v>
      </c>
      <c r="B29" s="33">
        <f>IF(ISERROR(TER_gezond_ele_kWh/1000),0,TER_gezond_ele_kWh/1000)</f>
        <v>8218.8270645000011</v>
      </c>
      <c r="C29" s="39">
        <f>IF(ISERROR(B29*3.6/1000000/'E Balans VL '!Z10*100),0,B29*3.6/1000000/'E Balans VL '!Z10*100)</f>
        <v>0.87755037547175585</v>
      </c>
      <c r="D29" s="237" t="s">
        <v>660</v>
      </c>
      <c r="F29" s="6"/>
    </row>
    <row r="30" spans="1:18">
      <c r="A30" s="231" t="s">
        <v>50</v>
      </c>
      <c r="B30" s="33">
        <f>IF(ISERROR(TER_ander_ele_kWh/1000),0,TER_ander_ele_kWh/1000)</f>
        <v>7968.0978548000003</v>
      </c>
      <c r="C30" s="39">
        <f>IF(ISERROR(B30*3.6/1000000/'E Balans VL '!Z14*100),0,B30*3.6/1000000/'E Balans VL '!Z14*100)</f>
        <v>0.60186172043120723</v>
      </c>
      <c r="D30" s="237" t="s">
        <v>660</v>
      </c>
      <c r="F30" s="6"/>
    </row>
    <row r="31" spans="1:18">
      <c r="A31" s="231" t="s">
        <v>55</v>
      </c>
      <c r="B31" s="33">
        <f>IF(ISERROR(TER_onderwijs_ele_kWh/1000),0,TER_onderwijs_ele_kWh/1000)</f>
        <v>3047.7762089999997</v>
      </c>
      <c r="C31" s="39">
        <f>IF(ISERROR(B31*3.6/1000000/'E Balans VL '!Z11*100),0,B31*3.6/1000000/'E Balans VL '!Z11*100)</f>
        <v>0.61544775922700301</v>
      </c>
      <c r="D31" s="237" t="s">
        <v>660</v>
      </c>
    </row>
    <row r="32" spans="1:18">
      <c r="A32" s="231" t="s">
        <v>260</v>
      </c>
      <c r="B32" s="33">
        <f>IF(ISERROR(TER_rest_ele_kWh/1000),0,TER_rest_ele_kWh/1000)</f>
        <v>9699.9561021999998</v>
      </c>
      <c r="C32" s="39">
        <f>IF(ISERROR(B32*3.6/1000000/'E Balans VL '!Z8*100),0,B32*3.6/1000000/'E Balans VL '!Z8*100)</f>
        <v>8.042614317866853E-2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18</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97811.485883079993</v>
      </c>
      <c r="C5" s="17">
        <f>IF(ISERROR('Eigen informatie GS &amp; warmtenet'!B59),0,'Eigen informatie GS &amp; warmtenet'!B59)</f>
        <v>0</v>
      </c>
      <c r="D5" s="30">
        <f>SUM(D6:D15)</f>
        <v>47579.012889377198</v>
      </c>
      <c r="E5" s="17">
        <f>SUM(E6:E15)</f>
        <v>6682.1403551956155</v>
      </c>
      <c r="F5" s="17">
        <f>SUM(F6:F15)</f>
        <v>33950.974432675415</v>
      </c>
      <c r="G5" s="18"/>
      <c r="H5" s="17"/>
      <c r="I5" s="17"/>
      <c r="J5" s="17">
        <f>SUM(J6:J15)</f>
        <v>531.74943641597758</v>
      </c>
      <c r="K5" s="17"/>
      <c r="L5" s="17"/>
      <c r="M5" s="17"/>
      <c r="N5" s="17">
        <f>SUM(N6:N15)</f>
        <v>20434.618591293984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27700.196736000002</v>
      </c>
      <c r="C8" s="33"/>
      <c r="D8" s="37">
        <f>IF( ISERROR(IND_metaal_Gas_kWH/1000),0,IND_metaal_Gas_kWH/1000)*0.902</f>
        <v>1554.0692138223999</v>
      </c>
      <c r="E8" s="33">
        <f>C30*'E Balans VL '!I18/100/3.6*1000000</f>
        <v>996.73687733695829</v>
      </c>
      <c r="F8" s="33">
        <f>C30*'E Balans VL '!L18/100/3.6*1000000+C30*'E Balans VL '!N18/100/3.6*1000000</f>
        <v>12095.777970842673</v>
      </c>
      <c r="G8" s="34"/>
      <c r="H8" s="33"/>
      <c r="I8" s="33"/>
      <c r="J8" s="40">
        <f>C30*'E Balans VL '!D18/100/3.6*1000000+C30*'E Balans VL '!E18/100/3.6*1000000</f>
        <v>0</v>
      </c>
      <c r="K8" s="33"/>
      <c r="L8" s="33"/>
      <c r="M8" s="33"/>
      <c r="N8" s="33">
        <f>C30*'E Balans VL '!Y18/100/3.6*1000000</f>
        <v>1388.315036130025</v>
      </c>
      <c r="O8" s="33"/>
      <c r="P8" s="33"/>
      <c r="R8" s="32"/>
    </row>
    <row r="9" spans="1:18">
      <c r="A9" s="6" t="s">
        <v>33</v>
      </c>
      <c r="B9" s="37">
        <f t="shared" si="0"/>
        <v>10675.091666999999</v>
      </c>
      <c r="C9" s="33"/>
      <c r="D9" s="37">
        <f>IF( ISERROR(IND_andere_gas_kWh/1000),0,IND_andere_gas_kWh/1000)*0.902</f>
        <v>2683.6396550612003</v>
      </c>
      <c r="E9" s="33">
        <f>C31*'E Balans VL '!I19/100/3.6*1000000</f>
        <v>2724.0418627044101</v>
      </c>
      <c r="F9" s="33">
        <f>C31*'E Balans VL '!L19/100/3.6*1000000+C31*'E Balans VL '!N19/100/3.6*1000000</f>
        <v>9190.4515542038007</v>
      </c>
      <c r="G9" s="34"/>
      <c r="H9" s="33"/>
      <c r="I9" s="33"/>
      <c r="J9" s="40">
        <f>C31*'E Balans VL '!D19/100/3.6*1000000+C31*'E Balans VL '!E19/100/3.6*1000000</f>
        <v>0</v>
      </c>
      <c r="K9" s="33"/>
      <c r="L9" s="33"/>
      <c r="M9" s="33"/>
      <c r="N9" s="33">
        <f>C31*'E Balans VL '!Y19/100/3.6*1000000</f>
        <v>3338.4667479793779</v>
      </c>
      <c r="O9" s="33"/>
      <c r="P9" s="33"/>
      <c r="R9" s="32"/>
    </row>
    <row r="10" spans="1:18">
      <c r="A10" s="6" t="s">
        <v>41</v>
      </c>
      <c r="B10" s="37">
        <f t="shared" si="0"/>
        <v>5971.0082583999992</v>
      </c>
      <c r="C10" s="33"/>
      <c r="D10" s="37">
        <f>IF( ISERROR(IND_voed_gas_kWh/1000),0,IND_voed_gas_kWh/1000)*0.902</f>
        <v>8370.5896518970003</v>
      </c>
      <c r="E10" s="33">
        <f>C32*'E Balans VL '!I20/100/3.6*1000000</f>
        <v>151.79122879475003</v>
      </c>
      <c r="F10" s="33">
        <f>C32*'E Balans VL '!L20/100/3.6*1000000+C32*'E Balans VL '!N20/100/3.6*1000000</f>
        <v>1351.1495363120441</v>
      </c>
      <c r="G10" s="34"/>
      <c r="H10" s="33"/>
      <c r="I10" s="33"/>
      <c r="J10" s="40">
        <f>C32*'E Balans VL '!D20/100/3.6*1000000+C32*'E Balans VL '!E20/100/3.6*1000000</f>
        <v>0</v>
      </c>
      <c r="K10" s="33"/>
      <c r="L10" s="33"/>
      <c r="M10" s="33"/>
      <c r="N10" s="33">
        <f>C32*'E Balans VL '!Y20/100/3.6*1000000</f>
        <v>2239.2899474450178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221.72698478000001</v>
      </c>
      <c r="C12" s="33"/>
      <c r="D12" s="37">
        <f>IF( ISERROR(IND_min_gas_kWh/1000),0,IND_min_gas_kWh/1000)*0.902</f>
        <v>0</v>
      </c>
      <c r="E12" s="33">
        <f>C34*'E Balans VL '!I22/100/3.6*1000000</f>
        <v>4.7111427294800858</v>
      </c>
      <c r="F12" s="33">
        <f>C34*'E Balans VL '!L22/100/3.6*1000000+C34*'E Balans VL '!N22/100/3.6*1000000</f>
        <v>36.176647146087035</v>
      </c>
      <c r="G12" s="34"/>
      <c r="H12" s="33"/>
      <c r="I12" s="33"/>
      <c r="J12" s="40">
        <f>C34*'E Balans VL '!D22/100/3.6*1000000+C34*'E Balans VL '!E22/100/3.6*1000000</f>
        <v>0.25833262894443298</v>
      </c>
      <c r="K12" s="33"/>
      <c r="L12" s="33"/>
      <c r="M12" s="33"/>
      <c r="N12" s="33">
        <f>C34*'E Balans VL '!Y22/100/3.6*1000000</f>
        <v>0</v>
      </c>
      <c r="O12" s="33"/>
      <c r="P12" s="33"/>
      <c r="R12" s="32"/>
    </row>
    <row r="13" spans="1:18">
      <c r="A13" s="6" t="s">
        <v>39</v>
      </c>
      <c r="B13" s="37">
        <f t="shared" si="0"/>
        <v>1696.8833368999999</v>
      </c>
      <c r="C13" s="33"/>
      <c r="D13" s="37">
        <f>IF( ISERROR(IND_papier_gas_kWh/1000),0,IND_papier_gas_kWh/1000)*0.902</f>
        <v>540.12925411059996</v>
      </c>
      <c r="E13" s="33">
        <f>C35*'E Balans VL '!I23/100/3.6*1000000</f>
        <v>7.2774389784247502</v>
      </c>
      <c r="F13" s="33">
        <f>C35*'E Balans VL '!L23/100/3.6*1000000+C35*'E Balans VL '!N23/100/3.6*1000000</f>
        <v>42.647945046890619</v>
      </c>
      <c r="G13" s="34"/>
      <c r="H13" s="33"/>
      <c r="I13" s="33"/>
      <c r="J13" s="40">
        <f>C35*'E Balans VL '!D23/100/3.6*1000000+C35*'E Balans VL '!E23/100/3.6*1000000</f>
        <v>113.59703238320537</v>
      </c>
      <c r="K13" s="33"/>
      <c r="L13" s="33"/>
      <c r="M13" s="33"/>
      <c r="N13" s="33">
        <f>C35*'E Balans VL '!Y23/100/3.6*1000000</f>
        <v>3088.7312074113015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51546.5789</v>
      </c>
      <c r="C15" s="33"/>
      <c r="D15" s="37">
        <f>IF( ISERROR(IND_rest_gas_kWh/1000),0,IND_rest_gas_kWh/1000)*0.902</f>
        <v>34430.585114485999</v>
      </c>
      <c r="E15" s="33">
        <f>C37*'E Balans VL '!I15/100/3.6*1000000</f>
        <v>2797.5818046515919</v>
      </c>
      <c r="F15" s="33">
        <f>C37*'E Balans VL '!L15/100/3.6*1000000+C37*'E Balans VL '!N15/100/3.6*1000000</f>
        <v>11234.770779123919</v>
      </c>
      <c r="G15" s="34"/>
      <c r="H15" s="33"/>
      <c r="I15" s="33"/>
      <c r="J15" s="40">
        <f>C37*'E Balans VL '!D15/100/3.6*1000000+C37*'E Balans VL '!E15/100/3.6*1000000</f>
        <v>417.89407140382775</v>
      </c>
      <c r="K15" s="33"/>
      <c r="L15" s="33"/>
      <c r="M15" s="33"/>
      <c r="N15" s="33">
        <f>C37*'E Balans VL '!Y15/100/3.6*1000000</f>
        <v>10379.81565232826</v>
      </c>
      <c r="O15" s="33"/>
      <c r="P15" s="33"/>
      <c r="R15" s="32"/>
    </row>
    <row r="16" spans="1:18">
      <c r="A16" s="16" t="s">
        <v>491</v>
      </c>
      <c r="B16" s="247">
        <f>'lokale energieproductie'!N90+'lokale energieproductie'!N59</f>
        <v>630.00000000000011</v>
      </c>
      <c r="C16" s="247">
        <f>'lokale energieproductie'!O90+'lokale energieproductie'!O59</f>
        <v>900.00000000000023</v>
      </c>
      <c r="D16" s="310">
        <f>('lokale energieproductie'!P59+'lokale energieproductie'!P90)*(-1)</f>
        <v>-1800.0000000000005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98441.485883079993</v>
      </c>
      <c r="C18" s="21">
        <f>C5+C16</f>
        <v>900.00000000000023</v>
      </c>
      <c r="D18" s="21">
        <f>MAX((D5+D16),0)</f>
        <v>45779.012889377198</v>
      </c>
      <c r="E18" s="21">
        <f>MAX((E5+E16),0)</f>
        <v>6682.1403551956155</v>
      </c>
      <c r="F18" s="21">
        <f>MAX((F5+F16),0)</f>
        <v>33950.974432675415</v>
      </c>
      <c r="G18" s="21"/>
      <c r="H18" s="21"/>
      <c r="I18" s="21"/>
      <c r="J18" s="21">
        <f>MAX((J5+J16),0)</f>
        <v>531.74943641597758</v>
      </c>
      <c r="K18" s="21"/>
      <c r="L18" s="21">
        <f>MAX((L5+L16),0)</f>
        <v>0</v>
      </c>
      <c r="M18" s="21"/>
      <c r="N18" s="21">
        <f>MAX((N5+N16),0)</f>
        <v>20434.618591293984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0.21117355128525095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20788.2381677269</v>
      </c>
      <c r="C22" s="23">
        <f ca="1">C18*C20</f>
        <v>213.88235294117658</v>
      </c>
      <c r="D22" s="23">
        <f>D18*D20</f>
        <v>9247.3606036541951</v>
      </c>
      <c r="E22" s="23">
        <f>E18*E20</f>
        <v>1516.8458606294048</v>
      </c>
      <c r="F22" s="23">
        <f>F18*F20</f>
        <v>9064.9101735243366</v>
      </c>
      <c r="G22" s="23"/>
      <c r="H22" s="23"/>
      <c r="I22" s="23"/>
      <c r="J22" s="23">
        <f>J18*J20</f>
        <v>188.23930049125605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27700.196736000002</v>
      </c>
      <c r="C30" s="39">
        <f>IF(ISERROR(B30*3.6/1000000/'E Balans VL '!Z18*100),0,B30*3.6/1000000/'E Balans VL '!Z18*100)</f>
        <v>5.8690778117923195</v>
      </c>
      <c r="D30" s="237" t="s">
        <v>660</v>
      </c>
    </row>
    <row r="31" spans="1:18">
      <c r="A31" s="6" t="s">
        <v>33</v>
      </c>
      <c r="B31" s="37">
        <f>IF( ISERROR(IND_ander_ele_kWh/1000),0,IND_ander_ele_kWh/1000)</f>
        <v>10675.091666999999</v>
      </c>
      <c r="C31" s="39">
        <f>IF(ISERROR(B31*3.6/1000000/'E Balans VL '!Z19*100),0,B31*3.6/1000000/'E Balans VL '!Z19*100)</f>
        <v>0.44933884782250394</v>
      </c>
      <c r="D31" s="237" t="s">
        <v>660</v>
      </c>
    </row>
    <row r="32" spans="1:18">
      <c r="A32" s="171" t="s">
        <v>41</v>
      </c>
      <c r="B32" s="37">
        <f>IF( ISERROR(IND_voed_ele_kWh/1000),0,IND_voed_ele_kWh/1000)</f>
        <v>5971.0082583999992</v>
      </c>
      <c r="C32" s="39">
        <f>IF(ISERROR(B32*3.6/1000000/'E Balans VL '!Z20*100),0,B32*3.6/1000000/'E Balans VL '!Z20*100)</f>
        <v>0.9975244868777966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221.72698478000001</v>
      </c>
      <c r="C34" s="39">
        <f>IF(ISERROR(B34*3.6/1000000/'E Balans VL '!Z22*100),0,B34*3.6/1000000/'E Balans VL '!Z22*100)</f>
        <v>2.8105091090962261E-2</v>
      </c>
      <c r="D34" s="237" t="s">
        <v>660</v>
      </c>
    </row>
    <row r="35" spans="1:5">
      <c r="A35" s="171" t="s">
        <v>39</v>
      </c>
      <c r="B35" s="37">
        <f>IF( ISERROR(IND_papier_ele_kWh/1000),0,IND_papier_ele_kWh/1000)</f>
        <v>1696.8833368999999</v>
      </c>
      <c r="C35" s="39">
        <f>IF(ISERROR(B35*3.6/1000000/'E Balans VL '!Z22*100),0,B35*3.6/1000000/'E Balans VL '!Z22*100)</f>
        <v>0.21508911421688295</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51546.5789</v>
      </c>
      <c r="C37" s="39">
        <f>IF(ISERROR(B37*3.6/1000000/'E Balans VL '!Z15*100),0,B37*3.6/1000000/'E Balans VL '!Z15*100)</f>
        <v>0.41615549120988016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1578.78770263</v>
      </c>
      <c r="C5" s="17">
        <f>'Eigen informatie GS &amp; warmtenet'!B60</f>
        <v>0</v>
      </c>
      <c r="D5" s="30">
        <f>IF(ISERROR(SUM(LB_lb_gas_kWh,LB_rest_gas_kWh)/1000),0,SUM(LB_lb_gas_kWh,LB_rest_gas_kWh)/1000)*0.902</f>
        <v>66294.470293333827</v>
      </c>
      <c r="E5" s="17">
        <f>B17*'E Balans VL '!I25/3.6*1000000/100</f>
        <v>40.710873006888214</v>
      </c>
      <c r="F5" s="17">
        <f>B17*('E Balans VL '!L25/3.6*1000000+'E Balans VL '!N25/3.6*1000000)/100</f>
        <v>5770.7697186251453</v>
      </c>
      <c r="G5" s="18"/>
      <c r="H5" s="17"/>
      <c r="I5" s="17"/>
      <c r="J5" s="17">
        <f>('E Balans VL '!D25+'E Balans VL '!E25)/3.6*1000000*landbouw!B17/100</f>
        <v>227.28735085691054</v>
      </c>
      <c r="K5" s="17"/>
      <c r="L5" s="17">
        <f>L6*(-1)</f>
        <v>0</v>
      </c>
      <c r="M5" s="17"/>
      <c r="N5" s="17">
        <f>N6*(-1)</f>
        <v>0</v>
      </c>
      <c r="O5" s="17"/>
      <c r="P5" s="17"/>
      <c r="R5" s="32"/>
    </row>
    <row r="6" spans="1:18">
      <c r="A6" s="16" t="s">
        <v>491</v>
      </c>
      <c r="B6" s="17" t="s">
        <v>211</v>
      </c>
      <c r="C6" s="17">
        <f>'lokale energieproductie'!O92+'lokale energieproductie'!O61</f>
        <v>32406.428571428572</v>
      </c>
      <c r="D6" s="310">
        <f>('lokale energieproductie'!P61+'lokale energieproductie'!P92)*(-1)</f>
        <v>-64812.857142857145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1578.78770263</v>
      </c>
      <c r="C8" s="21">
        <f>C5+C6</f>
        <v>32406.428571428572</v>
      </c>
      <c r="D8" s="21">
        <f>MAX((D5+D6),0)</f>
        <v>1481.6131504766818</v>
      </c>
      <c r="E8" s="21">
        <f>MAX((E5+E6),0)</f>
        <v>40.710873006888214</v>
      </c>
      <c r="F8" s="21">
        <f>MAX((F5+F6),0)</f>
        <v>5770.7697186251453</v>
      </c>
      <c r="G8" s="21"/>
      <c r="H8" s="21"/>
      <c r="I8" s="21"/>
      <c r="J8" s="21">
        <f>MAX((J5+J6),0)</f>
        <v>227.28735085691054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0.21117355128525095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333.39820588985981</v>
      </c>
      <c r="C12" s="23">
        <f ca="1">C8*C10</f>
        <v>7701.2924369747916</v>
      </c>
      <c r="D12" s="23">
        <f>D8*D10</f>
        <v>299.28585639628972</v>
      </c>
      <c r="E12" s="23">
        <f>E8*E10</f>
        <v>9.2413681725636252</v>
      </c>
      <c r="F12" s="23">
        <f>F8*F10</f>
        <v>1540.7955148729138</v>
      </c>
      <c r="G12" s="23"/>
      <c r="H12" s="23"/>
      <c r="I12" s="23"/>
      <c r="J12" s="23">
        <f>J8*J10</f>
        <v>80.459722203346331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0.22261952372608154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165.34852963142853</v>
      </c>
      <c r="C26" s="247">
        <f>B26*'GWP N2O_CH4'!B5</f>
        <v>3472.3191222599994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67.271627315988667</v>
      </c>
      <c r="C27" s="247">
        <f>B27*'GWP N2O_CH4'!B5</f>
        <v>1412.7041736357619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3.8540569371538278</v>
      </c>
      <c r="C28" s="247">
        <f>B28*'GWP N2O_CH4'!B4</f>
        <v>1194.7576505176867</v>
      </c>
      <c r="D28" s="50"/>
    </row>
    <row r="29" spans="1:4">
      <c r="A29" s="41" t="s">
        <v>277</v>
      </c>
      <c r="B29" s="247">
        <f>B34*'ha_N2O bodem landbouw'!B4</f>
        <v>10.307212783427167</v>
      </c>
      <c r="C29" s="247">
        <f>B29*'GWP N2O_CH4'!B4</f>
        <v>3195.2359628624217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2.3196829865070319E-3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1.9796604297680128E-4</v>
      </c>
      <c r="C5" s="463" t="s">
        <v>211</v>
      </c>
      <c r="D5" s="448">
        <f>SUM(D6:D11)</f>
        <v>4.408797667203893E-4</v>
      </c>
      <c r="E5" s="448">
        <f>SUM(E6:E11)</f>
        <v>1.8556203380979673E-3</v>
      </c>
      <c r="F5" s="461" t="s">
        <v>211</v>
      </c>
      <c r="G5" s="448">
        <f>SUM(G6:G11)</f>
        <v>0.64870025448970092</v>
      </c>
      <c r="H5" s="448">
        <f>SUM(H6:H11)</f>
        <v>0.12040489922125319</v>
      </c>
      <c r="I5" s="463" t="s">
        <v>211</v>
      </c>
      <c r="J5" s="463" t="s">
        <v>211</v>
      </c>
      <c r="K5" s="463" t="s">
        <v>211</v>
      </c>
      <c r="L5" s="463" t="s">
        <v>211</v>
      </c>
      <c r="M5" s="448">
        <f>SUM(M6:M11)</f>
        <v>2.4044598462139678E-2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9.7812101896496454E-5</v>
      </c>
      <c r="C6" s="449"/>
      <c r="D6" s="892">
        <f>vkm_2011_GW_PW*SUMIFS(TableVerdeelsleutelVkm[CNG],TableVerdeelsleutelVkm[Voertuigtype],"Lichte voertuigen")*SUMIFS(TableECFTransport[EnergieConsumptieFactor (PJ per km)],TableECFTransport[Index],CONCATENATE($A6,"_CNG_CNG"))</f>
        <v>1.9435435979739206E-4</v>
      </c>
      <c r="E6" s="892">
        <f>vkm_2011_GW_PW*SUMIFS(TableVerdeelsleutelVkm[LPG],TableVerdeelsleutelVkm[Voertuigtype],"Lichte voertuigen")*SUMIFS(TableECFTransport[EnergieConsumptieFactor (PJ per km)],TableECFTransport[Index],CONCATENATE($A6,"_LPG_LPG"))</f>
        <v>7.6485407661788969E-4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0.18185605574605229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5.2617572218803206E-2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7.3064147634986669E-3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7.4851751771218361E-2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2.4180313002985346E-5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2.3584641694372184E-3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2.6558225759188374E-5</v>
      </c>
      <c r="C8" s="449"/>
      <c r="D8" s="451">
        <f>vkm_2011_NGW_PW*SUMIFS(TableVerdeelsleutelVkm[CNG],TableVerdeelsleutelVkm[Voertuigtype],"Lichte voertuigen")*SUMIFS(TableECFTransport[EnergieConsumptieFactor (PJ per km)],TableECFTransport[Index],CONCATENATE($A8,"_CNG_CNG"))</f>
        <v>9.3439358901010268E-5</v>
      </c>
      <c r="E8" s="451">
        <f>vkm_2011_NGW_PW*SUMIFS(TableVerdeelsleutelVkm[LPG],TableVerdeelsleutelVkm[Voertuigtype],"Lichte voertuigen")*SUMIFS(TableECFTransport[EnergieConsumptieFactor (PJ per km)],TableECFTransport[Index],CONCATENATE($A8,"_LPG_LPG"))</f>
        <v>3.4007360710860973E-4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7.5505900595258593E-2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2.4529199974984241E-2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3.1140536460498329E-3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1.8319821303885372E-2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5.5968607440318481E-6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5.7721990402015107E-4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7.359571532111647E-5</v>
      </c>
      <c r="C10" s="449"/>
      <c r="D10" s="451">
        <f>vkm_2011_SW_PW*SUMIFS(TableVerdeelsleutelVkm[CNG],TableVerdeelsleutelVkm[Voertuigtype],"Lichte voertuigen")*SUMIFS(TableECFTransport[EnergieConsumptieFactor (PJ per km)],TableECFTransport[Index],CONCATENATE($A10,"_CNG_CNG"))</f>
        <v>1.5308604802198697E-4</v>
      </c>
      <c r="E10" s="451">
        <f>vkm_2011_SW_PW*SUMIFS(TableVerdeelsleutelVkm[LPG],TableVerdeelsleutelVkm[Voertuigtype],"Lichte voertuigen")*SUMIFS(TableECFTransport[EnergieConsumptieFactor (PJ per km)],TableECFTransport[Index],CONCATENATE($A10,"_LPG_LPG"))</f>
        <v>7.50692654371468E-4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0.15988891621052023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4.3180221088369469E-2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6.3314200470642084E-3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0.13827780886276614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4.8128765349265027E-5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4.3570259320696034E-3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54.990567493555915</v>
      </c>
      <c r="C14" s="21"/>
      <c r="D14" s="21">
        <f t="shared" ref="D14:M14" si="0">((D5)*10^9/3600)+D12</f>
        <v>122.46660186677481</v>
      </c>
      <c r="E14" s="21">
        <f t="shared" si="0"/>
        <v>515.45009391610199</v>
      </c>
      <c r="F14" s="21"/>
      <c r="G14" s="21">
        <f t="shared" si="0"/>
        <v>180194.51513602803</v>
      </c>
      <c r="H14" s="21">
        <f t="shared" si="0"/>
        <v>33445.805339236998</v>
      </c>
      <c r="I14" s="21"/>
      <c r="J14" s="21"/>
      <c r="K14" s="21"/>
      <c r="L14" s="21"/>
      <c r="M14" s="21">
        <f t="shared" si="0"/>
        <v>6679.0551283721325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0.21117355128525095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11.612553424805483</v>
      </c>
      <c r="C18" s="23"/>
      <c r="D18" s="23">
        <f t="shared" ref="D18:M18" si="1">D14*D16</f>
        <v>24.738253577088514</v>
      </c>
      <c r="E18" s="23">
        <f t="shared" si="1"/>
        <v>117.00717131895516</v>
      </c>
      <c r="F18" s="23"/>
      <c r="G18" s="23">
        <f t="shared" si="1"/>
        <v>48111.935541319486</v>
      </c>
      <c r="H18" s="23">
        <f t="shared" si="1"/>
        <v>8328.0055294700123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8.2825954846297116E-3</v>
      </c>
      <c r="H50" s="321">
        <f t="shared" si="2"/>
        <v>0</v>
      </c>
      <c r="I50" s="321">
        <f t="shared" si="2"/>
        <v>0</v>
      </c>
      <c r="J50" s="321">
        <f t="shared" si="2"/>
        <v>0</v>
      </c>
      <c r="K50" s="321">
        <f t="shared" si="2"/>
        <v>0</v>
      </c>
      <c r="L50" s="321">
        <f t="shared" si="2"/>
        <v>0</v>
      </c>
      <c r="M50" s="321">
        <f t="shared" si="2"/>
        <v>2.5690758225895222E-4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8.2825954846297116E-3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2.5690758225895222E-4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2300.7209679526977</v>
      </c>
      <c r="H54" s="21">
        <f t="shared" si="3"/>
        <v>0</v>
      </c>
      <c r="I54" s="21">
        <f t="shared" si="3"/>
        <v>0</v>
      </c>
      <c r="J54" s="21">
        <f t="shared" si="3"/>
        <v>0</v>
      </c>
      <c r="K54" s="21">
        <f t="shared" si="3"/>
        <v>0</v>
      </c>
      <c r="L54" s="21">
        <f t="shared" si="3"/>
        <v>0</v>
      </c>
      <c r="M54" s="21">
        <f t="shared" si="3"/>
        <v>71.363217294153401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0.21117355128525095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614.29249844337028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75015.654080000008</v>
      </c>
      <c r="D10" s="1012">
        <f ca="1">tertiair!C16</f>
        <v>0</v>
      </c>
      <c r="E10" s="1012">
        <f ca="1">tertiair!D16</f>
        <v>66527.530664075806</v>
      </c>
      <c r="F10" s="1012">
        <f>tertiair!E16</f>
        <v>1289.2653782772431</v>
      </c>
      <c r="G10" s="1012">
        <f ca="1">tertiair!F16</f>
        <v>17839.853645015446</v>
      </c>
      <c r="H10" s="1012">
        <f>tertiair!G16</f>
        <v>0</v>
      </c>
      <c r="I10" s="1012">
        <f>tertiair!H16</f>
        <v>0</v>
      </c>
      <c r="J10" s="1012">
        <f>tertiair!I16</f>
        <v>0</v>
      </c>
      <c r="K10" s="1012">
        <f>tertiair!J16</f>
        <v>0</v>
      </c>
      <c r="L10" s="1012">
        <f>tertiair!K16</f>
        <v>0</v>
      </c>
      <c r="M10" s="1012">
        <f ca="1">tertiair!L16</f>
        <v>0</v>
      </c>
      <c r="N10" s="1012">
        <f>tertiair!M16</f>
        <v>0</v>
      </c>
      <c r="O10" s="1012">
        <f ca="1">tertiair!N16</f>
        <v>4711.4260331746764</v>
      </c>
      <c r="P10" s="1012">
        <f>tertiair!O16</f>
        <v>1.5633333333333335</v>
      </c>
      <c r="Q10" s="1013">
        <f>tertiair!P16</f>
        <v>343.2</v>
      </c>
      <c r="R10" s="700">
        <f ca="1">SUM(C10:Q10)</f>
        <v>165728.49313387653</v>
      </c>
      <c r="S10" s="67"/>
    </row>
    <row r="11" spans="1:19" s="473" customFormat="1">
      <c r="A11" s="809" t="s">
        <v>225</v>
      </c>
      <c r="B11" s="814"/>
      <c r="C11" s="1012">
        <f>huishoudens!B8</f>
        <v>43520.985055089877</v>
      </c>
      <c r="D11" s="1012">
        <f>huishoudens!C8</f>
        <v>0</v>
      </c>
      <c r="E11" s="1012">
        <f>huishoudens!D8</f>
        <v>129713.44123473999</v>
      </c>
      <c r="F11" s="1012">
        <f>huishoudens!E8</f>
        <v>9308.4384520474232</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28413.145860256391</v>
      </c>
      <c r="P11" s="1012">
        <f>huishoudens!O8</f>
        <v>379.89000000000004</v>
      </c>
      <c r="Q11" s="1013">
        <f>huishoudens!P8</f>
        <v>953.33333333333326</v>
      </c>
      <c r="R11" s="700">
        <f>SUM(C11:Q11)</f>
        <v>212289.23393546703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98441.485883079993</v>
      </c>
      <c r="D13" s="1012">
        <f>industrie!C18</f>
        <v>900.00000000000023</v>
      </c>
      <c r="E13" s="1012">
        <f>industrie!D18</f>
        <v>45779.012889377198</v>
      </c>
      <c r="F13" s="1012">
        <f>industrie!E18</f>
        <v>6682.1403551956155</v>
      </c>
      <c r="G13" s="1012">
        <f>industrie!F18</f>
        <v>33950.974432675415</v>
      </c>
      <c r="H13" s="1012">
        <f>industrie!G18</f>
        <v>0</v>
      </c>
      <c r="I13" s="1012">
        <f>industrie!H18</f>
        <v>0</v>
      </c>
      <c r="J13" s="1012">
        <f>industrie!I18</f>
        <v>0</v>
      </c>
      <c r="K13" s="1012">
        <f>industrie!J18</f>
        <v>531.74943641597758</v>
      </c>
      <c r="L13" s="1012">
        <f>industrie!K18</f>
        <v>0</v>
      </c>
      <c r="M13" s="1012">
        <f>industrie!L18</f>
        <v>0</v>
      </c>
      <c r="N13" s="1012">
        <f>industrie!M18</f>
        <v>0</v>
      </c>
      <c r="O13" s="1012">
        <f>industrie!N18</f>
        <v>20434.618591293984</v>
      </c>
      <c r="P13" s="1012">
        <f>industrie!O18</f>
        <v>0</v>
      </c>
      <c r="Q13" s="1013">
        <f>industrie!P18</f>
        <v>0</v>
      </c>
      <c r="R13" s="700">
        <f>SUM(C13:Q13)</f>
        <v>206719.98158803815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216978.12501816987</v>
      </c>
      <c r="D16" s="732">
        <f t="shared" ref="D16:R16" ca="1" si="0">SUM(D9:D15)</f>
        <v>900.00000000000023</v>
      </c>
      <c r="E16" s="732">
        <f t="shared" ca="1" si="0"/>
        <v>242019.98478819299</v>
      </c>
      <c r="F16" s="732">
        <f t="shared" si="0"/>
        <v>17279.844185520284</v>
      </c>
      <c r="G16" s="732">
        <f t="shared" ca="1" si="0"/>
        <v>51790.828077690865</v>
      </c>
      <c r="H16" s="732">
        <f t="shared" si="0"/>
        <v>0</v>
      </c>
      <c r="I16" s="732">
        <f t="shared" si="0"/>
        <v>0</v>
      </c>
      <c r="J16" s="732">
        <f t="shared" si="0"/>
        <v>0</v>
      </c>
      <c r="K16" s="732">
        <f t="shared" si="0"/>
        <v>531.74943641597758</v>
      </c>
      <c r="L16" s="732">
        <f t="shared" si="0"/>
        <v>0</v>
      </c>
      <c r="M16" s="732">
        <f t="shared" ca="1" si="0"/>
        <v>0</v>
      </c>
      <c r="N16" s="732">
        <f t="shared" si="0"/>
        <v>0</v>
      </c>
      <c r="O16" s="732">
        <f t="shared" ca="1" si="0"/>
        <v>53559.190484725048</v>
      </c>
      <c r="P16" s="732">
        <f t="shared" si="0"/>
        <v>381.45333333333338</v>
      </c>
      <c r="Q16" s="732">
        <f t="shared" si="0"/>
        <v>1296.5333333333333</v>
      </c>
      <c r="R16" s="732">
        <f t="shared" ca="1" si="0"/>
        <v>584737.70865738171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2300.7209679526977</v>
      </c>
      <c r="I19" s="1012">
        <f>transport!H54</f>
        <v>0</v>
      </c>
      <c r="J19" s="1012">
        <f>transport!I54</f>
        <v>0</v>
      </c>
      <c r="K19" s="1012">
        <f>transport!J54</f>
        <v>0</v>
      </c>
      <c r="L19" s="1012">
        <f>transport!K54</f>
        <v>0</v>
      </c>
      <c r="M19" s="1012">
        <f>transport!L54</f>
        <v>0</v>
      </c>
      <c r="N19" s="1012">
        <f>transport!M54</f>
        <v>71.363217294153401</v>
      </c>
      <c r="O19" s="1012">
        <f>transport!N54</f>
        <v>0</v>
      </c>
      <c r="P19" s="1012">
        <f>transport!O54</f>
        <v>0</v>
      </c>
      <c r="Q19" s="1013">
        <f>transport!P54</f>
        <v>0</v>
      </c>
      <c r="R19" s="700">
        <f>SUM(C19:Q19)</f>
        <v>2372.0841852468511</v>
      </c>
      <c r="S19" s="67"/>
    </row>
    <row r="20" spans="1:19" s="473" customFormat="1">
      <c r="A20" s="809" t="s">
        <v>307</v>
      </c>
      <c r="B20" s="814"/>
      <c r="C20" s="1012">
        <f>transport!B14</f>
        <v>54.990567493555915</v>
      </c>
      <c r="D20" s="1012">
        <f>transport!C14</f>
        <v>0</v>
      </c>
      <c r="E20" s="1012">
        <f>transport!D14</f>
        <v>122.46660186677481</v>
      </c>
      <c r="F20" s="1012">
        <f>transport!E14</f>
        <v>515.45009391610199</v>
      </c>
      <c r="G20" s="1012">
        <f>transport!F14</f>
        <v>0</v>
      </c>
      <c r="H20" s="1012">
        <f>transport!G14</f>
        <v>180194.51513602803</v>
      </c>
      <c r="I20" s="1012">
        <f>transport!H14</f>
        <v>33445.805339236998</v>
      </c>
      <c r="J20" s="1012">
        <f>transport!I14</f>
        <v>0</v>
      </c>
      <c r="K20" s="1012">
        <f>transport!J14</f>
        <v>0</v>
      </c>
      <c r="L20" s="1012">
        <f>transport!K14</f>
        <v>0</v>
      </c>
      <c r="M20" s="1012">
        <f>transport!L14</f>
        <v>0</v>
      </c>
      <c r="N20" s="1012">
        <f>transport!M14</f>
        <v>6679.0551283721325</v>
      </c>
      <c r="O20" s="1012">
        <f>transport!N14</f>
        <v>0</v>
      </c>
      <c r="P20" s="1012">
        <f>transport!O14</f>
        <v>0</v>
      </c>
      <c r="Q20" s="1013">
        <f>transport!P14</f>
        <v>0</v>
      </c>
      <c r="R20" s="700">
        <f>SUM(C20:Q20)</f>
        <v>221012.28286691359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54.990567493555915</v>
      </c>
      <c r="D22" s="812">
        <f t="shared" ref="D22:R22" si="1">SUM(D18:D21)</f>
        <v>0</v>
      </c>
      <c r="E22" s="812">
        <f t="shared" si="1"/>
        <v>122.46660186677481</v>
      </c>
      <c r="F22" s="812">
        <f t="shared" si="1"/>
        <v>515.45009391610199</v>
      </c>
      <c r="G22" s="812">
        <f t="shared" si="1"/>
        <v>0</v>
      </c>
      <c r="H22" s="812">
        <f t="shared" si="1"/>
        <v>182495.23610398071</v>
      </c>
      <c r="I22" s="812">
        <f t="shared" si="1"/>
        <v>33445.805339236998</v>
      </c>
      <c r="J22" s="812">
        <f t="shared" si="1"/>
        <v>0</v>
      </c>
      <c r="K22" s="812">
        <f t="shared" si="1"/>
        <v>0</v>
      </c>
      <c r="L22" s="812">
        <f t="shared" si="1"/>
        <v>0</v>
      </c>
      <c r="M22" s="812">
        <f t="shared" si="1"/>
        <v>0</v>
      </c>
      <c r="N22" s="812">
        <f t="shared" si="1"/>
        <v>6750.4183456662859</v>
      </c>
      <c r="O22" s="812">
        <f t="shared" si="1"/>
        <v>0</v>
      </c>
      <c r="P22" s="812">
        <f t="shared" si="1"/>
        <v>0</v>
      </c>
      <c r="Q22" s="812">
        <f t="shared" si="1"/>
        <v>0</v>
      </c>
      <c r="R22" s="812">
        <f t="shared" si="1"/>
        <v>223384.36705216044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1578.78770263</v>
      </c>
      <c r="D24" s="1012">
        <f>+landbouw!C8</f>
        <v>32406.428571428572</v>
      </c>
      <c r="E24" s="1012">
        <f>+landbouw!D8</f>
        <v>1481.6131504766818</v>
      </c>
      <c r="F24" s="1012">
        <f>+landbouw!E8</f>
        <v>40.710873006888214</v>
      </c>
      <c r="G24" s="1012">
        <f>+landbouw!F8</f>
        <v>5770.7697186251453</v>
      </c>
      <c r="H24" s="1012">
        <f>+landbouw!G8</f>
        <v>0</v>
      </c>
      <c r="I24" s="1012">
        <f>+landbouw!H8</f>
        <v>0</v>
      </c>
      <c r="J24" s="1012">
        <f>+landbouw!I8</f>
        <v>0</v>
      </c>
      <c r="K24" s="1012">
        <f>+landbouw!J8</f>
        <v>227.28735085691054</v>
      </c>
      <c r="L24" s="1012">
        <f>+landbouw!K8</f>
        <v>0</v>
      </c>
      <c r="M24" s="1012">
        <f>+landbouw!L8</f>
        <v>0</v>
      </c>
      <c r="N24" s="1012">
        <f>+landbouw!M8</f>
        <v>0</v>
      </c>
      <c r="O24" s="1012">
        <f>+landbouw!N8</f>
        <v>0</v>
      </c>
      <c r="P24" s="1012">
        <f>+landbouw!O8</f>
        <v>0</v>
      </c>
      <c r="Q24" s="1013">
        <f>+landbouw!P8</f>
        <v>0</v>
      </c>
      <c r="R24" s="700">
        <f>SUM(C24:Q24)</f>
        <v>41505.597367024195</v>
      </c>
      <c r="S24" s="67"/>
    </row>
    <row r="25" spans="1:19" s="473" customFormat="1" ht="15" thickBot="1">
      <c r="A25" s="831" t="s">
        <v>848</v>
      </c>
      <c r="B25" s="1015"/>
      <c r="C25" s="1016">
        <f>IF(Onbekend_ele_kWh="---",0,Onbekend_ele_kWh)/1000+IF(REST_rest_ele_kWh="---",0,REST_rest_ele_kWh)/1000</f>
        <v>2942.3186003999999</v>
      </c>
      <c r="D25" s="1016"/>
      <c r="E25" s="1016">
        <f>IF(onbekend_gas_kWh="---",0,onbekend_gas_kWh)/1000+IF(REST_rest_gas_kWh="---",0,REST_rest_gas_kWh)/1000</f>
        <v>4415.2033394</v>
      </c>
      <c r="F25" s="1016"/>
      <c r="G25" s="1016"/>
      <c r="H25" s="1016"/>
      <c r="I25" s="1016"/>
      <c r="J25" s="1016"/>
      <c r="K25" s="1016"/>
      <c r="L25" s="1016"/>
      <c r="M25" s="1016"/>
      <c r="N25" s="1016"/>
      <c r="O25" s="1016"/>
      <c r="P25" s="1016"/>
      <c r="Q25" s="1017"/>
      <c r="R25" s="700">
        <f>SUM(C25:Q25)</f>
        <v>7357.5219397999999</v>
      </c>
      <c r="S25" s="67"/>
    </row>
    <row r="26" spans="1:19" s="473" customFormat="1" ht="15.75" thickBot="1">
      <c r="A26" s="705" t="s">
        <v>849</v>
      </c>
      <c r="B26" s="817"/>
      <c r="C26" s="812">
        <f>SUM(C24:C25)</f>
        <v>4521.1063030300002</v>
      </c>
      <c r="D26" s="812">
        <f t="shared" ref="D26:R26" si="2">SUM(D24:D25)</f>
        <v>32406.428571428572</v>
      </c>
      <c r="E26" s="812">
        <f t="shared" si="2"/>
        <v>5896.8164898766818</v>
      </c>
      <c r="F26" s="812">
        <f t="shared" si="2"/>
        <v>40.710873006888214</v>
      </c>
      <c r="G26" s="812">
        <f t="shared" si="2"/>
        <v>5770.7697186251453</v>
      </c>
      <c r="H26" s="812">
        <f t="shared" si="2"/>
        <v>0</v>
      </c>
      <c r="I26" s="812">
        <f t="shared" si="2"/>
        <v>0</v>
      </c>
      <c r="J26" s="812">
        <f t="shared" si="2"/>
        <v>0</v>
      </c>
      <c r="K26" s="812">
        <f t="shared" si="2"/>
        <v>227.28735085691054</v>
      </c>
      <c r="L26" s="812">
        <f t="shared" si="2"/>
        <v>0</v>
      </c>
      <c r="M26" s="812">
        <f t="shared" si="2"/>
        <v>0</v>
      </c>
      <c r="N26" s="812">
        <f t="shared" si="2"/>
        <v>0</v>
      </c>
      <c r="O26" s="812">
        <f t="shared" si="2"/>
        <v>0</v>
      </c>
      <c r="P26" s="812">
        <f t="shared" si="2"/>
        <v>0</v>
      </c>
      <c r="Q26" s="812">
        <f t="shared" si="2"/>
        <v>0</v>
      </c>
      <c r="R26" s="812">
        <f t="shared" si="2"/>
        <v>48863.119306824192</v>
      </c>
      <c r="S26" s="67"/>
    </row>
    <row r="27" spans="1:19" s="473" customFormat="1" ht="17.25" thickTop="1" thickBot="1">
      <c r="A27" s="706" t="s">
        <v>116</v>
      </c>
      <c r="B27" s="805"/>
      <c r="C27" s="707">
        <f ca="1">C22+C16+C26</f>
        <v>221554.22188869343</v>
      </c>
      <c r="D27" s="707">
        <f t="shared" ref="D27:R27" ca="1" si="3">D22+D16+D26</f>
        <v>33306.428571428572</v>
      </c>
      <c r="E27" s="707">
        <f t="shared" ca="1" si="3"/>
        <v>248039.26787993644</v>
      </c>
      <c r="F27" s="707">
        <f t="shared" si="3"/>
        <v>17836.005152443271</v>
      </c>
      <c r="G27" s="707">
        <f t="shared" ca="1" si="3"/>
        <v>57561.597796316011</v>
      </c>
      <c r="H27" s="707">
        <f t="shared" si="3"/>
        <v>182495.23610398071</v>
      </c>
      <c r="I27" s="707">
        <f t="shared" si="3"/>
        <v>33445.805339236998</v>
      </c>
      <c r="J27" s="707">
        <f t="shared" si="3"/>
        <v>0</v>
      </c>
      <c r="K27" s="707">
        <f t="shared" si="3"/>
        <v>759.03678727288809</v>
      </c>
      <c r="L27" s="707">
        <f t="shared" si="3"/>
        <v>0</v>
      </c>
      <c r="M27" s="707">
        <f t="shared" ca="1" si="3"/>
        <v>0</v>
      </c>
      <c r="N27" s="707">
        <f t="shared" si="3"/>
        <v>6750.4183456662859</v>
      </c>
      <c r="O27" s="707">
        <f t="shared" ca="1" si="3"/>
        <v>53559.190484725048</v>
      </c>
      <c r="P27" s="707">
        <f t="shared" si="3"/>
        <v>381.45333333333338</v>
      </c>
      <c r="Q27" s="707">
        <f t="shared" si="3"/>
        <v>1296.5333333333333</v>
      </c>
      <c r="R27" s="707">
        <f t="shared" ca="1" si="3"/>
        <v>856985.19501636631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15841.322074059524</v>
      </c>
      <c r="D40" s="1012">
        <f ca="1">tertiair!C20</f>
        <v>0</v>
      </c>
      <c r="E40" s="1012">
        <f ca="1">tertiair!D20</f>
        <v>13438.561194143314</v>
      </c>
      <c r="F40" s="1012">
        <f>tertiair!E20</f>
        <v>292.66324086893422</v>
      </c>
      <c r="G40" s="1012">
        <f ca="1">tertiair!F20</f>
        <v>4763.2409232191239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34335.78743229089</v>
      </c>
    </row>
    <row r="41" spans="1:18">
      <c r="A41" s="822" t="s">
        <v>225</v>
      </c>
      <c r="B41" s="829"/>
      <c r="C41" s="1012">
        <f ca="1">huishoudens!B12</f>
        <v>9190.4809695156619</v>
      </c>
      <c r="D41" s="1012">
        <f ca="1">huishoudens!C12</f>
        <v>0</v>
      </c>
      <c r="E41" s="1012">
        <f>huishoudens!D12</f>
        <v>26202.115129417482</v>
      </c>
      <c r="F41" s="1012">
        <f>huishoudens!E12</f>
        <v>2113.0155286147651</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37505.611627547907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20788.2381677269</v>
      </c>
      <c r="D43" s="1012">
        <f ca="1">industrie!C22</f>
        <v>213.88235294117658</v>
      </c>
      <c r="E43" s="1012">
        <f>industrie!D22</f>
        <v>9247.3606036541951</v>
      </c>
      <c r="F43" s="1012">
        <f>industrie!E22</f>
        <v>1516.8458606294048</v>
      </c>
      <c r="G43" s="1012">
        <f>industrie!F22</f>
        <v>9064.9101735243366</v>
      </c>
      <c r="H43" s="1012">
        <f>industrie!G22</f>
        <v>0</v>
      </c>
      <c r="I43" s="1012">
        <f>industrie!H22</f>
        <v>0</v>
      </c>
      <c r="J43" s="1012">
        <f>industrie!I22</f>
        <v>0</v>
      </c>
      <c r="K43" s="1012">
        <f>industrie!J22</f>
        <v>188.23930049125605</v>
      </c>
      <c r="L43" s="1012">
        <f>industrie!K22</f>
        <v>0</v>
      </c>
      <c r="M43" s="1012">
        <f>industrie!L22</f>
        <v>0</v>
      </c>
      <c r="N43" s="1012">
        <f>industrie!M22</f>
        <v>0</v>
      </c>
      <c r="O43" s="1012">
        <f>industrie!N22</f>
        <v>0</v>
      </c>
      <c r="P43" s="1012">
        <f>industrie!O22</f>
        <v>0</v>
      </c>
      <c r="Q43" s="774">
        <f>industrie!P22</f>
        <v>0</v>
      </c>
      <c r="R43" s="849">
        <f t="shared" ca="1" si="4"/>
        <v>41019.47645896727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45820.041211302087</v>
      </c>
      <c r="D46" s="732">
        <f t="shared" ref="D46:Q46" ca="1" si="5">SUM(D39:D45)</f>
        <v>213.88235294117658</v>
      </c>
      <c r="E46" s="732">
        <f t="shared" ca="1" si="5"/>
        <v>48888.036927214991</v>
      </c>
      <c r="F46" s="732">
        <f t="shared" si="5"/>
        <v>3922.5246301131042</v>
      </c>
      <c r="G46" s="732">
        <f t="shared" ca="1" si="5"/>
        <v>13828.151096743461</v>
      </c>
      <c r="H46" s="732">
        <f t="shared" si="5"/>
        <v>0</v>
      </c>
      <c r="I46" s="732">
        <f t="shared" si="5"/>
        <v>0</v>
      </c>
      <c r="J46" s="732">
        <f t="shared" si="5"/>
        <v>0</v>
      </c>
      <c r="K46" s="732">
        <f t="shared" si="5"/>
        <v>188.23930049125605</v>
      </c>
      <c r="L46" s="732">
        <f t="shared" si="5"/>
        <v>0</v>
      </c>
      <c r="M46" s="732">
        <f t="shared" ca="1" si="5"/>
        <v>0</v>
      </c>
      <c r="N46" s="732">
        <f t="shared" si="5"/>
        <v>0</v>
      </c>
      <c r="O46" s="732">
        <f t="shared" ca="1" si="5"/>
        <v>0</v>
      </c>
      <c r="P46" s="732">
        <f t="shared" si="5"/>
        <v>0</v>
      </c>
      <c r="Q46" s="732">
        <f t="shared" si="5"/>
        <v>0</v>
      </c>
      <c r="R46" s="732">
        <f ca="1">SUM(R39:R45)</f>
        <v>112860.87551880606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614.29249844337028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614.29249844337028</v>
      </c>
    </row>
    <row r="50" spans="1:18">
      <c r="A50" s="825" t="s">
        <v>307</v>
      </c>
      <c r="B50" s="835"/>
      <c r="C50" s="703">
        <f ca="1">transport!B18</f>
        <v>11.612553424805483</v>
      </c>
      <c r="D50" s="703">
        <f>transport!C18</f>
        <v>0</v>
      </c>
      <c r="E50" s="703">
        <f>transport!D18</f>
        <v>24.738253577088514</v>
      </c>
      <c r="F50" s="703">
        <f>transport!E18</f>
        <v>117.00717131895516</v>
      </c>
      <c r="G50" s="703">
        <f>transport!F18</f>
        <v>0</v>
      </c>
      <c r="H50" s="703">
        <f>transport!G18</f>
        <v>48111.935541319486</v>
      </c>
      <c r="I50" s="703">
        <f>transport!H18</f>
        <v>8328.0055294700123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56593.299049110348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11.612553424805483</v>
      </c>
      <c r="D52" s="732">
        <f t="shared" ref="D52:Q52" ca="1" si="6">SUM(D48:D51)</f>
        <v>0</v>
      </c>
      <c r="E52" s="732">
        <f t="shared" si="6"/>
        <v>24.738253577088514</v>
      </c>
      <c r="F52" s="732">
        <f t="shared" si="6"/>
        <v>117.00717131895516</v>
      </c>
      <c r="G52" s="732">
        <f t="shared" si="6"/>
        <v>0</v>
      </c>
      <c r="H52" s="732">
        <f t="shared" si="6"/>
        <v>48726.228039762856</v>
      </c>
      <c r="I52" s="732">
        <f t="shared" si="6"/>
        <v>8328.0055294700123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57207.591547553719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333.39820588985981</v>
      </c>
      <c r="D54" s="703">
        <f ca="1">+landbouw!C12</f>
        <v>7701.2924369747916</v>
      </c>
      <c r="E54" s="703">
        <f>+landbouw!D12</f>
        <v>299.28585639628972</v>
      </c>
      <c r="F54" s="703">
        <f>+landbouw!E12</f>
        <v>9.2413681725636252</v>
      </c>
      <c r="G54" s="703">
        <f>+landbouw!F12</f>
        <v>1540.7955148729138</v>
      </c>
      <c r="H54" s="703">
        <f>+landbouw!G12</f>
        <v>0</v>
      </c>
      <c r="I54" s="703">
        <f>+landbouw!H12</f>
        <v>0</v>
      </c>
      <c r="J54" s="703">
        <f>+landbouw!I12</f>
        <v>0</v>
      </c>
      <c r="K54" s="703">
        <f>+landbouw!J12</f>
        <v>80.459722203346331</v>
      </c>
      <c r="L54" s="703">
        <f>+landbouw!K12</f>
        <v>0</v>
      </c>
      <c r="M54" s="703">
        <f>+landbouw!L12</f>
        <v>0</v>
      </c>
      <c r="N54" s="703">
        <f>+landbouw!M12</f>
        <v>0</v>
      </c>
      <c r="O54" s="703">
        <f>+landbouw!N12</f>
        <v>0</v>
      </c>
      <c r="P54" s="703">
        <f>+landbouw!O12</f>
        <v>0</v>
      </c>
      <c r="Q54" s="704">
        <f>+landbouw!P12</f>
        <v>0</v>
      </c>
      <c r="R54" s="731">
        <f ca="1">SUM(C54:Q54)</f>
        <v>9964.4731045097651</v>
      </c>
    </row>
    <row r="55" spans="1:18" ht="15" thickBot="1">
      <c r="A55" s="825" t="s">
        <v>848</v>
      </c>
      <c r="B55" s="835"/>
      <c r="C55" s="703">
        <f ca="1">C25*'EF ele_warmte'!B12</f>
        <v>621.33986785911713</v>
      </c>
      <c r="D55" s="703"/>
      <c r="E55" s="703">
        <f>E25*EF_CO2_aardgas</f>
        <v>891.87107455880005</v>
      </c>
      <c r="F55" s="703"/>
      <c r="G55" s="703"/>
      <c r="H55" s="703"/>
      <c r="I55" s="703"/>
      <c r="J55" s="703"/>
      <c r="K55" s="703"/>
      <c r="L55" s="703"/>
      <c r="M55" s="703"/>
      <c r="N55" s="703"/>
      <c r="O55" s="703"/>
      <c r="P55" s="703"/>
      <c r="Q55" s="704"/>
      <c r="R55" s="731">
        <f ca="1">SUM(C55:Q55)</f>
        <v>1513.2109424179171</v>
      </c>
    </row>
    <row r="56" spans="1:18" ht="15.75" thickBot="1">
      <c r="A56" s="823" t="s">
        <v>849</v>
      </c>
      <c r="B56" s="836"/>
      <c r="C56" s="732">
        <f ca="1">SUM(C54:C55)</f>
        <v>954.73807374897694</v>
      </c>
      <c r="D56" s="732">
        <f t="shared" ref="D56:Q56" ca="1" si="7">SUM(D54:D55)</f>
        <v>7701.2924369747916</v>
      </c>
      <c r="E56" s="732">
        <f t="shared" si="7"/>
        <v>1191.1569309550898</v>
      </c>
      <c r="F56" s="732">
        <f t="shared" si="7"/>
        <v>9.2413681725636252</v>
      </c>
      <c r="G56" s="732">
        <f t="shared" si="7"/>
        <v>1540.7955148729138</v>
      </c>
      <c r="H56" s="732">
        <f t="shared" si="7"/>
        <v>0</v>
      </c>
      <c r="I56" s="732">
        <f t="shared" si="7"/>
        <v>0</v>
      </c>
      <c r="J56" s="732">
        <f t="shared" si="7"/>
        <v>0</v>
      </c>
      <c r="K56" s="732">
        <f t="shared" si="7"/>
        <v>80.459722203346331</v>
      </c>
      <c r="L56" s="732">
        <f t="shared" si="7"/>
        <v>0</v>
      </c>
      <c r="M56" s="732">
        <f t="shared" si="7"/>
        <v>0</v>
      </c>
      <c r="N56" s="732">
        <f t="shared" si="7"/>
        <v>0</v>
      </c>
      <c r="O56" s="732">
        <f t="shared" si="7"/>
        <v>0</v>
      </c>
      <c r="P56" s="732">
        <f t="shared" si="7"/>
        <v>0</v>
      </c>
      <c r="Q56" s="733">
        <f t="shared" si="7"/>
        <v>0</v>
      </c>
      <c r="R56" s="734">
        <f ca="1">SUM(R54:R55)</f>
        <v>11477.684046927683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46786.391838475873</v>
      </c>
      <c r="D61" s="740">
        <f t="shared" ref="D61:Q61" ca="1" si="8">D46+D52+D56</f>
        <v>7915.1747899159682</v>
      </c>
      <c r="E61" s="740">
        <f t="shared" ca="1" si="8"/>
        <v>50103.93211174717</v>
      </c>
      <c r="F61" s="740">
        <f t="shared" si="8"/>
        <v>4048.773169604623</v>
      </c>
      <c r="G61" s="740">
        <f t="shared" ca="1" si="8"/>
        <v>15368.946611616375</v>
      </c>
      <c r="H61" s="740">
        <f t="shared" si="8"/>
        <v>48726.228039762856</v>
      </c>
      <c r="I61" s="740">
        <f t="shared" si="8"/>
        <v>8328.0055294700123</v>
      </c>
      <c r="J61" s="740">
        <f t="shared" si="8"/>
        <v>0</v>
      </c>
      <c r="K61" s="740">
        <f t="shared" si="8"/>
        <v>268.69902269460238</v>
      </c>
      <c r="L61" s="740">
        <f t="shared" si="8"/>
        <v>0</v>
      </c>
      <c r="M61" s="740">
        <f t="shared" ca="1" si="8"/>
        <v>0</v>
      </c>
      <c r="N61" s="740">
        <f t="shared" si="8"/>
        <v>0</v>
      </c>
      <c r="O61" s="740">
        <f t="shared" ca="1" si="8"/>
        <v>0</v>
      </c>
      <c r="P61" s="740">
        <f t="shared" si="8"/>
        <v>0</v>
      </c>
      <c r="Q61" s="740">
        <f t="shared" si="8"/>
        <v>0</v>
      </c>
      <c r="R61" s="740">
        <f ca="1">R46+R52+R56</f>
        <v>181546.15111328746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0.21117355128525095</v>
      </c>
      <c r="D63" s="781">
        <f t="shared" ca="1" si="9"/>
        <v>0.23764705882352946</v>
      </c>
      <c r="E63" s="1023">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10707.280777676724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23314.5</v>
      </c>
      <c r="D76" s="1033">
        <f>'lokale energieproductie'!C8</f>
        <v>27428.823529411766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5540.6223529411773</v>
      </c>
      <c r="R76" s="852">
        <v>0</v>
      </c>
    </row>
    <row r="77" spans="1:18" ht="30.75" thickBot="1">
      <c r="A77" s="753" t="s">
        <v>353</v>
      </c>
      <c r="B77" s="750">
        <f>'lokale energieproductie'!B9*IFERROR(SUM(I77:O77)/SUM(D77:O77),0)</f>
        <v>900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2571.4285714285716</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11607.280777676724</v>
      </c>
      <c r="C78" s="755">
        <f>SUM(C72:C77)</f>
        <v>23314.5</v>
      </c>
      <c r="D78" s="756">
        <f t="shared" ref="D78:H78" si="10">SUM(D76:D77)</f>
        <v>27428.823529411766</v>
      </c>
      <c r="E78" s="756">
        <f t="shared" si="10"/>
        <v>0</v>
      </c>
      <c r="F78" s="756">
        <f t="shared" si="10"/>
        <v>0</v>
      </c>
      <c r="G78" s="756">
        <f t="shared" si="10"/>
        <v>0</v>
      </c>
      <c r="H78" s="756">
        <f t="shared" si="10"/>
        <v>0</v>
      </c>
      <c r="I78" s="756">
        <f>SUM(I76:I77)</f>
        <v>0</v>
      </c>
      <c r="J78" s="756">
        <f>SUM(J76:J77)</f>
        <v>2571.4285714285716</v>
      </c>
      <c r="K78" s="756">
        <f t="shared" ref="K78:L78" si="11">SUM(K76:K77)</f>
        <v>0</v>
      </c>
      <c r="L78" s="756">
        <f t="shared" si="11"/>
        <v>0</v>
      </c>
      <c r="M78" s="756">
        <f>SUM(M76:M77)</f>
        <v>0</v>
      </c>
      <c r="N78" s="756">
        <f>SUM(N76:N77)</f>
        <v>0</v>
      </c>
      <c r="O78" s="860">
        <f>SUM(O76:O77)</f>
        <v>0</v>
      </c>
      <c r="P78" s="757">
        <v>0</v>
      </c>
      <c r="Q78" s="757">
        <f>SUM(Q76:Q77)</f>
        <v>5540.6223529411773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33306.428571428572</v>
      </c>
      <c r="D87" s="777">
        <f>'lokale energieproductie'!C17</f>
        <v>39184.033613445383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7915.1747899159682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33306.428571428572</v>
      </c>
      <c r="D90" s="755">
        <f t="shared" ref="D90:H90" si="12">SUM(D87:D89)</f>
        <v>39184.033613445383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7915.1747899159682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10707.280777676724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23314.5</v>
      </c>
      <c r="C8" s="570">
        <f>B101</f>
        <v>27428.823529411766</v>
      </c>
      <c r="D8" s="1043"/>
      <c r="E8" s="1043">
        <f>E101</f>
        <v>0</v>
      </c>
      <c r="F8" s="1044"/>
      <c r="G8" s="571"/>
      <c r="H8" s="1043">
        <f>I101</f>
        <v>0</v>
      </c>
      <c r="I8" s="1043">
        <f>G101+F101</f>
        <v>0</v>
      </c>
      <c r="J8" s="1043">
        <f>H101+D101+C101</f>
        <v>0</v>
      </c>
      <c r="K8" s="1043"/>
      <c r="L8" s="1043"/>
      <c r="M8" s="1043"/>
      <c r="N8" s="572"/>
      <c r="O8" s="573">
        <f>C8*$C$12+D8*$D$12+E8*$E$12+F8*$F$12+G8*$G$12+H8*$H$12+I8*$I$12+J8*$J$12</f>
        <v>5540.6223529411773</v>
      </c>
      <c r="P8" s="1258"/>
      <c r="Q8" s="1259"/>
      <c r="S8" s="1007"/>
      <c r="T8" s="1237"/>
      <c r="U8" s="1237"/>
    </row>
    <row r="9" spans="1:21" s="559" customFormat="1" ht="17.45" customHeight="1" thickBot="1">
      <c r="A9" s="574" t="s">
        <v>248</v>
      </c>
      <c r="B9" s="575">
        <f>N89+'Eigen informatie GS &amp; warmtenet'!B12</f>
        <v>900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34921.780777676722</v>
      </c>
      <c r="C10" s="583">
        <f t="shared" ref="C10:L10" si="0">SUM(C8:C9)</f>
        <v>27428.823529411766</v>
      </c>
      <c r="D10" s="583">
        <f t="shared" si="0"/>
        <v>0</v>
      </c>
      <c r="E10" s="583">
        <f t="shared" si="0"/>
        <v>0</v>
      </c>
      <c r="F10" s="583">
        <f t="shared" si="0"/>
        <v>0</v>
      </c>
      <c r="G10" s="583">
        <f t="shared" si="0"/>
        <v>0</v>
      </c>
      <c r="H10" s="583">
        <f t="shared" si="0"/>
        <v>0</v>
      </c>
      <c r="I10" s="583">
        <f t="shared" si="0"/>
        <v>0</v>
      </c>
      <c r="J10" s="583">
        <f t="shared" si="0"/>
        <v>2571.4285714285716</v>
      </c>
      <c r="K10" s="583">
        <f t="shared" si="0"/>
        <v>0</v>
      </c>
      <c r="L10" s="583">
        <f t="shared" si="0"/>
        <v>0</v>
      </c>
      <c r="M10" s="1046"/>
      <c r="N10" s="1046"/>
      <c r="O10" s="584">
        <f>SUM(O4:O9)</f>
        <v>5540.6223529411773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33306.428571428572</v>
      </c>
      <c r="C17" s="595">
        <f>B102</f>
        <v>39184.033613445383</v>
      </c>
      <c r="D17" s="596"/>
      <c r="E17" s="596">
        <f>E102</f>
        <v>0</v>
      </c>
      <c r="F17" s="1049"/>
      <c r="G17" s="597"/>
      <c r="H17" s="595">
        <f>I102</f>
        <v>0</v>
      </c>
      <c r="I17" s="596">
        <f>G102+F102</f>
        <v>0</v>
      </c>
      <c r="J17" s="596">
        <f>H102+D102+C102</f>
        <v>0</v>
      </c>
      <c r="K17" s="596"/>
      <c r="L17" s="596"/>
      <c r="M17" s="596"/>
      <c r="N17" s="1050"/>
      <c r="O17" s="598">
        <f>C17*$C$22+E17*$E$22+H17*$H$22+I17*$I$22+J17*$J$22+D17*$D$22+F17*$F$22+G17*$G$22+K17*$K$22+L17*$L$22</f>
        <v>7915.1747899159682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33306.428571428572</v>
      </c>
      <c r="C20" s="582">
        <f>SUM(C17:C19)</f>
        <v>39184.033613445383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7915.1747899159682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13011</v>
      </c>
      <c r="C28" s="796">
        <v>2200</v>
      </c>
      <c r="D28" s="653" t="s">
        <v>890</v>
      </c>
      <c r="E28" s="652" t="s">
        <v>891</v>
      </c>
      <c r="F28" s="652" t="s">
        <v>892</v>
      </c>
      <c r="G28" s="652" t="s">
        <v>893</v>
      </c>
      <c r="H28" s="652" t="s">
        <v>894</v>
      </c>
      <c r="I28" s="652" t="s">
        <v>891</v>
      </c>
      <c r="J28" s="795">
        <v>41323</v>
      </c>
      <c r="K28" s="795">
        <v>39511</v>
      </c>
      <c r="L28" s="652" t="s">
        <v>895</v>
      </c>
      <c r="M28" s="652">
        <v>5041</v>
      </c>
      <c r="N28" s="652">
        <v>22684.5</v>
      </c>
      <c r="O28" s="652">
        <v>32406.428571428572</v>
      </c>
      <c r="P28" s="652">
        <v>64812.857142857145</v>
      </c>
      <c r="Q28" s="652">
        <v>0</v>
      </c>
      <c r="R28" s="652">
        <v>0</v>
      </c>
      <c r="S28" s="652">
        <v>0</v>
      </c>
      <c r="T28" s="652">
        <v>0</v>
      </c>
      <c r="U28" s="652">
        <v>0</v>
      </c>
      <c r="V28" s="652">
        <v>0</v>
      </c>
      <c r="W28" s="652">
        <v>0</v>
      </c>
      <c r="X28" s="652">
        <v>10</v>
      </c>
      <c r="Y28" s="652" t="s">
        <v>112</v>
      </c>
      <c r="Z28" s="654" t="s">
        <v>112</v>
      </c>
    </row>
    <row r="29" spans="1:26" s="606" customFormat="1" ht="38.25">
      <c r="A29" s="605"/>
      <c r="B29" s="796">
        <v>13011</v>
      </c>
      <c r="C29" s="796">
        <v>2200</v>
      </c>
      <c r="D29" s="653" t="s">
        <v>896</v>
      </c>
      <c r="E29" s="652" t="s">
        <v>897</v>
      </c>
      <c r="F29" s="652" t="s">
        <v>898</v>
      </c>
      <c r="G29" s="652" t="s">
        <v>893</v>
      </c>
      <c r="H29" s="652" t="s">
        <v>894</v>
      </c>
      <c r="I29" s="652" t="s">
        <v>897</v>
      </c>
      <c r="J29" s="795">
        <v>41326</v>
      </c>
      <c r="K29" s="795">
        <v>41395</v>
      </c>
      <c r="L29" s="652" t="s">
        <v>895</v>
      </c>
      <c r="M29" s="652">
        <v>140</v>
      </c>
      <c r="N29" s="652">
        <v>630.00000000000011</v>
      </c>
      <c r="O29" s="652">
        <v>900.00000000000023</v>
      </c>
      <c r="P29" s="652">
        <v>1800.0000000000005</v>
      </c>
      <c r="Q29" s="652">
        <v>0</v>
      </c>
      <c r="R29" s="652">
        <v>0</v>
      </c>
      <c r="S29" s="652">
        <v>0</v>
      </c>
      <c r="T29" s="652">
        <v>0</v>
      </c>
      <c r="U29" s="652">
        <v>0</v>
      </c>
      <c r="V29" s="652">
        <v>0</v>
      </c>
      <c r="W29" s="652">
        <v>0</v>
      </c>
      <c r="X29" s="652">
        <v>800</v>
      </c>
      <c r="Y29" s="652" t="s">
        <v>36</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5181</v>
      </c>
      <c r="N58" s="610">
        <f>SUM(N28:N57)</f>
        <v>23314.5</v>
      </c>
      <c r="O58" s="610">
        <f t="shared" ref="O58:W58" si="2">SUM(O28:O57)</f>
        <v>33306.428571428572</v>
      </c>
      <c r="P58" s="610">
        <f t="shared" si="2"/>
        <v>66612.857142857145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140</v>
      </c>
      <c r="N59" s="610">
        <f t="shared" si="3"/>
        <v>630.00000000000011</v>
      </c>
      <c r="O59" s="610">
        <f t="shared" si="3"/>
        <v>900.00000000000023</v>
      </c>
      <c r="P59" s="610">
        <f t="shared" si="3"/>
        <v>1800.0000000000005</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5041</v>
      </c>
      <c r="N61" s="615">
        <f t="shared" si="4"/>
        <v>22684.5</v>
      </c>
      <c r="O61" s="615">
        <f t="shared" si="4"/>
        <v>32406.428571428572</v>
      </c>
      <c r="P61" s="615">
        <f t="shared" si="4"/>
        <v>64812.857142857145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13011</v>
      </c>
      <c r="C64" s="796">
        <v>2200</v>
      </c>
      <c r="D64" s="655" t="s">
        <v>899</v>
      </c>
      <c r="E64" s="655" t="s">
        <v>900</v>
      </c>
      <c r="F64" s="655" t="s">
        <v>901</v>
      </c>
      <c r="G64" s="655" t="s">
        <v>902</v>
      </c>
      <c r="H64" s="655" t="s">
        <v>903</v>
      </c>
      <c r="I64" s="655" t="s">
        <v>904</v>
      </c>
      <c r="J64" s="795">
        <v>39217</v>
      </c>
      <c r="K64" s="795">
        <v>39227</v>
      </c>
      <c r="L64" s="655" t="s">
        <v>905</v>
      </c>
      <c r="M64" s="655">
        <v>200</v>
      </c>
      <c r="N64" s="655">
        <v>900</v>
      </c>
      <c r="O64" s="655">
        <v>0</v>
      </c>
      <c r="P64" s="655">
        <v>0</v>
      </c>
      <c r="Q64" s="655">
        <v>2571.4285714285716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200</v>
      </c>
      <c r="N89" s="610">
        <f t="shared" ref="N89:W89" si="5">SUM(N64:N88)</f>
        <v>900</v>
      </c>
      <c r="O89" s="610">
        <f t="shared" si="5"/>
        <v>0</v>
      </c>
      <c r="P89" s="610">
        <f t="shared" si="5"/>
        <v>0</v>
      </c>
      <c r="Q89" s="610">
        <f t="shared" si="5"/>
        <v>2571.4285714285716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200</v>
      </c>
      <c r="N91" s="610">
        <f t="shared" si="7"/>
        <v>900</v>
      </c>
      <c r="O91" s="610">
        <f t="shared" si="7"/>
        <v>0</v>
      </c>
      <c r="P91" s="610">
        <f t="shared" si="7"/>
        <v>0</v>
      </c>
      <c r="Q91" s="610">
        <f t="shared" si="7"/>
        <v>2571.4285714285716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27428.823529411766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39184.033613445383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43520.985055089877</v>
      </c>
      <c r="C4" s="477">
        <f>huishoudens!C8</f>
        <v>0</v>
      </c>
      <c r="D4" s="477">
        <f>huishoudens!D8</f>
        <v>129713.44123473999</v>
      </c>
      <c r="E4" s="477">
        <f>huishoudens!E8</f>
        <v>9308.4384520474232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28413.145860256391</v>
      </c>
      <c r="O4" s="477">
        <f>huishoudens!O8</f>
        <v>379.89000000000004</v>
      </c>
      <c r="P4" s="478">
        <f>huishoudens!P8</f>
        <v>953.33333333333326</v>
      </c>
      <c r="Q4" s="479">
        <f>SUM(B4:P4)</f>
        <v>212289.23393546703</v>
      </c>
    </row>
    <row r="5" spans="1:17">
      <c r="A5" s="476" t="s">
        <v>156</v>
      </c>
      <c r="B5" s="477">
        <f ca="1">tertiair!B16</f>
        <v>73653.478080000001</v>
      </c>
      <c r="C5" s="477">
        <f ca="1">tertiair!C16</f>
        <v>0</v>
      </c>
      <c r="D5" s="477">
        <f ca="1">tertiair!D16</f>
        <v>66527.530664075806</v>
      </c>
      <c r="E5" s="477">
        <f>tertiair!E16</f>
        <v>1289.2653782772431</v>
      </c>
      <c r="F5" s="477">
        <f ca="1">tertiair!F16</f>
        <v>17839.853645015446</v>
      </c>
      <c r="G5" s="477">
        <f>tertiair!G16</f>
        <v>0</v>
      </c>
      <c r="H5" s="477">
        <f>tertiair!H16</f>
        <v>0</v>
      </c>
      <c r="I5" s="477">
        <f>tertiair!I16</f>
        <v>0</v>
      </c>
      <c r="J5" s="477">
        <f>tertiair!J16</f>
        <v>0</v>
      </c>
      <c r="K5" s="477">
        <f>tertiair!K16</f>
        <v>0</v>
      </c>
      <c r="L5" s="477">
        <f ca="1">tertiair!L16</f>
        <v>0</v>
      </c>
      <c r="M5" s="477">
        <f>tertiair!M16</f>
        <v>0</v>
      </c>
      <c r="N5" s="477">
        <f ca="1">tertiair!N16</f>
        <v>4711.4260331746764</v>
      </c>
      <c r="O5" s="477">
        <f>tertiair!O16</f>
        <v>1.5633333333333335</v>
      </c>
      <c r="P5" s="478">
        <f>tertiair!P16</f>
        <v>343.2</v>
      </c>
      <c r="Q5" s="476">
        <f t="shared" ref="Q5:Q14" ca="1" si="0">SUM(B5:P5)</f>
        <v>164366.31713387652</v>
      </c>
    </row>
    <row r="6" spans="1:17">
      <c r="A6" s="476" t="s">
        <v>194</v>
      </c>
      <c r="B6" s="477">
        <f>'openbare verlichting'!B8</f>
        <v>1362.1759999999999</v>
      </c>
      <c r="C6" s="477"/>
      <c r="D6" s="477"/>
      <c r="E6" s="477"/>
      <c r="F6" s="477"/>
      <c r="G6" s="477"/>
      <c r="H6" s="477"/>
      <c r="I6" s="477"/>
      <c r="J6" s="477"/>
      <c r="K6" s="477"/>
      <c r="L6" s="477"/>
      <c r="M6" s="477"/>
      <c r="N6" s="477"/>
      <c r="O6" s="477"/>
      <c r="P6" s="478"/>
      <c r="Q6" s="476">
        <f t="shared" si="0"/>
        <v>1362.1759999999999</v>
      </c>
    </row>
    <row r="7" spans="1:17">
      <c r="A7" s="476" t="s">
        <v>112</v>
      </c>
      <c r="B7" s="477">
        <f>landbouw!B8</f>
        <v>1578.78770263</v>
      </c>
      <c r="C7" s="477">
        <f>landbouw!C8</f>
        <v>32406.428571428572</v>
      </c>
      <c r="D7" s="477">
        <f>landbouw!D8</f>
        <v>1481.6131504766818</v>
      </c>
      <c r="E7" s="477">
        <f>landbouw!E8</f>
        <v>40.710873006888214</v>
      </c>
      <c r="F7" s="477">
        <f>landbouw!F8</f>
        <v>5770.7697186251453</v>
      </c>
      <c r="G7" s="477">
        <f>landbouw!G8</f>
        <v>0</v>
      </c>
      <c r="H7" s="477">
        <f>landbouw!H8</f>
        <v>0</v>
      </c>
      <c r="I7" s="477">
        <f>landbouw!I8</f>
        <v>0</v>
      </c>
      <c r="J7" s="477">
        <f>landbouw!J8</f>
        <v>227.28735085691054</v>
      </c>
      <c r="K7" s="477">
        <f>landbouw!K8</f>
        <v>0</v>
      </c>
      <c r="L7" s="477">
        <f>landbouw!L8</f>
        <v>0</v>
      </c>
      <c r="M7" s="477">
        <f>landbouw!M8</f>
        <v>0</v>
      </c>
      <c r="N7" s="477">
        <f>landbouw!N8</f>
        <v>0</v>
      </c>
      <c r="O7" s="477">
        <f>landbouw!O8</f>
        <v>0</v>
      </c>
      <c r="P7" s="478">
        <f>landbouw!P8</f>
        <v>0</v>
      </c>
      <c r="Q7" s="476">
        <f t="shared" si="0"/>
        <v>41505.597367024195</v>
      </c>
    </row>
    <row r="8" spans="1:17">
      <c r="A8" s="476" t="s">
        <v>638</v>
      </c>
      <c r="B8" s="477">
        <f>industrie!B18</f>
        <v>98441.485883079993</v>
      </c>
      <c r="C8" s="477">
        <f>industrie!C18</f>
        <v>900.00000000000023</v>
      </c>
      <c r="D8" s="477">
        <f>industrie!D18</f>
        <v>45779.012889377198</v>
      </c>
      <c r="E8" s="477">
        <f>industrie!E18</f>
        <v>6682.1403551956155</v>
      </c>
      <c r="F8" s="477">
        <f>industrie!F18</f>
        <v>33950.974432675415</v>
      </c>
      <c r="G8" s="477">
        <f>industrie!G18</f>
        <v>0</v>
      </c>
      <c r="H8" s="477">
        <f>industrie!H18</f>
        <v>0</v>
      </c>
      <c r="I8" s="477">
        <f>industrie!I18</f>
        <v>0</v>
      </c>
      <c r="J8" s="477">
        <f>industrie!J18</f>
        <v>531.74943641597758</v>
      </c>
      <c r="K8" s="477">
        <f>industrie!K18</f>
        <v>0</v>
      </c>
      <c r="L8" s="477">
        <f>industrie!L18</f>
        <v>0</v>
      </c>
      <c r="M8" s="477">
        <f>industrie!M18</f>
        <v>0</v>
      </c>
      <c r="N8" s="477">
        <f>industrie!N18</f>
        <v>20434.618591293984</v>
      </c>
      <c r="O8" s="477">
        <f>industrie!O18</f>
        <v>0</v>
      </c>
      <c r="P8" s="478">
        <f>industrie!P18</f>
        <v>0</v>
      </c>
      <c r="Q8" s="476">
        <f t="shared" si="0"/>
        <v>206719.98158803815</v>
      </c>
    </row>
    <row r="9" spans="1:17" s="482" customFormat="1">
      <c r="A9" s="480" t="s">
        <v>564</v>
      </c>
      <c r="B9" s="481">
        <f>transport!B14</f>
        <v>54.990567493555915</v>
      </c>
      <c r="C9" s="481">
        <f>transport!C14</f>
        <v>0</v>
      </c>
      <c r="D9" s="481">
        <f>transport!D14</f>
        <v>122.46660186677481</v>
      </c>
      <c r="E9" s="481">
        <f>transport!E14</f>
        <v>515.45009391610199</v>
      </c>
      <c r="F9" s="481">
        <f>transport!F14</f>
        <v>0</v>
      </c>
      <c r="G9" s="481">
        <f>transport!G14</f>
        <v>180194.51513602803</v>
      </c>
      <c r="H9" s="481">
        <f>transport!H14</f>
        <v>33445.805339236998</v>
      </c>
      <c r="I9" s="481">
        <f>transport!I14</f>
        <v>0</v>
      </c>
      <c r="J9" s="481">
        <f>transport!J14</f>
        <v>0</v>
      </c>
      <c r="K9" s="481">
        <f>transport!K14</f>
        <v>0</v>
      </c>
      <c r="L9" s="481">
        <f>transport!L14</f>
        <v>0</v>
      </c>
      <c r="M9" s="481">
        <f>transport!M14</f>
        <v>6679.0551283721325</v>
      </c>
      <c r="N9" s="481">
        <f>transport!N14</f>
        <v>0</v>
      </c>
      <c r="O9" s="481">
        <f>transport!O14</f>
        <v>0</v>
      </c>
      <c r="P9" s="481">
        <f>transport!P14</f>
        <v>0</v>
      </c>
      <c r="Q9" s="480">
        <f>SUM(B9:P9)</f>
        <v>221012.28286691359</v>
      </c>
    </row>
    <row r="10" spans="1:17">
      <c r="A10" s="476" t="s">
        <v>554</v>
      </c>
      <c r="B10" s="477">
        <f>transport!B54</f>
        <v>0</v>
      </c>
      <c r="C10" s="477">
        <f>transport!C54</f>
        <v>0</v>
      </c>
      <c r="D10" s="477">
        <f>transport!D54</f>
        <v>0</v>
      </c>
      <c r="E10" s="477">
        <f>transport!E54</f>
        <v>0</v>
      </c>
      <c r="F10" s="477">
        <f>transport!F54</f>
        <v>0</v>
      </c>
      <c r="G10" s="477">
        <f>transport!G54</f>
        <v>2300.7209679526977</v>
      </c>
      <c r="H10" s="477">
        <f>transport!H54</f>
        <v>0</v>
      </c>
      <c r="I10" s="477">
        <f>transport!I54</f>
        <v>0</v>
      </c>
      <c r="J10" s="477">
        <f>transport!J54</f>
        <v>0</v>
      </c>
      <c r="K10" s="477">
        <f>transport!K54</f>
        <v>0</v>
      </c>
      <c r="L10" s="477">
        <f>transport!L54</f>
        <v>0</v>
      </c>
      <c r="M10" s="477">
        <f>transport!M54</f>
        <v>71.363217294153401</v>
      </c>
      <c r="N10" s="477">
        <f>transport!N54</f>
        <v>0</v>
      </c>
      <c r="O10" s="477">
        <f>transport!O54</f>
        <v>0</v>
      </c>
      <c r="P10" s="478">
        <f>transport!P54</f>
        <v>0</v>
      </c>
      <c r="Q10" s="476">
        <f t="shared" si="0"/>
        <v>2372.0841852468511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2942.3186003999999</v>
      </c>
      <c r="C14" s="484"/>
      <c r="D14" s="484">
        <f>'SEAP template'!E25</f>
        <v>4415.2033394</v>
      </c>
      <c r="E14" s="484"/>
      <c r="F14" s="484"/>
      <c r="G14" s="484"/>
      <c r="H14" s="484"/>
      <c r="I14" s="484"/>
      <c r="J14" s="484"/>
      <c r="K14" s="484"/>
      <c r="L14" s="484"/>
      <c r="M14" s="484"/>
      <c r="N14" s="484"/>
      <c r="O14" s="484"/>
      <c r="P14" s="485"/>
      <c r="Q14" s="476">
        <f t="shared" si="0"/>
        <v>7357.5219397999999</v>
      </c>
    </row>
    <row r="15" spans="1:17" s="486" customFormat="1">
      <c r="A15" s="1038" t="s">
        <v>558</v>
      </c>
      <c r="B15" s="978">
        <f ca="1">SUM(B4:B14)</f>
        <v>221554.2218886934</v>
      </c>
      <c r="C15" s="978">
        <f t="shared" ref="C15:Q15" ca="1" si="1">SUM(C4:C14)</f>
        <v>33306.428571428572</v>
      </c>
      <c r="D15" s="978">
        <f t="shared" ca="1" si="1"/>
        <v>248039.26787993644</v>
      </c>
      <c r="E15" s="978">
        <f t="shared" si="1"/>
        <v>17836.005152443271</v>
      </c>
      <c r="F15" s="978">
        <f t="shared" ca="1" si="1"/>
        <v>57561.597796316011</v>
      </c>
      <c r="G15" s="978">
        <f t="shared" si="1"/>
        <v>182495.23610398071</v>
      </c>
      <c r="H15" s="978">
        <f t="shared" si="1"/>
        <v>33445.805339236998</v>
      </c>
      <c r="I15" s="978">
        <f t="shared" si="1"/>
        <v>0</v>
      </c>
      <c r="J15" s="978">
        <f t="shared" si="1"/>
        <v>759.03678727288809</v>
      </c>
      <c r="K15" s="978">
        <f t="shared" si="1"/>
        <v>0</v>
      </c>
      <c r="L15" s="978">
        <f t="shared" ca="1" si="1"/>
        <v>0</v>
      </c>
      <c r="M15" s="978">
        <f t="shared" si="1"/>
        <v>6750.4183456662859</v>
      </c>
      <c r="N15" s="978">
        <f t="shared" ca="1" si="1"/>
        <v>53559.190484725048</v>
      </c>
      <c r="O15" s="978">
        <f t="shared" si="1"/>
        <v>381.45333333333338</v>
      </c>
      <c r="P15" s="978">
        <f t="shared" si="1"/>
        <v>1296.5333333333333</v>
      </c>
      <c r="Q15" s="978">
        <f t="shared" ca="1" si="1"/>
        <v>856985.19501636631</v>
      </c>
    </row>
    <row r="17" spans="1:17">
      <c r="A17" s="487" t="s">
        <v>559</v>
      </c>
      <c r="B17" s="786">
        <f ca="1">huishoudens!B10</f>
        <v>0.21117355128525095</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9190.4809695156619</v>
      </c>
      <c r="C22" s="477">
        <f t="shared" ref="C22:C32" ca="1" si="3">C4*$C$17</f>
        <v>0</v>
      </c>
      <c r="D22" s="477">
        <f t="shared" ref="D22:D32" si="4">D4*$D$17</f>
        <v>26202.115129417482</v>
      </c>
      <c r="E22" s="477">
        <f t="shared" ref="E22:E32" si="5">E4*$E$17</f>
        <v>2113.0155286147651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37505.611627547907</v>
      </c>
    </row>
    <row r="23" spans="1:17">
      <c r="A23" s="476" t="s">
        <v>156</v>
      </c>
      <c r="B23" s="477">
        <f t="shared" ca="1" si="2"/>
        <v>15553.666530663986</v>
      </c>
      <c r="C23" s="477">
        <f t="shared" ca="1" si="3"/>
        <v>0</v>
      </c>
      <c r="D23" s="477">
        <f t="shared" ca="1" si="4"/>
        <v>13438.561194143314</v>
      </c>
      <c r="E23" s="477">
        <f t="shared" si="5"/>
        <v>292.66324086893422</v>
      </c>
      <c r="F23" s="477">
        <f t="shared" ca="1" si="6"/>
        <v>4763.2409232191239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34048.131888895354</v>
      </c>
    </row>
    <row r="24" spans="1:17">
      <c r="A24" s="476" t="s">
        <v>194</v>
      </c>
      <c r="B24" s="477">
        <f t="shared" ca="1" si="2"/>
        <v>287.65554339553796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287.65554339553796</v>
      </c>
    </row>
    <row r="25" spans="1:17">
      <c r="A25" s="476" t="s">
        <v>112</v>
      </c>
      <c r="B25" s="477">
        <f t="shared" ca="1" si="2"/>
        <v>333.39820588985981</v>
      </c>
      <c r="C25" s="477">
        <f t="shared" ca="1" si="3"/>
        <v>7701.2924369747916</v>
      </c>
      <c r="D25" s="477">
        <f t="shared" si="4"/>
        <v>299.28585639628972</v>
      </c>
      <c r="E25" s="477">
        <f t="shared" si="5"/>
        <v>9.2413681725636252</v>
      </c>
      <c r="F25" s="477">
        <f t="shared" si="6"/>
        <v>1540.7955148729138</v>
      </c>
      <c r="G25" s="477">
        <f t="shared" si="7"/>
        <v>0</v>
      </c>
      <c r="H25" s="477">
        <f t="shared" si="8"/>
        <v>0</v>
      </c>
      <c r="I25" s="477">
        <f t="shared" si="9"/>
        <v>0</v>
      </c>
      <c r="J25" s="477">
        <f t="shared" si="10"/>
        <v>80.459722203346331</v>
      </c>
      <c r="K25" s="477">
        <f t="shared" si="11"/>
        <v>0</v>
      </c>
      <c r="L25" s="477">
        <f t="shared" si="12"/>
        <v>0</v>
      </c>
      <c r="M25" s="477">
        <f t="shared" si="13"/>
        <v>0</v>
      </c>
      <c r="N25" s="477">
        <f t="shared" si="14"/>
        <v>0</v>
      </c>
      <c r="O25" s="477">
        <f t="shared" si="15"/>
        <v>0</v>
      </c>
      <c r="P25" s="478">
        <f t="shared" si="16"/>
        <v>0</v>
      </c>
      <c r="Q25" s="476">
        <f t="shared" ca="1" si="17"/>
        <v>9964.4731045097651</v>
      </c>
    </row>
    <row r="26" spans="1:17">
      <c r="A26" s="476" t="s">
        <v>638</v>
      </c>
      <c r="B26" s="477">
        <f t="shared" ca="1" si="2"/>
        <v>20788.2381677269</v>
      </c>
      <c r="C26" s="477">
        <f t="shared" ca="1" si="3"/>
        <v>213.88235294117658</v>
      </c>
      <c r="D26" s="477">
        <f t="shared" si="4"/>
        <v>9247.3606036541951</v>
      </c>
      <c r="E26" s="477">
        <f t="shared" si="5"/>
        <v>1516.8458606294048</v>
      </c>
      <c r="F26" s="477">
        <f t="shared" si="6"/>
        <v>9064.9101735243366</v>
      </c>
      <c r="G26" s="477">
        <f t="shared" si="7"/>
        <v>0</v>
      </c>
      <c r="H26" s="477">
        <f t="shared" si="8"/>
        <v>0</v>
      </c>
      <c r="I26" s="477">
        <f t="shared" si="9"/>
        <v>0</v>
      </c>
      <c r="J26" s="477">
        <f t="shared" si="10"/>
        <v>188.23930049125605</v>
      </c>
      <c r="K26" s="477">
        <f t="shared" si="11"/>
        <v>0</v>
      </c>
      <c r="L26" s="477">
        <f t="shared" si="12"/>
        <v>0</v>
      </c>
      <c r="M26" s="477">
        <f t="shared" si="13"/>
        <v>0</v>
      </c>
      <c r="N26" s="477">
        <f t="shared" si="14"/>
        <v>0</v>
      </c>
      <c r="O26" s="477">
        <f t="shared" si="15"/>
        <v>0</v>
      </c>
      <c r="P26" s="478">
        <f t="shared" si="16"/>
        <v>0</v>
      </c>
      <c r="Q26" s="476">
        <f t="shared" ca="1" si="17"/>
        <v>41019.47645896727</v>
      </c>
    </row>
    <row r="27" spans="1:17" s="482" customFormat="1">
      <c r="A27" s="480" t="s">
        <v>564</v>
      </c>
      <c r="B27" s="780">
        <f t="shared" ca="1" si="2"/>
        <v>11.612553424805483</v>
      </c>
      <c r="C27" s="481">
        <f t="shared" ca="1" si="3"/>
        <v>0</v>
      </c>
      <c r="D27" s="481">
        <f t="shared" si="4"/>
        <v>24.738253577088514</v>
      </c>
      <c r="E27" s="481">
        <f t="shared" si="5"/>
        <v>117.00717131895516</v>
      </c>
      <c r="F27" s="481">
        <f t="shared" si="6"/>
        <v>0</v>
      </c>
      <c r="G27" s="481">
        <f t="shared" si="7"/>
        <v>48111.935541319486</v>
      </c>
      <c r="H27" s="481">
        <f t="shared" si="8"/>
        <v>8328.0055294700123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56593.299049110348</v>
      </c>
    </row>
    <row r="28" spans="1:17">
      <c r="A28" s="476" t="s">
        <v>554</v>
      </c>
      <c r="B28" s="477">
        <f t="shared" ca="1" si="2"/>
        <v>0</v>
      </c>
      <c r="C28" s="477">
        <f t="shared" ca="1" si="3"/>
        <v>0</v>
      </c>
      <c r="D28" s="477">
        <f t="shared" si="4"/>
        <v>0</v>
      </c>
      <c r="E28" s="477">
        <f t="shared" si="5"/>
        <v>0</v>
      </c>
      <c r="F28" s="477">
        <f t="shared" si="6"/>
        <v>0</v>
      </c>
      <c r="G28" s="477">
        <f t="shared" si="7"/>
        <v>614.29249844337028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614.29249844337028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621.33986785911713</v>
      </c>
      <c r="C32" s="477">
        <f t="shared" ca="1" si="3"/>
        <v>0</v>
      </c>
      <c r="D32" s="477">
        <f t="shared" si="4"/>
        <v>891.87107455880005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1513.2109424179171</v>
      </c>
    </row>
    <row r="33" spans="1:17" s="486" customFormat="1">
      <c r="A33" s="1038" t="s">
        <v>558</v>
      </c>
      <c r="B33" s="978">
        <f ca="1">SUM(B22:B32)</f>
        <v>46786.391838475865</v>
      </c>
      <c r="C33" s="978">
        <f t="shared" ref="C33:Q33" ca="1" si="18">SUM(C22:C32)</f>
        <v>7915.1747899159682</v>
      </c>
      <c r="D33" s="978">
        <f t="shared" ca="1" si="18"/>
        <v>50103.93211174717</v>
      </c>
      <c r="E33" s="978">
        <f t="shared" si="18"/>
        <v>4048.773169604623</v>
      </c>
      <c r="F33" s="978">
        <f t="shared" ca="1" si="18"/>
        <v>15368.946611616375</v>
      </c>
      <c r="G33" s="978">
        <f t="shared" si="18"/>
        <v>48726.228039762856</v>
      </c>
      <c r="H33" s="978">
        <f t="shared" si="18"/>
        <v>8328.0055294700123</v>
      </c>
      <c r="I33" s="978">
        <f t="shared" si="18"/>
        <v>0</v>
      </c>
      <c r="J33" s="978">
        <f t="shared" si="18"/>
        <v>268.69902269460238</v>
      </c>
      <c r="K33" s="978">
        <f t="shared" si="18"/>
        <v>0</v>
      </c>
      <c r="L33" s="978">
        <f t="shared" ca="1" si="18"/>
        <v>0</v>
      </c>
      <c r="M33" s="978">
        <f t="shared" si="18"/>
        <v>0</v>
      </c>
      <c r="N33" s="978">
        <f t="shared" ca="1" si="18"/>
        <v>0</v>
      </c>
      <c r="O33" s="978">
        <f t="shared" si="18"/>
        <v>0</v>
      </c>
      <c r="P33" s="978">
        <f t="shared" si="18"/>
        <v>0</v>
      </c>
      <c r="Q33" s="978">
        <f t="shared" ca="1" si="18"/>
        <v>181546.15111328746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10707.280777676724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23314.5</v>
      </c>
      <c r="D8" s="1055">
        <f>'SEAP template'!D76</f>
        <v>27428.823529411766</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5540.6223529411773</v>
      </c>
    </row>
    <row r="9" spans="1:16">
      <c r="A9" s="1058" t="s">
        <v>863</v>
      </c>
      <c r="B9" s="1055">
        <f>'SEAP template'!B77</f>
        <v>900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2571.4285714285716</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11607.280777676724</v>
      </c>
      <c r="C10" s="1059">
        <f>SUM(C4:C9)</f>
        <v>23314.5</v>
      </c>
      <c r="D10" s="1059">
        <f t="shared" ref="D10:H10" si="0">SUM(D8:D9)</f>
        <v>27428.823529411766</v>
      </c>
      <c r="E10" s="1059">
        <f t="shared" si="0"/>
        <v>0</v>
      </c>
      <c r="F10" s="1059">
        <f t="shared" si="0"/>
        <v>0</v>
      </c>
      <c r="G10" s="1059">
        <f t="shared" si="0"/>
        <v>0</v>
      </c>
      <c r="H10" s="1059">
        <f t="shared" si="0"/>
        <v>0</v>
      </c>
      <c r="I10" s="1059">
        <f>SUM(I8:I9)</f>
        <v>0</v>
      </c>
      <c r="J10" s="1059">
        <f>SUM(J8:J9)</f>
        <v>2571.4285714285716</v>
      </c>
      <c r="K10" s="1059">
        <f t="shared" ref="K10:L10" si="1">SUM(K8:K9)</f>
        <v>0</v>
      </c>
      <c r="L10" s="1059">
        <f t="shared" si="1"/>
        <v>0</v>
      </c>
      <c r="M10" s="1059">
        <f>SUM(M8:M9)</f>
        <v>0</v>
      </c>
      <c r="N10" s="1059">
        <f>SUM(N8:N9)</f>
        <v>0</v>
      </c>
      <c r="O10" s="1059">
        <f>SUM(O8:O9)</f>
        <v>0</v>
      </c>
      <c r="P10" s="1059">
        <f>SUM(P8:P9)</f>
        <v>5540.6223529411773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0.21117355128525095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33306.428571428572</v>
      </c>
      <c r="D17" s="1056">
        <f>'SEAP template'!D87</f>
        <v>39184.033613445383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7915.1747899159682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33306.428571428572</v>
      </c>
      <c r="D20" s="1059">
        <f t="shared" ref="D20:H20" si="2">SUM(D17:D19)</f>
        <v>39184.033613445383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7915.1747899159682</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0.21117355128525095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2</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38.133333333333333</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2019-08-12T08:22:49Z</dcterms:modified>
</cp:coreProperties>
</file>