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M9" i="48"/>
  <c r="N20" i="14"/>
  <c r="O22" i="16"/>
  <c r="P43" i="14" s="1"/>
  <c r="P46" s="1"/>
  <c r="P61" s="1"/>
  <c r="P63" s="1"/>
  <c r="O8" i="48"/>
  <c r="P13" i="14"/>
  <c r="I20"/>
  <c r="H9" i="48"/>
  <c r="M10"/>
  <c r="M28" s="1"/>
  <c r="N19" i="14"/>
  <c r="G10" i="48"/>
  <c r="H19" i="14"/>
  <c r="R19" s="1"/>
  <c r="G31" i="48"/>
  <c r="Q13"/>
  <c r="R18" i="14"/>
  <c r="I23" i="48"/>
  <c r="I33" s="1"/>
  <c r="I15"/>
  <c r="J63" i="14"/>
  <c r="I22"/>
  <c r="I27" s="1"/>
  <c r="G14" i="22"/>
  <c r="N22" i="14"/>
  <c r="N27" s="1"/>
  <c r="P16"/>
  <c r="P27"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R20" s="1"/>
  <c r="R22" s="1"/>
  <c r="G9" i="48"/>
  <c r="J22"/>
  <c r="E5"/>
  <c r="E23" s="1"/>
  <c r="F10" i="14"/>
  <c r="H27" i="48"/>
  <c r="H33" s="1"/>
  <c r="H15"/>
  <c r="J5"/>
  <c r="J23" s="1"/>
  <c r="K10" i="14"/>
  <c r="M27" i="48"/>
  <c r="M33" s="1"/>
  <c r="M15"/>
  <c r="G28"/>
  <c r="Q10"/>
  <c r="I63" i="14"/>
  <c r="H22"/>
  <c r="H27" s="1"/>
  <c r="Q7" i="48"/>
  <c r="E20" i="15"/>
  <c r="F40" i="14" s="1"/>
  <c r="J18" i="16"/>
  <c r="E18"/>
  <c r="F18"/>
  <c r="F22" s="1"/>
  <c r="G43" i="14" s="1"/>
  <c r="N18" i="16"/>
  <c r="G18" i="22"/>
  <c r="H50" i="14" s="1"/>
  <c r="H52" s="1"/>
  <c r="H61" s="1"/>
  <c r="H63" s="1"/>
  <c r="H18" i="22"/>
  <c r="I50" i="14" s="1"/>
  <c r="I52" s="1"/>
  <c r="I61" s="1"/>
  <c r="E8" i="48" l="1"/>
  <c r="E26" s="1"/>
  <c r="F13" i="14"/>
  <c r="G27" i="48"/>
  <c r="G33" s="1"/>
  <c r="G15"/>
  <c r="Q9"/>
  <c r="J22" i="16"/>
  <c r="K43" i="14" s="1"/>
  <c r="K46" s="1"/>
  <c r="K61" s="1"/>
  <c r="J8" i="48"/>
  <c r="J26" s="1"/>
  <c r="K13" i="14"/>
  <c r="K16" s="1"/>
  <c r="K27" s="1"/>
  <c r="F16"/>
  <c r="F27" s="1"/>
  <c r="E22" i="16"/>
  <c r="F43" i="14" s="1"/>
  <c r="J15" i="48"/>
  <c r="F46" i="14"/>
  <c r="F61" s="1"/>
  <c r="F63" s="1"/>
  <c r="J33" i="48"/>
  <c r="E33"/>
  <c r="E15"/>
  <c r="N8"/>
  <c r="N26" s="1"/>
  <c r="O13" i="14"/>
  <c r="N22" i="16"/>
  <c r="O43" i="14" s="1"/>
  <c r="G13"/>
  <c r="R13" s="1"/>
  <c r="F8" i="48"/>
  <c r="K6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<sst xmlns="http://schemas.openxmlformats.org/spreadsheetml/2006/main" count="2392" uniqueCount="890">
  <si>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</si>
  <si>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</si>
  <si>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</si>
  <si>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</si>
  <si>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</si>
  <si>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</si>
  <si>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</si>
  <si>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</si>
  <si>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</si>
  <si>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</si>
  <si>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</si>
  <si>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</si>
  <si>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</si>
  <si>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</si>
  <si>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</si>
  <si>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</si>
  <si>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</si>
  <si>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</si>
  <si>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</si>
  <si>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</si>
  <si>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</si>
  <si>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</si>
  <si>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</si>
  <si>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</si>
  <si>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</si>
  <si>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</si>
  <si>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</si>
  <si>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</si>
  <si>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</si>
  <si>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</si>
  <si>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</si>
  <si>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</si>
  <si>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</si>
  <si>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</si>
  <si>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</si>
  <si>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</si>
  <si>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</si>
  <si>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</si>
  <si>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</si>
  <si>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</si>
  <si>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</si>
  <si>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</si>
  <si>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</si>
  <si>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</si>
  <si>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</si>
  <si>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</si>
  <si>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</si>
  <si>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</si>
  <si>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</si>
  <si>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</si>
  <si>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</si>
  <si>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</si>
  <si>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</si>
  <si>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</si>
  <si>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</si>
  <si>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</si>
  <si>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</si>
  <si>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</si>
  <si>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</si>
  <si>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</si>
  <si>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</si>
  <si>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</si>
  <si>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</si>
  <si>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</si>
  <si>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</si>
  <si>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</si>
  <si>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</si>
  <si>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</si>
  <si>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</si>
  <si>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</si>
  <si>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</si>
  <si>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</si>
  <si>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</si>
  <si>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</si>
  <si>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</si>
  <si>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</si>
  <si>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</si>
  <si>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</si>
  <si>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</si>
  <si>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</si>
  <si>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</si>
  <si>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</si>
  <si>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</si>
  <si>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</si>
  <si>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</si>
  <si>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</si>
  <si>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</si>
  <si>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</si>
  <si>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</si>
  <si>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</si>
  <si>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</si>
  <si>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</si>
  <si>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</si>
  <si>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</si>
  <si>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</si>
  <si>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</si>
  <si>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</si>
  <si>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</si>
  <si>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</si>
  <si>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</si>
  <si>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</si>
  <si>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</si>
  <si>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</si>
  <si>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</si>
  <si>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</si>
  <si>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</si>
  <si>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</si>
  <si>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</si>
  <si>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</si>
  <si>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</si>
  <si>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</si>
  <si>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</si>
  <si>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</si>
  <si>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</si>
  <si>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</si>
  <si>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</si>
  <si>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</si>
  <si>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</si>
  <si>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</si>
  <si>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</si>
  <si>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</si>
  <si>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</si>
  <si>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</si>
  <si>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</si>
  <si>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</si>
  <si>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</si>
  <si>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</si>
  <si>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</si>
  <si>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</si>
  <si>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</si>
  <si>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</si>
  <si>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</si>
  <si>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</si>
  <si>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</si>
  <si>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</si>
  <si>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</si>
  <si>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</si>
  <si>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</si>
  <si>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</si>
  <si>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</si>
  <si>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</si>
  <si>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</si>
  <si>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</si>
  <si>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</si>
  <si>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</si>
  <si>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</si>
  <si>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</si>
  <si>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</si>
  <si>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</si>
  <si>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</si>
  <si>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</si>
  <si>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</si>
  <si>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</si>
  <si>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</si>
  <si>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</si>
  <si>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</si>
  <si>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</si>
  <si>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</si>
  <si>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</si>
  <si>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</si>
  <si>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</si>
  <si>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</si>
  <si>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</si>
  <si>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</si>
  <si>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</si>
  <si>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</si>
  <si>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</si>
  <si>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</si>
  <si>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</si>
  <si>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</si>
  <si>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</si>
  <si>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</si>
  <si>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</si>
  <si>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</si>
  <si>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</si>
  <si>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</si>
  <si>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</si>
  <si>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</si>
  <si>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</si>
  <si>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</si>
  <si>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</si>
  <si>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</si>
  <si>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</si>
  <si>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</si>
  <si>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</si>
  <si>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</si>
  <si>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</si>
  <si>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</si>
  <si>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</si>
  <si>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</si>
  <si>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</si>
  <si>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</si>
  <si>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</si>
  <si>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</si>
  <si>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</si>
  <si>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</si>
  <si>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</si>
  <si>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</si>
  <si>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</si>
  <si>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</si>
  <si>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</si>
  <si>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</si>
  <si>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</si>
  <si>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</si>
  <si>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</si>
  <si>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</si>
  <si>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</si>
  <si>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</si>
  <si>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</si>
  <si>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</si>
  <si>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</si>
  <si>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</si>
  <si>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</si>
  <si>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</si>
  <si>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</si>
  <si>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</si>
  <si>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</si>
  <si>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</si>
  <si>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</si>
  <si>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</si>
  <si>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</si>
  <si>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</si>
  <si>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</si>
  <si>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</si>
  <si>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</si>
  <si>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</si>
  <si>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</si>
  <si>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</si>
  <si>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</si>
  <si>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</si>
  <si>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</si>
  <si>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</si>
  <si>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</si>
  <si>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</si>
  <si>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</si>
  <si>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</si>
  <si>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</si>
  <si>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</si>
  <si>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</si>
  <si>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</si>
  <si>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</si>
  <si>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</si>
  <si>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</si>
  <si>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</si>
  <si>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</si>
  <si>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</si>
  <si>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</si>
  <si>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</si>
  <si>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</si>
  <si>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</si>
  <si>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</si>
  <si>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</si>
  <si>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</si>
  <si>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</si>
  <si>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</si>
  <si>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</si>
  <si>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</si>
  <si>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</si>
  <si>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</si>
  <si>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</si>
  <si>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</si>
  <si>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</si>
  <si>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</si>
  <si>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</si>
  <si>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</si>
  <si>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</si>
  <si>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</si>
  <si>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</si>
  <si>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</si>
  <si>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</si>
  <si>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</si>
  <si>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</si>
  <si>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</si>
  <si>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</si>
  <si>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</si>
  <si>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</si>
  <si>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</si>
  <si>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</si>
  <si>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</si>
  <si>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</si>
  <si>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</si>
  <si>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</si>
  <si>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</si>
  <si>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</si>
  <si>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</si>
  <si>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</si>
  <si>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</si>
  <si>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</si>
  <si>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</si>
  <si>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</si>
  <si>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</si>
  <si>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</si>
  <si>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</si>
  <si>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</si>
  <si>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</si>
  <si>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</si>
  <si>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</si>
  <si>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</si>
  <si>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</si>
  <si>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</si>
  <si>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</si>
  <si>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</si>
  <si>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</si>
  <si>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</si>
  <si>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</si>
  <si>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</si>
  <si>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</si>
  <si>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</si>
  <si>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</si>
  <si>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</si>
  <si>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</si>
  <si>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</si>
  <si>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</si>
  <si>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</si>
  <si>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</si>
  <si>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</si>
  <si>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</si>
  <si>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</si>
  <si>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</si>
  <si>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</si>
  <si>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</si>
  <si>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</si>
  <si>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</si>
  <si>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</si>
  <si>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</si>
  <si>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</si>
  <si>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</si>
  <si>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</si>
  <si>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</si>
  <si>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</si>
  <si>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</si>
  <si>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</si>
  <si>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</si>
  <si>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</si>
  <si>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</si>
  <si>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</si>
  <si>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</si>
  <si>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</si>
  <si>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</si>
  <si>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</si>
  <si>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</si>
  <si>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</si>
  <si>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</si>
  <si>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</si>
  <si>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</si>
  <si>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</si>
  <si>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</si>
  <si>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</si>
  <si>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</si>
  <si>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</si>
  <si>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</si>
  <si>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</si>
  <si>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</si>
  <si>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</si>
  <si>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</si>
  <si>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</si>
  <si>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</si>
  <si>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</si>
  <si>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</si>
  <si>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</si>
  <si>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</si>
  <si>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</si>
  <si>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</si>
  <si>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</si>
  <si>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</si>
  <si>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</si>
  <si>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</si>
  <si>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</si>
  <si>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</si>
  <si>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</si>
  <si>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</si>
  <si>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</si>
  <si>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</si>
  <si>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</si>
  <si>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</si>
  <si>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</si>
  <si>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</si>
  <si>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</si>
  <si>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</si>
  <si>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</si>
  <si>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</si>
  <si>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</si>
  <si>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</si>
  <si>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</si>
  <si>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</si>
  <si>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</si>
  <si>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</si>
  <si>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</si>
  <si>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</si>
  <si>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</si>
  <si>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</si>
  <si>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</si>
  <si>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</si>
  <si>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</si>
  <si>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</si>
  <si>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</si>
  <si>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</si>
  <si>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</si>
  <si>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</si>
  <si>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</si>
  <si>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</si>
  <si>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</si>
  <si>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</si>
  <si>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</si>
  <si>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</si>
  <si>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</si>
  <si>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</si>
  <si>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</si>
  <si>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</si>
  <si>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</si>
  <si>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</si>
  <si>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</si>
  <si>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</si>
  <si>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</si>
  <si>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</si>
  <si>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</si>
  <si>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</si>
  <si>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</si>
  <si>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</si>
  <si>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</si>
  <si>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</si>
  <si>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</si>
  <si>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</si>
  <si>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</si>
  <si>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</si>
  <si>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</si>
  <si>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</si>
  <si>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</si>
  <si>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</si>
  <si>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</si>
  <si>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</si>
  <si>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</si>
  <si>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</si>
  <si>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</si>
  <si>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</si>
  <si>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</si>
  <si>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</si>
  <si>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</si>
  <si>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</si>
  <si>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</si>
  <si>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</si>
  <si>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</si>
  <si>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</si>
  <si>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</si>
  <si>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</si>
  <si>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</si>
  <si>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</si>
  <si>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</si>
  <si>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</si>
  <si>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</si>
  <si>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</si>
  <si>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</si>
  <si>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</si>
  <si>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</si>
  <si>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</si>
  <si>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</si>
  <si>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</si>
  <si>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</si>
  <si>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</si>
  <si>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</si>
  <si>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</si>
  <si>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</si>
  <si>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</si>
  <si>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</si>
  <si>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</si>
  <si>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</si>
  <si>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</si>
  <si>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</si>
  <si>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</si>
  <si>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</si>
  <si>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</si>
  <si>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</si>
  <si>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</si>
  <si>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</si>
  <si>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</si>
  <si>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</si>
  <si>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</si>
  <si>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</si>
  <si>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</si>
  <si>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</si>
  <si>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</si>
  <si>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</si>
  <si>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</si>
  <si>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</si>
  <si>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</si>
  <si>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</si>
  <si>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</si>
  <si>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</si>
  <si>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</si>
  <si>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</si>
  <si>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</si>
  <si>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</si>
  <si>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</si>
  <si>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</si>
  <si>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</si>
  <si>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</si>
  <si>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</si>
  <si>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</si>
  <si>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</si>
  <si>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</si>
  <si>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</si>
  <si>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</si>
  <si>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</si>
  <si>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</si>
  <si>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</si>
  <si>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</si>
  <si>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</si>
  <si>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</si>
  <si>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</si>
  <si>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</si>
  <si>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</si>
  <si>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</si>
  <si>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</si>
  <si>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</si>
  <si>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</si>
  <si>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</si>
  <si>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</si>
  <si>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</si>
  <si>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</si>
  <si>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</si>
  <si>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</si>
  <si>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</si>
  <si>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</si>
  <si>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</si>
  <si>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</si>
  <si>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</si>
  <si>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</si>
  <si>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</si>
  <si>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</si>
  <si>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</si>
  <si>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</si>
  <si>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</si>
  <si>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</si>
  <si>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</si>
  <si>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</si>
  <si>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</si>
  <si>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</si>
  <si>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</si>
  <si>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</si>
  <si>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</si>
  <si>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</si>
  <si>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</si>
  <si>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</si>
  <si>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</si>
  <si>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</si>
  <si>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</si>
  <si>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</si>
  <si>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</si>
  <si>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</si>
  <si>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</si>
  <si>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</si>
  <si>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</si>
  <si>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</si>
  <si>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</si>
  <si>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</si>
  <si>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</si>
  <si>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</si>
  <si>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</si>
  <si>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</si>
  <si>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</si>
  <si>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</si>
  <si>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</si>
  <si>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</si>
  <si>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</si>
  <si>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</si>
  <si>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</si>
  <si>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</si>
  <si>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</si>
  <si>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</si>
  <si>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</si>
  <si>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</si>
  <si>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</si>
  <si>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</si>
  <si>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</si>
  <si>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</si>
  <si>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</si>
  <si>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</si>
  <si>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</si>
  <si>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</si>
  <si>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</si>
  <si>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</si>
  <si>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</si>
  <si>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</si>
  <si>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</si>
  <si>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</si>
  <si>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</si>
  <si>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</si>
  <si>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</si>
  <si>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</si>
  <si>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</si>
  <si>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</si>
  <si>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</si>
  <si>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</si>
  <si>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</si>
  <si>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</si>
  <si>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</si>
  <si>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</si>
  <si>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</si>
  <si>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</si>
  <si>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</si>
  <si>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</si>
  <si>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</si>
  <si>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</si>
  <si>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</si>
  <si>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</si>
  <si>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</si>
  <si>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</si>
  <si>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</si>
  <si>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</si>
  <si>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</si>
  <si>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</si>
  <si>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</si>
  <si>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</si>
  <si>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</si>
  <si>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</si>
  <si>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</si>
  <si>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</si>
  <si>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</si>
  <si>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</si>
  <si>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</si>
  <si>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</si>
  <si>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</si>
  <si>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</si>
  <si>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</si>
  <si>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</si>
  <si>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</si>
  <si>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</si>
  <si>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</si>
  <si>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</si>
  <si>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</si>
  <si>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</si>
  <si>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</si>
  <si>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</si>
  <si>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</si>
  <si>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</si>
  <si>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</si>
  <si>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</si>
  <si>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</si>
  <si>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</si>
  <si>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</si>
  <si>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</si>
  <si>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</si>
  <si>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</si>
  <si>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</si>
  <si>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</si>
  <si>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</si>
  <si>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</si>
  <si>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</si>
  <si>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</si>
  <si>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</si>
  <si>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</si>
  <si>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</si>
  <si>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</si>
  <si>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</si>
  <si>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</si>
  <si>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</si>
  <si>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</si>
  <si>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</si>
  <si>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</si>
  <si>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</si>
  <si>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</si>
  <si>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</si>
  <si>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</si>
  <si>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</si>
  <si>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</si>
  <si>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</si>
  <si>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</si>
  <si>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</si>
  <si>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</si>
  <si>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</si>
  <si>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</si>
  <si>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</si>
  <si>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</si>
  <si>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</si>
  <si>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</si>
  <si>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</si>
  <si>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</si>
  <si>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</si>
  <si>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</si>
  <si>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</si>
  <si>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</si>
  <si>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</si>
  <si>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</si>
  <si>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</si>
  <si>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</si>
  <si>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</si>
  <si>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</si>
  <si>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</si>
  <si>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</si>
  <si>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</si>
  <si>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</si>
  <si>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</si>
  <si>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</si>
  <si>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</si>
  <si>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</si>
  <si>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</si>
  <si>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</si>
  <si>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</si>
  <si>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</si>
  <si>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</si>
  <si>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</si>
  <si>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</si>
  <si>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</si>
  <si>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</si>
  <si>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</si>
  <si>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</si>
  <si>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</si>
  <si>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</si>
  <si>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</si>
  <si>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</si>
  <si>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</si>
  <si>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</si>
  <si>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</si>
  <si>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</si>
  <si>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</si>
  <si>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</si>
  <si>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</si>
  <si>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</si>
  <si>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</si>
  <si>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</si>
  <si>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</si>
  <si>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</si>
  <si>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</si>
  <si>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</si>
  <si>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</si>
  <si>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</si>
  <si>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</si>
  <si>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</si>
  <si>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</si>
  <si>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</si>
  <si>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</si>
  <si>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</si>
  <si>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</si>
  <si>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</si>
  <si>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</si>
  <si>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</si>
  <si>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</si>
  <si>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</si>
  <si>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</si>
  <si>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</si>
  <si>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</si>
  <si>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</si>
  <si>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</si>
  <si>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</si>
  <si>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</si>
  <si>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</si>
  <si>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</si>
  <si>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</si>
  <si>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</si>
  <si>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</si>
  <si>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</si>
  <si>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</si>
  <si>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</si>
  <si>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</si>
  <si>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</si>
  <si>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</si>
  <si>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</si>
  <si>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</si>
  <si>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</si>
  <si>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</si>
  <si>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</si>
  <si>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</si>
  <si>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</si>
  <si>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</si>
  <si>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</si>
  <si>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</si>
  <si>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</si>
  <si>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</si>
  <si>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</si>
  <si>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</si>
  <si>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</si>
  <si>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</si>
  <si>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</si>
  <si>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</si>
  <si>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</si>
  <si>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</si>
  <si>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</si>
  <si>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</si>
  <si>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</si>
  <si>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</si>
  <si>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</si>
  <si>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</si>
  <si>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</si>
  <si>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</si>
  <si>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</si>
  <si>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</si>
  <si>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</si>
  <si>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</si>
  <si>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</si>
  <si>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</si>
  <si>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</si>
  <si>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</si>
  <si>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</si>
  <si>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</si>
  <si>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</si>
  <si>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</si>
  <si>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</si>
  <si>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</si>
  <si>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</si>
  <si>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</si>
  <si>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</si>
  <si>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</si>
  <si>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</si>
  <si>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</si>
  <si>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</si>
  <si>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</si>
  <si>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</si>
  <si>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</si>
  <si>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</si>
  <si>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</si>
  <si>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</si>
  <si>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</si>
  <si>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</si>
  <si>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</si>
  <si>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</si>
  <si>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</si>
  <si>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</si>
  <si>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</si>
  <si>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</si>
  <si>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</si>
  <si>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</si>
  <si>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</si>
  <si>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</si>
  <si>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</si>
  <si>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</si>
  <si>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</si>
  <si>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</si>
  <si>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</si>
  <si>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</si>
  <si>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</si>
  <si>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</si>
  <si>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</si>
  <si>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</si>
  <si>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</si>
  <si>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</si>
  <si>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</si>
  <si>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</si>
  <si>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</si>
  <si>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</si>
  <si>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</si>
  <si>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</si>
  <si>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</si>
  <si>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</si>
  <si>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</si>
  <si>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</si>
  <si>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</si>
  <si>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</si>
  <si>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</si>
  <si>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</si>
  <si>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</si>
  <si>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</si>
  <si>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</si>
  <si>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</si>
  <si>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</si>
  <si>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</si>
  <si>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</si>
  <si>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</si>
  <si>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</si>
  <si>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</si>
  <si>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</si>
  <si>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</si>
  <si>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</si>
  <si>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</si>
  <si>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</si>
  <si>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</si>
  <si>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</si>
  <si>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</si>
  <si>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</si>
  <si>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</si>
  <si>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</si>
  <si>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</si>
  <si>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</si>
  <si>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</si>
  <si>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</si>
  <si>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</si>
  <si>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</si>
  <si>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</si>
  <si>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</si>
  <si>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</si>
  <si>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</si>
  <si>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</si>
  <si>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</si>
  <si>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13010</t>
  </si>
  <si>
    <t>GROBBENDONK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</si>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</sst>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96528.460107803548</c:v>
                </c:pt>
                <c:pt idx="1">
                  <c:v>45041.763622625876</c:v>
                </c:pt>
                <c:pt idx="2">
                  <c:v>564.47500000000002</c:v>
                </c:pt>
                <c:pt idx="3">
                  <c:v>2076.8940626340218</c:v>
                </c:pt>
                <c:pt idx="4">
                  <c:v>150966.34762814318</c:v>
                </c:pt>
                <c:pt idx="5">
                  <c:v>225669.87106493206</c:v>
                </c:pt>
                <c:pt idx="6">
                  <c:v>1011.2510388797472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96528.460107803548</c:v>
                </c:pt>
                <c:pt idx="1">
                  <c:v>45041.763622625876</c:v>
                </c:pt>
                <c:pt idx="2">
                  <c:v>564.47500000000002</c:v>
                </c:pt>
                <c:pt idx="3">
                  <c:v>2076.8940626340218</c:v>
                </c:pt>
                <c:pt idx="4">
                  <c:v>150966.34762814318</c:v>
                </c:pt>
                <c:pt idx="5">
                  <c:v>225669.87106493206</c:v>
                </c:pt>
                <c:pt idx="6">
                  <c:v>1011.2510388797472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17788.818635558069</c:v>
                </c:pt>
                <c:pt idx="2">
                  <c:v>8667.2669910687073</c:v>
                </c:pt>
                <c:pt idx="3">
                  <c:v>118.3630242589624</c:v>
                </c:pt>
                <c:pt idx="4">
                  <c:v>528.9941687956358</c:v>
                </c:pt>
                <c:pt idx="5">
                  <c:v>29689.467102194561</c:v>
                </c:pt>
                <c:pt idx="6">
                  <c:v>57885.099989858361</c:v>
                </c:pt>
                <c:pt idx="7">
                  <c:v>261.88106269181509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15872"/>
        <c:axId val="184066816"/>
      </c:barChart>
      <c:catAx>
        <c:axId val="184015872"/>
        <c:scaling>
          <c:orientation val="minMax"/>
        </c:scaling>
        <c:axPos val="b"/>
        <c:numFmt formatCode="General" sourceLinked="0"/>
        <c:tickLblPos val="nextTo"/>
        <c:crossAx val="184066816"/>
        <c:crosses val="autoZero"/>
        <c:auto val="1"/>
        <c:lblAlgn val="ctr"/>
        <c:lblOffset val="100"/>
      </c:catAx>
      <c:valAx>
        <c:axId val="184066816"/>
        <c:scaling>
          <c:orientation val="minMax"/>
        </c:scaling>
        <c:axPos val="l"/>
        <c:majorGridlines/>
        <c:numFmt formatCode="#,##0" sourceLinked="1"/>
        <c:tickLblPos val="nextTo"/>
        <c:crossAx val="184015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17788.818635558069</c:v>
                </c:pt>
                <c:pt idx="2">
                  <c:v>8667.2669910687073</c:v>
                </c:pt>
                <c:pt idx="3">
                  <c:v>118.3630242589624</c:v>
                </c:pt>
                <c:pt idx="4">
                  <c:v>528.9941687956358</c:v>
                </c:pt>
                <c:pt idx="5">
                  <c:v>29689.467102194561</c:v>
                </c:pt>
                <c:pt idx="6">
                  <c:v>57885.099989858361</c:v>
                </c:pt>
                <c:pt idx="7">
                  <c:v>261.88106269181509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13010</v>
      </c>
      <c r="B6" s="415"/>
      <c r="C6" s="416"/>
    </row>
    <row r="7" spans="1:7" s="413" customFormat="1" ht="15.75" customHeight="1">
      <c r="A7" s="417" t="str">
        <f>txtMunicipality</f>
        <v>GROBBENDONK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20277.604084499999</v>
      </c>
      <c r="D10" s="1012">
        <f ca="1">tertiair!C16</f>
        <v>0</v>
      </c>
      <c r="E10" s="1012">
        <f ca="1">tertiair!D16</f>
        <v>15506.270274</v>
      </c>
      <c r="F10" s="1012">
        <f>tertiair!E16</f>
        <v>330.40626041650046</v>
      </c>
      <c r="G10" s="1012">
        <f ca="1">tertiair!F16</f>
        <v>4967.8383899001428</v>
      </c>
      <c r="H10" s="1012">
        <f>tertiair!G16</f>
        <v>0</v>
      </c>
      <c r="I10" s="1012">
        <f>tertiair!H16</f>
        <v>0</v>
      </c>
      <c r="J10" s="1012">
        <f>tertiair!I16</f>
        <v>0</v>
      </c>
      <c r="K10" s="1012">
        <f>tertiair!J16</f>
        <v>0</v>
      </c>
      <c r="L10" s="1012">
        <f>tertiair!K16</f>
        <v>0</v>
      </c>
      <c r="M10" s="1012">
        <f ca="1">tertiair!L16</f>
        <v>0</v>
      </c>
      <c r="N10" s="1012">
        <f>tertiair!M16</f>
        <v>0</v>
      </c>
      <c r="O10" s="1012">
        <f ca="1">tertiair!N16</f>
        <v>4520.9929471425748</v>
      </c>
      <c r="P10" s="1012">
        <f>tertiair!O16</f>
        <v>3.1266666666666669</v>
      </c>
      <c r="Q10" s="1013">
        <f>tertiair!P16</f>
        <v>0</v>
      </c>
      <c r="R10" s="700">
        <f ca="1">SUM(C10:Q10)</f>
        <v>45606.238622625882</v>
      </c>
      <c r="S10" s="67"/>
    </row>
    <row r="11" spans="1:19" s="473" customFormat="1">
      <c r="A11" s="809" t="s">
        <v>225</v>
      </c>
      <c r="B11" s="814"/>
      <c r="C11" s="1012">
        <f>huishoudens!B8</f>
        <v>22076.938090393363</v>
      </c>
      <c r="D11" s="1012">
        <f>huishoudens!C8</f>
        <v>0</v>
      </c>
      <c r="E11" s="1012">
        <f>huishoudens!D8</f>
        <v>49102.56847216512</v>
      </c>
      <c r="F11" s="1012">
        <f>huishoudens!E8</f>
        <v>3403.2702652413186</v>
      </c>
      <c r="G11" s="1012">
        <f>huishoudens!F8</f>
        <v>8300.6745611401511</v>
      </c>
      <c r="H11" s="1012">
        <f>huishoudens!G8</f>
        <v>0</v>
      </c>
      <c r="I11" s="1012">
        <f>huishoudens!H8</f>
        <v>0</v>
      </c>
      <c r="J11" s="1012">
        <f>huishoudens!I8</f>
        <v>0</v>
      </c>
      <c r="K11" s="1012">
        <f>huishoudens!J8</f>
        <v>711.95534278120988</v>
      </c>
      <c r="L11" s="1012">
        <f>huishoudens!K8</f>
        <v>0</v>
      </c>
      <c r="M11" s="1012">
        <f>huishoudens!L8</f>
        <v>0</v>
      </c>
      <c r="N11" s="1012">
        <f>huishoudens!M8</f>
        <v>0</v>
      </c>
      <c r="O11" s="1012">
        <f>huishoudens!N8</f>
        <v>12081.890042749039</v>
      </c>
      <c r="P11" s="1012">
        <f>huishoudens!O8</f>
        <v>126.63</v>
      </c>
      <c r="Q11" s="1013">
        <f>huishoudens!P8</f>
        <v>724.5333333333333</v>
      </c>
      <c r="R11" s="700">
        <f>SUM(C11:Q11)</f>
        <v>96528.460107803548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58321.466764470999</v>
      </c>
      <c r="D13" s="1012">
        <f>industrie!C18</f>
        <v>0</v>
      </c>
      <c r="E13" s="1012">
        <f>industrie!D18</f>
        <v>64198.136200000001</v>
      </c>
      <c r="F13" s="1012">
        <f>industrie!E18</f>
        <v>3316.0799394970009</v>
      </c>
      <c r="G13" s="1012">
        <f>industrie!F18</f>
        <v>13432.292197877636</v>
      </c>
      <c r="H13" s="1012">
        <f>industrie!G18</f>
        <v>0</v>
      </c>
      <c r="I13" s="1012">
        <f>industrie!H18</f>
        <v>0</v>
      </c>
      <c r="J13" s="1012">
        <f>industrie!I18</f>
        <v>0</v>
      </c>
      <c r="K13" s="1012">
        <f>industrie!J18</f>
        <v>432.26746177848048</v>
      </c>
      <c r="L13" s="1012">
        <f>industrie!K18</f>
        <v>0</v>
      </c>
      <c r="M13" s="1012">
        <f>industrie!L18</f>
        <v>0</v>
      </c>
      <c r="N13" s="1012">
        <f>industrie!M18</f>
        <v>0</v>
      </c>
      <c r="O13" s="1012">
        <f>industrie!N18</f>
        <v>11266.105064519068</v>
      </c>
      <c r="P13" s="1012">
        <f>industrie!O18</f>
        <v>0</v>
      </c>
      <c r="Q13" s="1013">
        <f>industrie!P18</f>
        <v>0</v>
      </c>
      <c r="R13" s="700">
        <f>SUM(C13:Q13)</f>
        <v>150966.34762814318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100676.00893936436</v>
      </c>
      <c r="D16" s="732">
        <f t="shared" ref="D16:R16" ca="1" si="0">SUM(D9:D15)</f>
        <v>0</v>
      </c>
      <c r="E16" s="732">
        <f t="shared" ca="1" si="0"/>
        <v>128806.97494616512</v>
      </c>
      <c r="F16" s="732">
        <f t="shared" si="0"/>
        <v>7049.75646515482</v>
      </c>
      <c r="G16" s="732">
        <f t="shared" ca="1" si="0"/>
        <v>26700.805148917931</v>
      </c>
      <c r="H16" s="732">
        <f t="shared" si="0"/>
        <v>0</v>
      </c>
      <c r="I16" s="732">
        <f t="shared" si="0"/>
        <v>0</v>
      </c>
      <c r="J16" s="732">
        <f t="shared" si="0"/>
        <v>0</v>
      </c>
      <c r="K16" s="732">
        <f t="shared" si="0"/>
        <v>1144.2228045596903</v>
      </c>
      <c r="L16" s="732">
        <f t="shared" si="0"/>
        <v>0</v>
      </c>
      <c r="M16" s="732">
        <f t="shared" ca="1" si="0"/>
        <v>0</v>
      </c>
      <c r="N16" s="732">
        <f t="shared" si="0"/>
        <v>0</v>
      </c>
      <c r="O16" s="732">
        <f t="shared" ca="1" si="0"/>
        <v>27868.988054410685</v>
      </c>
      <c r="P16" s="732">
        <f t="shared" si="0"/>
        <v>129.75666666666666</v>
      </c>
      <c r="Q16" s="732">
        <f t="shared" si="0"/>
        <v>724.5333333333333</v>
      </c>
      <c r="R16" s="732">
        <f t="shared" ca="1" si="0"/>
        <v>293101.04635857261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980.82795015661077</v>
      </c>
      <c r="I19" s="1012">
        <f>transport!H54</f>
        <v>0</v>
      </c>
      <c r="J19" s="1012">
        <f>transport!I54</f>
        <v>0</v>
      </c>
      <c r="K19" s="1012">
        <f>transport!J54</f>
        <v>0</v>
      </c>
      <c r="L19" s="1012">
        <f>transport!K54</f>
        <v>0</v>
      </c>
      <c r="M19" s="1012">
        <f>transport!L54</f>
        <v>0</v>
      </c>
      <c r="N19" s="1012">
        <f>transport!M54</f>
        <v>30.423088723136438</v>
      </c>
      <c r="O19" s="1012">
        <f>transport!N54</f>
        <v>0</v>
      </c>
      <c r="P19" s="1012">
        <f>transport!O54</f>
        <v>0</v>
      </c>
      <c r="Q19" s="1013">
        <f>transport!P54</f>
        <v>0</v>
      </c>
      <c r="R19" s="700">
        <f>SUM(C19:Q19)</f>
        <v>1011.2510388797472</v>
      </c>
      <c r="S19" s="67"/>
    </row>
    <row r="20" spans="1:19" s="473" customFormat="1">
      <c r="A20" s="809" t="s">
        <v>307</v>
      </c>
      <c r="B20" s="814"/>
      <c r="C20" s="1012">
        <f>transport!B14</f>
        <v>49.375391726190806</v>
      </c>
      <c r="D20" s="1012">
        <f>transport!C14</f>
        <v>0</v>
      </c>
      <c r="E20" s="1012">
        <f>transport!D14</f>
        <v>103.33245607458636</v>
      </c>
      <c r="F20" s="1012">
        <f>transport!E14</f>
        <v>468.84056539737696</v>
      </c>
      <c r="G20" s="1012">
        <f>transport!F14</f>
        <v>0</v>
      </c>
      <c r="H20" s="1012">
        <f>transport!G14</f>
        <v>189509.90868777779</v>
      </c>
      <c r="I20" s="1012">
        <f>transport!H14</f>
        <v>28708.036272797242</v>
      </c>
      <c r="J20" s="1012">
        <f>transport!I14</f>
        <v>0</v>
      </c>
      <c r="K20" s="1012">
        <f>transport!J14</f>
        <v>0</v>
      </c>
      <c r="L20" s="1012">
        <f>transport!K14</f>
        <v>0</v>
      </c>
      <c r="M20" s="1012">
        <f>transport!L14</f>
        <v>0</v>
      </c>
      <c r="N20" s="1012">
        <f>transport!M14</f>
        <v>6830.3776911588766</v>
      </c>
      <c r="O20" s="1012">
        <f>transport!N14</f>
        <v>0</v>
      </c>
      <c r="P20" s="1012">
        <f>transport!O14</f>
        <v>0</v>
      </c>
      <c r="Q20" s="1013">
        <f>transport!P14</f>
        <v>0</v>
      </c>
      <c r="R20" s="700">
        <f>SUM(C20:Q20)</f>
        <v>225669.87106493206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49.375391726190806</v>
      </c>
      <c r="D22" s="812">
        <f t="shared" ref="D22:R22" si="1">SUM(D18:D21)</f>
        <v>0</v>
      </c>
      <c r="E22" s="812">
        <f t="shared" si="1"/>
        <v>103.33245607458636</v>
      </c>
      <c r="F22" s="812">
        <f t="shared" si="1"/>
        <v>468.84056539737696</v>
      </c>
      <c r="G22" s="812">
        <f t="shared" si="1"/>
        <v>0</v>
      </c>
      <c r="H22" s="812">
        <f t="shared" si="1"/>
        <v>190490.7366379344</v>
      </c>
      <c r="I22" s="812">
        <f t="shared" si="1"/>
        <v>28708.036272797242</v>
      </c>
      <c r="J22" s="812">
        <f t="shared" si="1"/>
        <v>0</v>
      </c>
      <c r="K22" s="812">
        <f t="shared" si="1"/>
        <v>0</v>
      </c>
      <c r="L22" s="812">
        <f t="shared" si="1"/>
        <v>0</v>
      </c>
      <c r="M22" s="812">
        <f t="shared" si="1"/>
        <v>0</v>
      </c>
      <c r="N22" s="812">
        <f t="shared" si="1"/>
        <v>6860.8007798820126</v>
      </c>
      <c r="O22" s="812">
        <f t="shared" si="1"/>
        <v>0</v>
      </c>
      <c r="P22" s="812">
        <f t="shared" si="1"/>
        <v>0</v>
      </c>
      <c r="Q22" s="812">
        <f t="shared" si="1"/>
        <v>0</v>
      </c>
      <c r="R22" s="812">
        <f t="shared" si="1"/>
        <v>226681.12210381179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408.74164206</v>
      </c>
      <c r="D24" s="1012">
        <f>+landbouw!C8</f>
        <v>0</v>
      </c>
      <c r="E24" s="1012">
        <f>+landbouw!D8</f>
        <v>104.74024</v>
      </c>
      <c r="F24" s="1012">
        <f>+landbouw!E8</f>
        <v>10.539877562266124</v>
      </c>
      <c r="G24" s="1012">
        <f>+landbouw!F8</f>
        <v>1494.028542793734</v>
      </c>
      <c r="H24" s="1012">
        <f>+landbouw!G8</f>
        <v>0</v>
      </c>
      <c r="I24" s="1012">
        <f>+landbouw!H8</f>
        <v>0</v>
      </c>
      <c r="J24" s="1012">
        <f>+landbouw!I8</f>
        <v>0</v>
      </c>
      <c r="K24" s="1012">
        <f>+landbouw!J8</f>
        <v>58.843760218021636</v>
      </c>
      <c r="L24" s="1012">
        <f>+landbouw!K8</f>
        <v>0</v>
      </c>
      <c r="M24" s="1012">
        <f>+landbouw!L8</f>
        <v>0</v>
      </c>
      <c r="N24" s="1012">
        <f>+landbouw!M8</f>
        <v>0</v>
      </c>
      <c r="O24" s="1012">
        <f>+landbouw!N8</f>
        <v>0</v>
      </c>
      <c r="P24" s="1012">
        <f>+landbouw!O8</f>
        <v>0</v>
      </c>
      <c r="Q24" s="1013">
        <f>+landbouw!P8</f>
        <v>0</v>
      </c>
      <c r="R24" s="700">
        <f>SUM(C24:Q24)</f>
        <v>2076.8940626340218</v>
      </c>
      <c r="S24" s="67"/>
    </row>
    <row r="25" spans="1:19" s="473" customFormat="1" ht="15" thickBot="1">
      <c r="A25" s="831" t="s">
        <v>848</v>
      </c>
      <c r="B25" s="1015"/>
      <c r="C25" s="1016">
        <f>IF(Onbekend_ele_kWh="---",0,Onbekend_ele_kWh)/1000+IF(REST_rest_ele_kWh="---",0,REST_rest_ele_kWh)/1000</f>
        <v>535.94712915000002</v>
      </c>
      <c r="D25" s="1016"/>
      <c r="E25" s="1016">
        <f>IF(onbekend_gas_kWh="---",0,onbekend_gas_kWh)/1000+IF(REST_rest_gas_kWh="---",0,REST_rest_gas_kWh)/1000</f>
        <v>729.67600000000004</v>
      </c>
      <c r="F25" s="1016"/>
      <c r="G25" s="1016"/>
      <c r="H25" s="1016"/>
      <c r="I25" s="1016"/>
      <c r="J25" s="1016"/>
      <c r="K25" s="1016"/>
      <c r="L25" s="1016"/>
      <c r="M25" s="1016"/>
      <c r="N25" s="1016"/>
      <c r="O25" s="1016"/>
      <c r="P25" s="1016"/>
      <c r="Q25" s="1017"/>
      <c r="R25" s="700">
        <f>SUM(C25:Q25)</f>
        <v>1265.6231291500001</v>
      </c>
      <c r="S25" s="67"/>
    </row>
    <row r="26" spans="1:19" s="473" customFormat="1" ht="15.75" thickBot="1">
      <c r="A26" s="705" t="s">
        <v>849</v>
      </c>
      <c r="B26" s="817"/>
      <c r="C26" s="812">
        <f>SUM(C24:C25)</f>
        <v>944.68877121000003</v>
      </c>
      <c r="D26" s="812">
        <f t="shared" ref="D26:R26" si="2">SUM(D24:D25)</f>
        <v>0</v>
      </c>
      <c r="E26" s="812">
        <f t="shared" si="2"/>
        <v>834.41624000000002</v>
      </c>
      <c r="F26" s="812">
        <f t="shared" si="2"/>
        <v>10.539877562266124</v>
      </c>
      <c r="G26" s="812">
        <f t="shared" si="2"/>
        <v>1494.028542793734</v>
      </c>
      <c r="H26" s="812">
        <f t="shared" si="2"/>
        <v>0</v>
      </c>
      <c r="I26" s="812">
        <f t="shared" si="2"/>
        <v>0</v>
      </c>
      <c r="J26" s="812">
        <f t="shared" si="2"/>
        <v>0</v>
      </c>
      <c r="K26" s="812">
        <f t="shared" si="2"/>
        <v>58.843760218021636</v>
      </c>
      <c r="L26" s="812">
        <f t="shared" si="2"/>
        <v>0</v>
      </c>
      <c r="M26" s="812">
        <f t="shared" si="2"/>
        <v>0</v>
      </c>
      <c r="N26" s="812">
        <f t="shared" si="2"/>
        <v>0</v>
      </c>
      <c r="O26" s="812">
        <f t="shared" si="2"/>
        <v>0</v>
      </c>
      <c r="P26" s="812">
        <f t="shared" si="2"/>
        <v>0</v>
      </c>
      <c r="Q26" s="812">
        <f t="shared" si="2"/>
        <v>0</v>
      </c>
      <c r="R26" s="812">
        <f t="shared" si="2"/>
        <v>3342.5171917840216</v>
      </c>
      <c r="S26" s="67"/>
    </row>
    <row r="27" spans="1:19" s="473" customFormat="1" ht="17.25" thickTop="1" thickBot="1">
      <c r="A27" s="706" t="s">
        <v>116</v>
      </c>
      <c r="B27" s="805"/>
      <c r="C27" s="707">
        <f ca="1">C22+C16+C26</f>
        <v>101670.07310230055</v>
      </c>
      <c r="D27" s="707">
        <f t="shared" ref="D27:R27" ca="1" si="3">D22+D16+D26</f>
        <v>0</v>
      </c>
      <c r="E27" s="707">
        <f t="shared" ca="1" si="3"/>
        <v>129744.72364223971</v>
      </c>
      <c r="F27" s="707">
        <f t="shared" si="3"/>
        <v>7529.136908114463</v>
      </c>
      <c r="G27" s="707">
        <f t="shared" ca="1" si="3"/>
        <v>28194.833691711665</v>
      </c>
      <c r="H27" s="707">
        <f t="shared" si="3"/>
        <v>190490.7366379344</v>
      </c>
      <c r="I27" s="707">
        <f t="shared" si="3"/>
        <v>28708.036272797242</v>
      </c>
      <c r="J27" s="707">
        <f t="shared" si="3"/>
        <v>0</v>
      </c>
      <c r="K27" s="707">
        <f t="shared" si="3"/>
        <v>1203.0665647777118</v>
      </c>
      <c r="L27" s="707">
        <f t="shared" si="3"/>
        <v>0</v>
      </c>
      <c r="M27" s="707">
        <f t="shared" ca="1" si="3"/>
        <v>0</v>
      </c>
      <c r="N27" s="707">
        <f t="shared" si="3"/>
        <v>6860.8007798820126</v>
      </c>
      <c r="O27" s="707">
        <f t="shared" ca="1" si="3"/>
        <v>27868.988054410685</v>
      </c>
      <c r="P27" s="707">
        <f t="shared" si="3"/>
        <v>129.75666666666666</v>
      </c>
      <c r="Q27" s="707">
        <f t="shared" si="3"/>
        <v>724.5333333333333</v>
      </c>
      <c r="R27" s="707">
        <f t="shared" ca="1" si="3"/>
        <v>523124.68565416842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4251.9483487617845</v>
      </c>
      <c r="D40" s="1012">
        <f ca="1">tertiair!C20</f>
        <v>0</v>
      </c>
      <c r="E40" s="1012">
        <f ca="1">tertiair!D20</f>
        <v>3132.2665953480005</v>
      </c>
      <c r="F40" s="1012">
        <f>tertiair!E20</f>
        <v>75.002221114545605</v>
      </c>
      <c r="G40" s="1012">
        <f ca="1">tertiair!F20</f>
        <v>1326.4128501033383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8785.6300153276679</v>
      </c>
    </row>
    <row r="41" spans="1:18">
      <c r="A41" s="822" t="s">
        <v>225</v>
      </c>
      <c r="B41" s="829"/>
      <c r="C41" s="1012">
        <f ca="1">huishoudens!B12</f>
        <v>4629.2451548019671</v>
      </c>
      <c r="D41" s="1012">
        <f ca="1">huishoudens!C12</f>
        <v>0</v>
      </c>
      <c r="E41" s="1012">
        <f>huishoudens!D12</f>
        <v>9918.7188313773549</v>
      </c>
      <c r="F41" s="1012">
        <f>huishoudens!E12</f>
        <v>772.54235020977933</v>
      </c>
      <c r="G41" s="1012">
        <f>huishoudens!F12</f>
        <v>2216.2801078244206</v>
      </c>
      <c r="H41" s="1012">
        <f>huishoudens!G12</f>
        <v>0</v>
      </c>
      <c r="I41" s="1012">
        <f>huishoudens!H12</f>
        <v>0</v>
      </c>
      <c r="J41" s="1012">
        <f>huishoudens!I12</f>
        <v>0</v>
      </c>
      <c r="K41" s="1012">
        <f>huishoudens!J12</f>
        <v>252.03219134454829</v>
      </c>
      <c r="L41" s="1012">
        <f>huishoudens!K12</f>
        <v>0</v>
      </c>
      <c r="M41" s="1012">
        <f>huishoudens!L12</f>
        <v>0</v>
      </c>
      <c r="N41" s="1012">
        <f>huishoudens!M12</f>
        <v>0</v>
      </c>
      <c r="O41" s="1012">
        <f>huishoudens!N12</f>
        <v>0</v>
      </c>
      <c r="P41" s="1012">
        <f>huishoudens!O12</f>
        <v>0</v>
      </c>
      <c r="Q41" s="774">
        <f>huishoudens!P12</f>
        <v>0</v>
      </c>
      <c r="R41" s="850">
        <f t="shared" ca="1" si="4"/>
        <v>17788.818635558069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12229.248745225828</v>
      </c>
      <c r="D43" s="1012">
        <f ca="1">industrie!C22</f>
        <v>0</v>
      </c>
      <c r="E43" s="1012">
        <f>industrie!D22</f>
        <v>12968.023512400001</v>
      </c>
      <c r="F43" s="1012">
        <f>industrie!E22</f>
        <v>752.75014626581924</v>
      </c>
      <c r="G43" s="1012">
        <f>industrie!F22</f>
        <v>3586.4220168333291</v>
      </c>
      <c r="H43" s="1012">
        <f>industrie!G22</f>
        <v>0</v>
      </c>
      <c r="I43" s="1012">
        <f>industrie!H22</f>
        <v>0</v>
      </c>
      <c r="J43" s="1012">
        <f>industrie!I22</f>
        <v>0</v>
      </c>
      <c r="K43" s="1012">
        <f>industrie!J22</f>
        <v>153.0226814695821</v>
      </c>
      <c r="L43" s="1012">
        <f>industrie!K22</f>
        <v>0</v>
      </c>
      <c r="M43" s="1012">
        <f>industrie!L22</f>
        <v>0</v>
      </c>
      <c r="N43" s="1012">
        <f>industrie!M22</f>
        <v>0</v>
      </c>
      <c r="O43" s="1012">
        <f>industrie!N22</f>
        <v>0</v>
      </c>
      <c r="P43" s="1012">
        <f>industrie!O22</f>
        <v>0</v>
      </c>
      <c r="Q43" s="774">
        <f>industrie!P22</f>
        <v>0</v>
      </c>
      <c r="R43" s="849">
        <f t="shared" ca="1" si="4"/>
        <v>29689.467102194561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21110.442248789579</v>
      </c>
      <c r="D46" s="732">
        <f t="shared" ref="D46:Q46" ca="1" si="5">SUM(D39:D45)</f>
        <v>0</v>
      </c>
      <c r="E46" s="732">
        <f t="shared" ca="1" si="5"/>
        <v>26019.008939125357</v>
      </c>
      <c r="F46" s="732">
        <f t="shared" si="5"/>
        <v>1600.294717590144</v>
      </c>
      <c r="G46" s="732">
        <f t="shared" ca="1" si="5"/>
        <v>7129.114974761088</v>
      </c>
      <c r="H46" s="732">
        <f t="shared" si="5"/>
        <v>0</v>
      </c>
      <c r="I46" s="732">
        <f t="shared" si="5"/>
        <v>0</v>
      </c>
      <c r="J46" s="732">
        <f t="shared" si="5"/>
        <v>0</v>
      </c>
      <c r="K46" s="732">
        <f t="shared" si="5"/>
        <v>405.05487281413036</v>
      </c>
      <c r="L46" s="732">
        <f t="shared" si="5"/>
        <v>0</v>
      </c>
      <c r="M46" s="732">
        <f t="shared" ca="1" si="5"/>
        <v>0</v>
      </c>
      <c r="N46" s="732">
        <f t="shared" si="5"/>
        <v>0</v>
      </c>
      <c r="O46" s="732">
        <f t="shared" ca="1" si="5"/>
        <v>0</v>
      </c>
      <c r="P46" s="732">
        <f t="shared" si="5"/>
        <v>0</v>
      </c>
      <c r="Q46" s="732">
        <f t="shared" si="5"/>
        <v>0</v>
      </c>
      <c r="R46" s="732">
        <f ca="1">SUM(R39:R45)</f>
        <v>56263.915753080299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261.88106269181509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261.88106269181509</v>
      </c>
    </row>
    <row r="50" spans="1:18">
      <c r="A50" s="825" t="s">
        <v>307</v>
      </c>
      <c r="B50" s="835"/>
      <c r="C50" s="703">
        <f ca="1">transport!B18</f>
        <v>10.353373822902508</v>
      </c>
      <c r="D50" s="703">
        <f>transport!C18</f>
        <v>0</v>
      </c>
      <c r="E50" s="703">
        <f>transport!D18</f>
        <v>20.873156127066448</v>
      </c>
      <c r="F50" s="703">
        <f>transport!E18</f>
        <v>106.42680834520458</v>
      </c>
      <c r="G50" s="703">
        <f>transport!F18</f>
        <v>0</v>
      </c>
      <c r="H50" s="703">
        <f>transport!G18</f>
        <v>50599.145619636671</v>
      </c>
      <c r="I50" s="703">
        <f>transport!H18</f>
        <v>7148.3010319265131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57885.099989858361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10.353373822902508</v>
      </c>
      <c r="D52" s="732">
        <f t="shared" ref="D52:Q52" ca="1" si="6">SUM(D48:D51)</f>
        <v>0</v>
      </c>
      <c r="E52" s="732">
        <f t="shared" si="6"/>
        <v>20.873156127066448</v>
      </c>
      <c r="F52" s="732">
        <f t="shared" si="6"/>
        <v>106.42680834520458</v>
      </c>
      <c r="G52" s="732">
        <f t="shared" si="6"/>
        <v>0</v>
      </c>
      <c r="H52" s="732">
        <f t="shared" si="6"/>
        <v>50861.026682328484</v>
      </c>
      <c r="I52" s="732">
        <f t="shared" si="6"/>
        <v>7148.3010319265131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58146.981052550174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85.707776065894691</v>
      </c>
      <c r="D54" s="703">
        <f ca="1">+landbouw!C12</f>
        <v>0</v>
      </c>
      <c r="E54" s="703">
        <f>+landbouw!D12</f>
        <v>21.15752848</v>
      </c>
      <c r="F54" s="703">
        <f>+landbouw!E12</f>
        <v>2.3925522066344103</v>
      </c>
      <c r="G54" s="703">
        <f>+landbouw!F12</f>
        <v>398.905620925927</v>
      </c>
      <c r="H54" s="703">
        <f>+landbouw!G12</f>
        <v>0</v>
      </c>
      <c r="I54" s="703">
        <f>+landbouw!H12</f>
        <v>0</v>
      </c>
      <c r="J54" s="703">
        <f>+landbouw!I12</f>
        <v>0</v>
      </c>
      <c r="K54" s="703">
        <f>+landbouw!J12</f>
        <v>20.830691117179658</v>
      </c>
      <c r="L54" s="703">
        <f>+landbouw!K12</f>
        <v>0</v>
      </c>
      <c r="M54" s="703">
        <f>+landbouw!L12</f>
        <v>0</v>
      </c>
      <c r="N54" s="703">
        <f>+landbouw!M12</f>
        <v>0</v>
      </c>
      <c r="O54" s="703">
        <f>+landbouw!N12</f>
        <v>0</v>
      </c>
      <c r="P54" s="703">
        <f>+landbouw!O12</f>
        <v>0</v>
      </c>
      <c r="Q54" s="704">
        <f>+landbouw!P12</f>
        <v>0</v>
      </c>
      <c r="R54" s="731">
        <f ca="1">SUM(C54:Q54)</f>
        <v>528.9941687956358</v>
      </c>
    </row>
    <row r="55" spans="1:18" ht="15" thickBot="1">
      <c r="A55" s="825" t="s">
        <v>848</v>
      </c>
      <c r="B55" s="835"/>
      <c r="C55" s="703">
        <f ca="1">C25*'EF ele_warmte'!B12</f>
        <v>112.38110288162045</v>
      </c>
      <c r="D55" s="703"/>
      <c r="E55" s="703">
        <f>E25*EF_CO2_aardgas</f>
        <v>147.394552</v>
      </c>
      <c r="F55" s="703"/>
      <c r="G55" s="703"/>
      <c r="H55" s="703"/>
      <c r="I55" s="703"/>
      <c r="J55" s="703"/>
      <c r="K55" s="703"/>
      <c r="L55" s="703"/>
      <c r="M55" s="703"/>
      <c r="N55" s="703"/>
      <c r="O55" s="703"/>
      <c r="P55" s="703"/>
      <c r="Q55" s="704"/>
      <c r="R55" s="731">
        <f ca="1">SUM(C55:Q55)</f>
        <v>259.77565488162043</v>
      </c>
    </row>
    <row r="56" spans="1:18" ht="15.75" thickBot="1">
      <c r="A56" s="823" t="s">
        <v>849</v>
      </c>
      <c r="B56" s="836"/>
      <c r="C56" s="732">
        <f ca="1">SUM(C54:C55)</f>
        <v>198.08887894751513</v>
      </c>
      <c r="D56" s="732">
        <f t="shared" ref="D56:Q56" ca="1" si="7">SUM(D54:D55)</f>
        <v>0</v>
      </c>
      <c r="E56" s="732">
        <f t="shared" si="7"/>
        <v>168.55208048</v>
      </c>
      <c r="F56" s="732">
        <f t="shared" si="7"/>
        <v>2.3925522066344103</v>
      </c>
      <c r="G56" s="732">
        <f t="shared" si="7"/>
        <v>398.905620925927</v>
      </c>
      <c r="H56" s="732">
        <f t="shared" si="7"/>
        <v>0</v>
      </c>
      <c r="I56" s="732">
        <f t="shared" si="7"/>
        <v>0</v>
      </c>
      <c r="J56" s="732">
        <f t="shared" si="7"/>
        <v>0</v>
      </c>
      <c r="K56" s="732">
        <f t="shared" si="7"/>
        <v>20.830691117179658</v>
      </c>
      <c r="L56" s="732">
        <f t="shared" si="7"/>
        <v>0</v>
      </c>
      <c r="M56" s="732">
        <f t="shared" si="7"/>
        <v>0</v>
      </c>
      <c r="N56" s="732">
        <f t="shared" si="7"/>
        <v>0</v>
      </c>
      <c r="O56" s="732">
        <f t="shared" si="7"/>
        <v>0</v>
      </c>
      <c r="P56" s="732">
        <f t="shared" si="7"/>
        <v>0</v>
      </c>
      <c r="Q56" s="733">
        <f t="shared" si="7"/>
        <v>0</v>
      </c>
      <c r="R56" s="734">
        <f ca="1">SUM(R54:R55)</f>
        <v>788.76982367725623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21318.884501559995</v>
      </c>
      <c r="D61" s="740">
        <f t="shared" ref="D61:Q61" ca="1" si="8">D46+D52+D56</f>
        <v>0</v>
      </c>
      <c r="E61" s="740">
        <f t="shared" ca="1" si="8"/>
        <v>26208.434175732422</v>
      </c>
      <c r="F61" s="740">
        <f t="shared" si="8"/>
        <v>1709.1140781419831</v>
      </c>
      <c r="G61" s="740">
        <f t="shared" ca="1" si="8"/>
        <v>7528.020595687015</v>
      </c>
      <c r="H61" s="740">
        <f t="shared" si="8"/>
        <v>50861.026682328484</v>
      </c>
      <c r="I61" s="740">
        <f t="shared" si="8"/>
        <v>7148.3010319265131</v>
      </c>
      <c r="J61" s="740">
        <f t="shared" si="8"/>
        <v>0</v>
      </c>
      <c r="K61" s="740">
        <f t="shared" si="8"/>
        <v>425.88556393131</v>
      </c>
      <c r="L61" s="740">
        <f t="shared" si="8"/>
        <v>0</v>
      </c>
      <c r="M61" s="740">
        <f t="shared" ca="1" si="8"/>
        <v>0</v>
      </c>
      <c r="N61" s="740">
        <f t="shared" si="8"/>
        <v>0</v>
      </c>
      <c r="O61" s="740">
        <f t="shared" ca="1" si="8"/>
        <v>0</v>
      </c>
      <c r="P61" s="740">
        <f t="shared" si="8"/>
        <v>0</v>
      </c>
      <c r="Q61" s="740">
        <f t="shared" si="8"/>
        <v>0</v>
      </c>
      <c r="R61" s="740">
        <f ca="1">R46+R52+R56</f>
        <v>115199.66662930773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0.20968692016291665</v>
      </c>
      <c r="D63" s="781">
        <f t="shared" ca="1" si="9"/>
        <v>0</v>
      </c>
      <c r="E63" s="1023">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5204.5323712598347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5204.5323712598347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22076.938090393363</v>
      </c>
      <c r="C4" s="477">
        <f>huishoudens!C8</f>
        <v>0</v>
      </c>
      <c r="D4" s="477">
        <f>huishoudens!D8</f>
        <v>49102.56847216512</v>
      </c>
      <c r="E4" s="477">
        <f>huishoudens!E8</f>
        <v>3403.2702652413186</v>
      </c>
      <c r="F4" s="477">
        <f>huishoudens!F8</f>
        <v>8300.6745611401511</v>
      </c>
      <c r="G4" s="477">
        <f>huishoudens!G8</f>
        <v>0</v>
      </c>
      <c r="H4" s="477">
        <f>huishoudens!H8</f>
        <v>0</v>
      </c>
      <c r="I4" s="477">
        <f>huishoudens!I8</f>
        <v>0</v>
      </c>
      <c r="J4" s="477">
        <f>huishoudens!J8</f>
        <v>711.95534278120988</v>
      </c>
      <c r="K4" s="477">
        <f>huishoudens!K8</f>
        <v>0</v>
      </c>
      <c r="L4" s="477">
        <f>huishoudens!L8</f>
        <v>0</v>
      </c>
      <c r="M4" s="477">
        <f>huishoudens!M8</f>
        <v>0</v>
      </c>
      <c r="N4" s="477">
        <f>huishoudens!N8</f>
        <v>12081.890042749039</v>
      </c>
      <c r="O4" s="477">
        <f>huishoudens!O8</f>
        <v>126.63</v>
      </c>
      <c r="P4" s="478">
        <f>huishoudens!P8</f>
        <v>724.5333333333333</v>
      </c>
      <c r="Q4" s="479">
        <f>SUM(B4:P4)</f>
        <v>96528.460107803548</v>
      </c>
    </row>
    <row r="5" spans="1:17">
      <c r="A5" s="476" t="s">
        <v>156</v>
      </c>
      <c r="B5" s="477">
        <f ca="1">tertiair!B16</f>
        <v>19713.1290845</v>
      </c>
      <c r="C5" s="477">
        <f ca="1">tertiair!C16</f>
        <v>0</v>
      </c>
      <c r="D5" s="477">
        <f ca="1">tertiair!D16</f>
        <v>15506.270274</v>
      </c>
      <c r="E5" s="477">
        <f>tertiair!E16</f>
        <v>330.40626041650046</v>
      </c>
      <c r="F5" s="477">
        <f ca="1">tertiair!F16</f>
        <v>4967.8383899001428</v>
      </c>
      <c r="G5" s="477">
        <f>tertiair!G16</f>
        <v>0</v>
      </c>
      <c r="H5" s="477">
        <f>tertiair!H16</f>
        <v>0</v>
      </c>
      <c r="I5" s="477">
        <f>tertiair!I16</f>
        <v>0</v>
      </c>
      <c r="J5" s="477">
        <f>tertiair!J16</f>
        <v>0</v>
      </c>
      <c r="K5" s="477">
        <f>tertiair!K16</f>
        <v>0</v>
      </c>
      <c r="L5" s="477">
        <f ca="1">tertiair!L16</f>
        <v>0</v>
      </c>
      <c r="M5" s="477">
        <f>tertiair!M16</f>
        <v>0</v>
      </c>
      <c r="N5" s="477">
        <f ca="1">tertiair!N16</f>
        <v>4520.9929471425748</v>
      </c>
      <c r="O5" s="477">
        <f>tertiair!O16</f>
        <v>3.1266666666666669</v>
      </c>
      <c r="P5" s="478">
        <f>tertiair!P16</f>
        <v>0</v>
      </c>
      <c r="Q5" s="476">
        <f t="shared" ref="Q5:Q14" ca="1" si="0">SUM(B5:P5)</f>
        <v>45041.763622625876</v>
      </c>
    </row>
    <row r="6" spans="1:17">
      <c r="A6" s="476" t="s">
        <v>194</v>
      </c>
      <c r="B6" s="477">
        <f>'openbare verlichting'!B8</f>
        <v>564.47500000000002</v>
      </c>
      <c r="C6" s="477"/>
      <c r="D6" s="477"/>
      <c r="E6" s="477"/>
      <c r="F6" s="477"/>
      <c r="G6" s="477"/>
      <c r="H6" s="477"/>
      <c r="I6" s="477"/>
      <c r="J6" s="477"/>
      <c r="K6" s="477"/>
      <c r="L6" s="477"/>
      <c r="M6" s="477"/>
      <c r="N6" s="477"/>
      <c r="O6" s="477"/>
      <c r="P6" s="478"/>
      <c r="Q6" s="476">
        <f t="shared" si="0"/>
        <v>564.47500000000002</v>
      </c>
    </row>
    <row r="7" spans="1:17">
      <c r="A7" s="476" t="s">
        <v>112</v>
      </c>
      <c r="B7" s="477">
        <f>landbouw!B8</f>
        <v>408.74164206</v>
      </c>
      <c r="C7" s="477">
        <f>landbouw!C8</f>
        <v>0</v>
      </c>
      <c r="D7" s="477">
        <f>landbouw!D8</f>
        <v>104.74024</v>
      </c>
      <c r="E7" s="477">
        <f>landbouw!E8</f>
        <v>10.539877562266124</v>
      </c>
      <c r="F7" s="477">
        <f>landbouw!F8</f>
        <v>1494.028542793734</v>
      </c>
      <c r="G7" s="477">
        <f>landbouw!G8</f>
        <v>0</v>
      </c>
      <c r="H7" s="477">
        <f>landbouw!H8</f>
        <v>0</v>
      </c>
      <c r="I7" s="477">
        <f>landbouw!I8</f>
        <v>0</v>
      </c>
      <c r="J7" s="477">
        <f>landbouw!J8</f>
        <v>58.843760218021636</v>
      </c>
      <c r="K7" s="477">
        <f>landbouw!K8</f>
        <v>0</v>
      </c>
      <c r="L7" s="477">
        <f>landbouw!L8</f>
        <v>0</v>
      </c>
      <c r="M7" s="477">
        <f>landbouw!M8</f>
        <v>0</v>
      </c>
      <c r="N7" s="477">
        <f>landbouw!N8</f>
        <v>0</v>
      </c>
      <c r="O7" s="477">
        <f>landbouw!O8</f>
        <v>0</v>
      </c>
      <c r="P7" s="478">
        <f>landbouw!P8</f>
        <v>0</v>
      </c>
      <c r="Q7" s="476">
        <f t="shared" si="0"/>
        <v>2076.8940626340218</v>
      </c>
    </row>
    <row r="8" spans="1:17">
      <c r="A8" s="476" t="s">
        <v>638</v>
      </c>
      <c r="B8" s="477">
        <f>industrie!B18</f>
        <v>58321.466764470999</v>
      </c>
      <c r="C8" s="477">
        <f>industrie!C18</f>
        <v>0</v>
      </c>
      <c r="D8" s="477">
        <f>industrie!D18</f>
        <v>64198.136200000001</v>
      </c>
      <c r="E8" s="477">
        <f>industrie!E18</f>
        <v>3316.0799394970009</v>
      </c>
      <c r="F8" s="477">
        <f>industrie!F18</f>
        <v>13432.292197877636</v>
      </c>
      <c r="G8" s="477">
        <f>industrie!G18</f>
        <v>0</v>
      </c>
      <c r="H8" s="477">
        <f>industrie!H18</f>
        <v>0</v>
      </c>
      <c r="I8" s="477">
        <f>industrie!I18</f>
        <v>0</v>
      </c>
      <c r="J8" s="477">
        <f>industrie!J18</f>
        <v>432.26746177848048</v>
      </c>
      <c r="K8" s="477">
        <f>industrie!K18</f>
        <v>0</v>
      </c>
      <c r="L8" s="477">
        <f>industrie!L18</f>
        <v>0</v>
      </c>
      <c r="M8" s="477">
        <f>industrie!M18</f>
        <v>0</v>
      </c>
      <c r="N8" s="477">
        <f>industrie!N18</f>
        <v>11266.105064519068</v>
      </c>
      <c r="O8" s="477">
        <f>industrie!O18</f>
        <v>0</v>
      </c>
      <c r="P8" s="478">
        <f>industrie!P18</f>
        <v>0</v>
      </c>
      <c r="Q8" s="476">
        <f t="shared" si="0"/>
        <v>150966.34762814318</v>
      </c>
    </row>
    <row r="9" spans="1:17" s="482" customFormat="1">
      <c r="A9" s="480" t="s">
        <v>564</v>
      </c>
      <c r="B9" s="481">
        <f>transport!B14</f>
        <v>49.375391726190806</v>
      </c>
      <c r="C9" s="481">
        <f>transport!C14</f>
        <v>0</v>
      </c>
      <c r="D9" s="481">
        <f>transport!D14</f>
        <v>103.33245607458636</v>
      </c>
      <c r="E9" s="481">
        <f>transport!E14</f>
        <v>468.84056539737696</v>
      </c>
      <c r="F9" s="481">
        <f>transport!F14</f>
        <v>0</v>
      </c>
      <c r="G9" s="481">
        <f>transport!G14</f>
        <v>189509.90868777779</v>
      </c>
      <c r="H9" s="481">
        <f>transport!H14</f>
        <v>28708.036272797242</v>
      </c>
      <c r="I9" s="481">
        <f>transport!I14</f>
        <v>0</v>
      </c>
      <c r="J9" s="481">
        <f>transport!J14</f>
        <v>0</v>
      </c>
      <c r="K9" s="481">
        <f>transport!K14</f>
        <v>0</v>
      </c>
      <c r="L9" s="481">
        <f>transport!L14</f>
        <v>0</v>
      </c>
      <c r="M9" s="481">
        <f>transport!M14</f>
        <v>6830.3776911588766</v>
      </c>
      <c r="N9" s="481">
        <f>transport!N14</f>
        <v>0</v>
      </c>
      <c r="O9" s="481">
        <f>transport!O14</f>
        <v>0</v>
      </c>
      <c r="P9" s="481">
        <f>transport!P14</f>
        <v>0</v>
      </c>
      <c r="Q9" s="480">
        <f>SUM(B9:P9)</f>
        <v>225669.87106493206</v>
      </c>
    </row>
    <row r="10" spans="1:17">
      <c r="A10" s="476" t="s">
        <v>554</v>
      </c>
      <c r="B10" s="477">
        <f>transport!B54</f>
        <v>0</v>
      </c>
      <c r="C10" s="477">
        <f>transport!C54</f>
        <v>0</v>
      </c>
      <c r="D10" s="477">
        <f>transport!D54</f>
        <v>0</v>
      </c>
      <c r="E10" s="477">
        <f>transport!E54</f>
        <v>0</v>
      </c>
      <c r="F10" s="477">
        <f>transport!F54</f>
        <v>0</v>
      </c>
      <c r="G10" s="477">
        <f>transport!G54</f>
        <v>980.82795015661077</v>
      </c>
      <c r="H10" s="477">
        <f>transport!H54</f>
        <v>0</v>
      </c>
      <c r="I10" s="477">
        <f>transport!I54</f>
        <v>0</v>
      </c>
      <c r="J10" s="477">
        <f>transport!J54</f>
        <v>0</v>
      </c>
      <c r="K10" s="477">
        <f>transport!K54</f>
        <v>0</v>
      </c>
      <c r="L10" s="477">
        <f>transport!L54</f>
        <v>0</v>
      </c>
      <c r="M10" s="477">
        <f>transport!M54</f>
        <v>30.423088723136438</v>
      </c>
      <c r="N10" s="477">
        <f>transport!N54</f>
        <v>0</v>
      </c>
      <c r="O10" s="477">
        <f>transport!O54</f>
        <v>0</v>
      </c>
      <c r="P10" s="478">
        <f>transport!P54</f>
        <v>0</v>
      </c>
      <c r="Q10" s="476">
        <f t="shared" si="0"/>
        <v>1011.2510388797472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535.94712915000002</v>
      </c>
      <c r="C14" s="484"/>
      <c r="D14" s="484">
        <f>'SEAP template'!E25</f>
        <v>729.67600000000004</v>
      </c>
      <c r="E14" s="484"/>
      <c r="F14" s="484"/>
      <c r="G14" s="484"/>
      <c r="H14" s="484"/>
      <c r="I14" s="484"/>
      <c r="J14" s="484"/>
      <c r="K14" s="484"/>
      <c r="L14" s="484"/>
      <c r="M14" s="484"/>
      <c r="N14" s="484"/>
      <c r="O14" s="484"/>
      <c r="P14" s="485"/>
      <c r="Q14" s="476">
        <f t="shared" si="0"/>
        <v>1265.6231291500001</v>
      </c>
    </row>
    <row r="15" spans="1:17" s="486" customFormat="1">
      <c r="A15" s="1038" t="s">
        <v>558</v>
      </c>
      <c r="B15" s="978">
        <f ca="1">SUM(B4:B14)</f>
        <v>101670.07310230055</v>
      </c>
      <c r="C15" s="978">
        <f t="shared" ref="C15:Q15" ca="1" si="1">SUM(C4:C14)</f>
        <v>0</v>
      </c>
      <c r="D15" s="978">
        <f t="shared" ca="1" si="1"/>
        <v>129744.72364223971</v>
      </c>
      <c r="E15" s="978">
        <f t="shared" si="1"/>
        <v>7529.136908114463</v>
      </c>
      <c r="F15" s="978">
        <f t="shared" ca="1" si="1"/>
        <v>28194.833691711665</v>
      </c>
      <c r="G15" s="978">
        <f t="shared" si="1"/>
        <v>190490.7366379344</v>
      </c>
      <c r="H15" s="978">
        <f t="shared" si="1"/>
        <v>28708.036272797242</v>
      </c>
      <c r="I15" s="978">
        <f t="shared" si="1"/>
        <v>0</v>
      </c>
      <c r="J15" s="978">
        <f t="shared" si="1"/>
        <v>1203.0665647777121</v>
      </c>
      <c r="K15" s="978">
        <f t="shared" si="1"/>
        <v>0</v>
      </c>
      <c r="L15" s="978">
        <f t="shared" ca="1" si="1"/>
        <v>0</v>
      </c>
      <c r="M15" s="978">
        <f t="shared" si="1"/>
        <v>6860.8007798820126</v>
      </c>
      <c r="N15" s="978">
        <f t="shared" ca="1" si="1"/>
        <v>27868.988054410685</v>
      </c>
      <c r="O15" s="978">
        <f t="shared" si="1"/>
        <v>129.75666666666666</v>
      </c>
      <c r="P15" s="978">
        <f t="shared" si="1"/>
        <v>724.5333333333333</v>
      </c>
      <c r="Q15" s="978">
        <f t="shared" ca="1" si="1"/>
        <v>523124.68565416848</v>
      </c>
    </row>
    <row r="17" spans="1:17">
      <c r="A17" s="487" t="s">
        <v>559</v>
      </c>
      <c r="B17" s="786">
        <f ca="1">huishoudens!B10</f>
        <v>0.20968692016291668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4629.2451548019671</v>
      </c>
      <c r="C22" s="477">
        <f t="shared" ref="C22:C32" ca="1" si="3">C4*$C$17</f>
        <v>0</v>
      </c>
      <c r="D22" s="477">
        <f t="shared" ref="D22:D32" si="4">D4*$D$17</f>
        <v>9918.7188313773549</v>
      </c>
      <c r="E22" s="477">
        <f t="shared" ref="E22:E32" si="5">E4*$E$17</f>
        <v>772.54235020977933</v>
      </c>
      <c r="F22" s="477">
        <f t="shared" ref="F22:F32" si="6">F4*$F$17</f>
        <v>2216.2801078244206</v>
      </c>
      <c r="G22" s="477">
        <f t="shared" ref="G22:G32" si="7">G4*$G$17</f>
        <v>0</v>
      </c>
      <c r="H22" s="477">
        <f t="shared" ref="H22:H32" si="8">H4*$H$17</f>
        <v>0</v>
      </c>
      <c r="I22" s="477">
        <f t="shared" ref="I22:I32" si="9">I4*$I$17</f>
        <v>0</v>
      </c>
      <c r="J22" s="477">
        <f t="shared" ref="J22:J32" si="10">J4*$J$17</f>
        <v>252.03219134454829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17788.818635558069</v>
      </c>
    </row>
    <row r="23" spans="1:17">
      <c r="A23" s="476" t="s">
        <v>156</v>
      </c>
      <c r="B23" s="477">
        <f t="shared" ca="1" si="2"/>
        <v>4133.585324502822</v>
      </c>
      <c r="C23" s="477">
        <f t="shared" ca="1" si="3"/>
        <v>0</v>
      </c>
      <c r="D23" s="477">
        <f t="shared" ca="1" si="4"/>
        <v>3132.2665953480005</v>
      </c>
      <c r="E23" s="477">
        <f t="shared" si="5"/>
        <v>75.002221114545605</v>
      </c>
      <c r="F23" s="477">
        <f t="shared" ca="1" si="6"/>
        <v>1326.4128501033383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8667.2669910687073</v>
      </c>
    </row>
    <row r="24" spans="1:17">
      <c r="A24" s="476" t="s">
        <v>194</v>
      </c>
      <c r="B24" s="477">
        <f t="shared" ca="1" si="2"/>
        <v>118.3630242589624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118.3630242589624</v>
      </c>
    </row>
    <row r="25" spans="1:17">
      <c r="A25" s="476" t="s">
        <v>112</v>
      </c>
      <c r="B25" s="477">
        <f t="shared" ca="1" si="2"/>
        <v>85.707776065894691</v>
      </c>
      <c r="C25" s="477">
        <f t="shared" ca="1" si="3"/>
        <v>0</v>
      </c>
      <c r="D25" s="477">
        <f t="shared" si="4"/>
        <v>21.15752848</v>
      </c>
      <c r="E25" s="477">
        <f t="shared" si="5"/>
        <v>2.3925522066344103</v>
      </c>
      <c r="F25" s="477">
        <f t="shared" si="6"/>
        <v>398.905620925927</v>
      </c>
      <c r="G25" s="477">
        <f t="shared" si="7"/>
        <v>0</v>
      </c>
      <c r="H25" s="477">
        <f t="shared" si="8"/>
        <v>0</v>
      </c>
      <c r="I25" s="477">
        <f t="shared" si="9"/>
        <v>0</v>
      </c>
      <c r="J25" s="477">
        <f t="shared" si="10"/>
        <v>20.830691117179658</v>
      </c>
      <c r="K25" s="477">
        <f t="shared" si="11"/>
        <v>0</v>
      </c>
      <c r="L25" s="477">
        <f t="shared" si="12"/>
        <v>0</v>
      </c>
      <c r="M25" s="477">
        <f t="shared" si="13"/>
        <v>0</v>
      </c>
      <c r="N25" s="477">
        <f t="shared" si="14"/>
        <v>0</v>
      </c>
      <c r="O25" s="477">
        <f t="shared" si="15"/>
        <v>0</v>
      </c>
      <c r="P25" s="478">
        <f t="shared" si="16"/>
        <v>0</v>
      </c>
      <c r="Q25" s="476">
        <f t="shared" ca="1" si="17"/>
        <v>528.9941687956358</v>
      </c>
    </row>
    <row r="26" spans="1:17">
      <c r="A26" s="476" t="s">
        <v>638</v>
      </c>
      <c r="B26" s="477">
        <f t="shared" ca="1" si="2"/>
        <v>12229.248745225828</v>
      </c>
      <c r="C26" s="477">
        <f t="shared" ca="1" si="3"/>
        <v>0</v>
      </c>
      <c r="D26" s="477">
        <f t="shared" si="4"/>
        <v>12968.023512400001</v>
      </c>
      <c r="E26" s="477">
        <f t="shared" si="5"/>
        <v>752.75014626581924</v>
      </c>
      <c r="F26" s="477">
        <f t="shared" si="6"/>
        <v>3586.4220168333291</v>
      </c>
      <c r="G26" s="477">
        <f t="shared" si="7"/>
        <v>0</v>
      </c>
      <c r="H26" s="477">
        <f t="shared" si="8"/>
        <v>0</v>
      </c>
      <c r="I26" s="477">
        <f t="shared" si="9"/>
        <v>0</v>
      </c>
      <c r="J26" s="477">
        <f t="shared" si="10"/>
        <v>153.0226814695821</v>
      </c>
      <c r="K26" s="477">
        <f t="shared" si="11"/>
        <v>0</v>
      </c>
      <c r="L26" s="477">
        <f t="shared" si="12"/>
        <v>0</v>
      </c>
      <c r="M26" s="477">
        <f t="shared" si="13"/>
        <v>0</v>
      </c>
      <c r="N26" s="477">
        <f t="shared" si="14"/>
        <v>0</v>
      </c>
      <c r="O26" s="477">
        <f t="shared" si="15"/>
        <v>0</v>
      </c>
      <c r="P26" s="478">
        <f t="shared" si="16"/>
        <v>0</v>
      </c>
      <c r="Q26" s="476">
        <f t="shared" ca="1" si="17"/>
        <v>29689.467102194561</v>
      </c>
    </row>
    <row r="27" spans="1:17" s="482" customFormat="1">
      <c r="A27" s="480" t="s">
        <v>564</v>
      </c>
      <c r="B27" s="780">
        <f t="shared" ca="1" si="2"/>
        <v>10.353373822902508</v>
      </c>
      <c r="C27" s="481">
        <f t="shared" ca="1" si="3"/>
        <v>0</v>
      </c>
      <c r="D27" s="481">
        <f t="shared" si="4"/>
        <v>20.873156127066448</v>
      </c>
      <c r="E27" s="481">
        <f t="shared" si="5"/>
        <v>106.42680834520458</v>
      </c>
      <c r="F27" s="481">
        <f t="shared" si="6"/>
        <v>0</v>
      </c>
      <c r="G27" s="481">
        <f t="shared" si="7"/>
        <v>50599.145619636671</v>
      </c>
      <c r="H27" s="481">
        <f t="shared" si="8"/>
        <v>7148.3010319265131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57885.099989858361</v>
      </c>
    </row>
    <row r="28" spans="1:17">
      <c r="A28" s="476" t="s">
        <v>554</v>
      </c>
      <c r="B28" s="477">
        <f t="shared" ca="1" si="2"/>
        <v>0</v>
      </c>
      <c r="C28" s="477">
        <f t="shared" ca="1" si="3"/>
        <v>0</v>
      </c>
      <c r="D28" s="477">
        <f t="shared" si="4"/>
        <v>0</v>
      </c>
      <c r="E28" s="477">
        <f t="shared" si="5"/>
        <v>0</v>
      </c>
      <c r="F28" s="477">
        <f t="shared" si="6"/>
        <v>0</v>
      </c>
      <c r="G28" s="477">
        <f t="shared" si="7"/>
        <v>261.88106269181509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261.88106269181509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112.38110288162045</v>
      </c>
      <c r="C32" s="477">
        <f t="shared" ca="1" si="3"/>
        <v>0</v>
      </c>
      <c r="D32" s="477">
        <f t="shared" si="4"/>
        <v>147.394552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259.77565488162043</v>
      </c>
    </row>
    <row r="33" spans="1:17" s="486" customFormat="1">
      <c r="A33" s="1038" t="s">
        <v>558</v>
      </c>
      <c r="B33" s="978">
        <f ca="1">SUM(B22:B32)</f>
        <v>21318.884501559995</v>
      </c>
      <c r="C33" s="978">
        <f t="shared" ref="C33:Q33" ca="1" si="18">SUM(C22:C32)</f>
        <v>0</v>
      </c>
      <c r="D33" s="978">
        <f t="shared" ca="1" si="18"/>
        <v>26208.434175732422</v>
      </c>
      <c r="E33" s="978">
        <f t="shared" si="18"/>
        <v>1709.1140781419831</v>
      </c>
      <c r="F33" s="978">
        <f t="shared" ca="1" si="18"/>
        <v>7528.020595687015</v>
      </c>
      <c r="G33" s="978">
        <f t="shared" si="18"/>
        <v>50861.026682328484</v>
      </c>
      <c r="H33" s="978">
        <f t="shared" si="18"/>
        <v>7148.3010319265131</v>
      </c>
      <c r="I33" s="978">
        <f t="shared" si="18"/>
        <v>0</v>
      </c>
      <c r="J33" s="978">
        <f t="shared" si="18"/>
        <v>425.88556393131006</v>
      </c>
      <c r="K33" s="978">
        <f t="shared" si="18"/>
        <v>0</v>
      </c>
      <c r="L33" s="978">
        <f t="shared" ca="1" si="18"/>
        <v>0</v>
      </c>
      <c r="M33" s="978">
        <f t="shared" si="18"/>
        <v>0</v>
      </c>
      <c r="N33" s="978">
        <f t="shared" ca="1" si="18"/>
        <v>0</v>
      </c>
      <c r="O33" s="978">
        <f t="shared" si="18"/>
        <v>0</v>
      </c>
      <c r="P33" s="978">
        <f t="shared" si="18"/>
        <v>0</v>
      </c>
      <c r="Q33" s="978">
        <f t="shared" ca="1" si="18"/>
        <v>115199.66662930773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5204.5323712598347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5204.5323712598347</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0.20968692016291668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0.20968692016291668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0.20968692016291668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0.20968692016291668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4597</v>
      </c>
      <c r="C9" s="342">
        <v>4632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753.8</v>
      </c>
    </row>
    <row r="15" spans="1:6">
      <c r="A15" s="348" t="s">
        <v>184</v>
      </c>
      <c r="B15" s="334">
        <v>300</v>
      </c>
    </row>
    <row r="16" spans="1:6">
      <c r="A16" s="348" t="s">
        <v>6</v>
      </c>
      <c r="B16" s="334">
        <v>762</v>
      </c>
    </row>
    <row r="17" spans="1:6">
      <c r="A17" s="348" t="s">
        <v>7</v>
      </c>
      <c r="B17" s="334">
        <v>4</v>
      </c>
    </row>
    <row r="18" spans="1:6">
      <c r="A18" s="348" t="s">
        <v>8</v>
      </c>
      <c r="B18" s="334">
        <v>359</v>
      </c>
    </row>
    <row r="19" spans="1:6">
      <c r="A19" s="348" t="s">
        <v>9</v>
      </c>
      <c r="B19" s="334">
        <v>317</v>
      </c>
    </row>
    <row r="20" spans="1:6">
      <c r="A20" s="348" t="s">
        <v>10</v>
      </c>
      <c r="B20" s="334">
        <v>121</v>
      </c>
    </row>
    <row r="21" spans="1:6">
      <c r="A21" s="348" t="s">
        <v>11</v>
      </c>
      <c r="B21" s="334">
        <v>1669</v>
      </c>
    </row>
    <row r="22" spans="1:6">
      <c r="A22" s="348" t="s">
        <v>12</v>
      </c>
      <c r="B22" s="334">
        <v>3238</v>
      </c>
    </row>
    <row r="23" spans="1:6">
      <c r="A23" s="348" t="s">
        <v>13</v>
      </c>
      <c r="B23" s="334">
        <v>13</v>
      </c>
    </row>
    <row r="24" spans="1:6">
      <c r="A24" s="348" t="s">
        <v>14</v>
      </c>
      <c r="B24" s="334">
        <v>2</v>
      </c>
    </row>
    <row r="25" spans="1:6">
      <c r="A25" s="348" t="s">
        <v>15</v>
      </c>
      <c r="B25" s="334">
        <v>250</v>
      </c>
    </row>
    <row r="26" spans="1:6">
      <c r="A26" s="348" t="s">
        <v>16</v>
      </c>
      <c r="B26" s="334">
        <v>37</v>
      </c>
    </row>
    <row r="27" spans="1:6">
      <c r="A27" s="348" t="s">
        <v>17</v>
      </c>
      <c r="B27" s="334">
        <v>2</v>
      </c>
    </row>
    <row r="28" spans="1:6" s="356" customFormat="1">
      <c r="A28" s="355" t="s">
        <v>18</v>
      </c>
      <c r="B28" s="355">
        <v>0</v>
      </c>
    </row>
    <row r="29" spans="1:6">
      <c r="A29" s="355" t="s">
        <v>884</v>
      </c>
      <c r="B29" s="355">
        <v>233</v>
      </c>
      <c r="C29" s="356"/>
      <c r="D29" s="356"/>
      <c r="E29" s="356"/>
      <c r="F29" s="356"/>
    </row>
    <row r="30" spans="1:6">
      <c r="A30" s="355" t="s">
        <v>885</v>
      </c>
      <c r="B30" s="341">
        <v>64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281648</v>
      </c>
      <c r="E38" s="334">
        <v>3</v>
      </c>
      <c r="F38" s="334">
        <v>1451.7858941</v>
      </c>
    </row>
    <row r="39" spans="1:6">
      <c r="A39" s="348" t="s">
        <v>30</v>
      </c>
      <c r="B39" s="348" t="s">
        <v>31</v>
      </c>
      <c r="C39" s="334">
        <v>3051</v>
      </c>
      <c r="D39" s="334">
        <v>54437437.330559999</v>
      </c>
      <c r="E39" s="334">
        <v>4543</v>
      </c>
      <c r="F39" s="334">
        <v>19868478.752</v>
      </c>
    </row>
    <row r="40" spans="1:6">
      <c r="A40" s="348" t="s">
        <v>30</v>
      </c>
      <c r="B40" s="348" t="s">
        <v>29</v>
      </c>
      <c r="C40" s="334">
        <v>0</v>
      </c>
      <c r="D40" s="334">
        <v>0</v>
      </c>
      <c r="E40" s="334">
        <v>0</v>
      </c>
      <c r="F40" s="334">
        <v>0</v>
      </c>
    </row>
    <row r="41" spans="1:6">
      <c r="A41" s="348" t="s">
        <v>32</v>
      </c>
      <c r="B41" s="348" t="s">
        <v>33</v>
      </c>
      <c r="C41" s="334">
        <v>48</v>
      </c>
      <c r="D41" s="334">
        <v>21335462</v>
      </c>
      <c r="E41" s="334">
        <v>107</v>
      </c>
      <c r="F41" s="334">
        <v>1413192.9622</v>
      </c>
    </row>
    <row r="42" spans="1:6">
      <c r="A42" s="348" t="s">
        <v>32</v>
      </c>
      <c r="B42" s="348" t="s">
        <v>34</v>
      </c>
      <c r="C42" s="334">
        <v>5</v>
      </c>
      <c r="D42" s="334">
        <v>45804632</v>
      </c>
      <c r="E42" s="334">
        <v>0</v>
      </c>
      <c r="F42" s="334">
        <v>0</v>
      </c>
    </row>
    <row r="43" spans="1:6">
      <c r="A43" s="348" t="s">
        <v>32</v>
      </c>
      <c r="B43" s="348" t="s">
        <v>35</v>
      </c>
      <c r="C43" s="334">
        <v>0</v>
      </c>
      <c r="D43" s="334">
        <v>0</v>
      </c>
      <c r="E43" s="334">
        <v>0</v>
      </c>
      <c r="F43" s="334">
        <v>0</v>
      </c>
    </row>
    <row r="44" spans="1:6">
      <c r="A44" s="348" t="s">
        <v>32</v>
      </c>
      <c r="B44" s="348" t="s">
        <v>36</v>
      </c>
      <c r="C44" s="334">
        <v>3</v>
      </c>
      <c r="D44" s="334">
        <v>190180</v>
      </c>
      <c r="E44" s="334">
        <v>3</v>
      </c>
      <c r="F44" s="334">
        <v>18716.828591000001</v>
      </c>
    </row>
    <row r="45" spans="1:6">
      <c r="A45" s="348" t="s">
        <v>32</v>
      </c>
      <c r="B45" s="348" t="s">
        <v>37</v>
      </c>
      <c r="C45" s="334">
        <v>0</v>
      </c>
      <c r="D45" s="334">
        <v>0</v>
      </c>
      <c r="E45" s="334">
        <v>7</v>
      </c>
      <c r="F45" s="334">
        <v>3577789.8761999998</v>
      </c>
    </row>
    <row r="46" spans="1:6">
      <c r="A46" s="348" t="s">
        <v>32</v>
      </c>
      <c r="B46" s="348" t="s">
        <v>38</v>
      </c>
      <c r="C46" s="334">
        <v>0</v>
      </c>
      <c r="D46" s="334">
        <v>0</v>
      </c>
      <c r="E46" s="334">
        <v>0</v>
      </c>
      <c r="F46" s="334">
        <v>0</v>
      </c>
    </row>
    <row r="47" spans="1:6">
      <c r="A47" s="348" t="s">
        <v>32</v>
      </c>
      <c r="B47" s="348" t="s">
        <v>39</v>
      </c>
      <c r="C47" s="334">
        <v>3</v>
      </c>
      <c r="D47" s="334">
        <v>258073</v>
      </c>
      <c r="E47" s="334">
        <v>0</v>
      </c>
      <c r="F47" s="334">
        <v>0</v>
      </c>
    </row>
    <row r="48" spans="1:6">
      <c r="A48" s="348" t="s">
        <v>32</v>
      </c>
      <c r="B48" s="348" t="s">
        <v>29</v>
      </c>
      <c r="C48" s="334">
        <v>4</v>
      </c>
      <c r="D48" s="334">
        <v>154110</v>
      </c>
      <c r="E48" s="334">
        <v>57</v>
      </c>
      <c r="F48" s="334">
        <v>52805341.184</v>
      </c>
    </row>
    <row r="49" spans="1:6">
      <c r="A49" s="348" t="s">
        <v>32</v>
      </c>
      <c r="B49" s="348" t="s">
        <v>40</v>
      </c>
      <c r="C49" s="334">
        <v>0</v>
      </c>
      <c r="D49" s="334">
        <v>0</v>
      </c>
      <c r="E49" s="334">
        <v>0</v>
      </c>
      <c r="F49" s="334">
        <v>0</v>
      </c>
    </row>
    <row r="50" spans="1:6">
      <c r="A50" s="348" t="s">
        <v>32</v>
      </c>
      <c r="B50" s="348" t="s">
        <v>41</v>
      </c>
      <c r="C50" s="334">
        <v>11</v>
      </c>
      <c r="D50" s="334">
        <v>3430643</v>
      </c>
      <c r="E50" s="334">
        <v>5</v>
      </c>
      <c r="F50" s="334">
        <v>506425.91347999999</v>
      </c>
    </row>
    <row r="51" spans="1:6">
      <c r="A51" s="348" t="s">
        <v>42</v>
      </c>
      <c r="B51" s="348" t="s">
        <v>43</v>
      </c>
      <c r="C51" s="334">
        <v>5</v>
      </c>
      <c r="D51" s="334">
        <v>116120</v>
      </c>
      <c r="E51" s="334">
        <v>19</v>
      </c>
      <c r="F51" s="334">
        <v>256610.07895</v>
      </c>
    </row>
    <row r="52" spans="1:6">
      <c r="A52" s="348" t="s">
        <v>42</v>
      </c>
      <c r="B52" s="348" t="s">
        <v>29</v>
      </c>
      <c r="C52" s="334">
        <v>0</v>
      </c>
      <c r="D52" s="334">
        <v>0</v>
      </c>
      <c r="E52" s="334">
        <v>12</v>
      </c>
      <c r="F52" s="334">
        <v>152131.56310999999</v>
      </c>
    </row>
    <row r="53" spans="1:6">
      <c r="A53" s="348" t="s">
        <v>44</v>
      </c>
      <c r="B53" s="348" t="s">
        <v>45</v>
      </c>
      <c r="C53" s="334">
        <v>1</v>
      </c>
      <c r="D53" s="334">
        <v>0</v>
      </c>
      <c r="E53" s="334">
        <v>155</v>
      </c>
      <c r="F53" s="334">
        <v>535947.12915000005</v>
      </c>
    </row>
    <row r="54" spans="1:6">
      <c r="A54" s="348" t="s">
        <v>46</v>
      </c>
      <c r="B54" s="348" t="s">
        <v>47</v>
      </c>
      <c r="C54" s="334">
        <v>0</v>
      </c>
      <c r="D54" s="334">
        <v>0</v>
      </c>
      <c r="E54" s="334">
        <v>1</v>
      </c>
      <c r="F54" s="334">
        <v>564475</v>
      </c>
    </row>
    <row r="55" spans="1:6">
      <c r="A55" s="348" t="s">
        <v>46</v>
      </c>
      <c r="B55" s="348" t="s">
        <v>29</v>
      </c>
      <c r="C55" s="334">
        <v>0</v>
      </c>
      <c r="D55" s="334">
        <v>0</v>
      </c>
      <c r="E55" s="334">
        <v>0</v>
      </c>
      <c r="F55" s="334">
        <v>0</v>
      </c>
    </row>
    <row r="56" spans="1:6">
      <c r="A56" s="348" t="s">
        <v>48</v>
      </c>
      <c r="B56" s="348" t="s">
        <v>29</v>
      </c>
      <c r="C56" s="334">
        <v>49</v>
      </c>
      <c r="D56" s="334">
        <v>729676</v>
      </c>
      <c r="E56" s="334">
        <v>0</v>
      </c>
      <c r="F56" s="334">
        <v>0</v>
      </c>
    </row>
    <row r="57" spans="1:6">
      <c r="A57" s="348" t="s">
        <v>49</v>
      </c>
      <c r="B57" s="348" t="s">
        <v>50</v>
      </c>
      <c r="C57" s="334">
        <v>27</v>
      </c>
      <c r="D57" s="334">
        <v>1456924</v>
      </c>
      <c r="E57" s="334">
        <v>31</v>
      </c>
      <c r="F57" s="334">
        <v>5024549.2895999998</v>
      </c>
    </row>
    <row r="58" spans="1:6">
      <c r="A58" s="348" t="s">
        <v>49</v>
      </c>
      <c r="B58" s="348" t="s">
        <v>51</v>
      </c>
      <c r="C58" s="334">
        <v>19</v>
      </c>
      <c r="D58" s="334">
        <v>824627</v>
      </c>
      <c r="E58" s="334">
        <v>16</v>
      </c>
      <c r="F58" s="334">
        <v>157749.81280000001</v>
      </c>
    </row>
    <row r="59" spans="1:6">
      <c r="A59" s="348" t="s">
        <v>49</v>
      </c>
      <c r="B59" s="348" t="s">
        <v>52</v>
      </c>
      <c r="C59" s="334">
        <v>63</v>
      </c>
      <c r="D59" s="334">
        <v>5305863</v>
      </c>
      <c r="E59" s="334">
        <v>86</v>
      </c>
      <c r="F59" s="334">
        <v>3669964.7467</v>
      </c>
    </row>
    <row r="60" spans="1:6">
      <c r="A60" s="348" t="s">
        <v>49</v>
      </c>
      <c r="B60" s="348" t="s">
        <v>53</v>
      </c>
      <c r="C60" s="334">
        <v>42</v>
      </c>
      <c r="D60" s="334">
        <v>2588966</v>
      </c>
      <c r="E60" s="334">
        <v>65</v>
      </c>
      <c r="F60" s="334">
        <v>1828730.1631</v>
      </c>
    </row>
    <row r="61" spans="1:6">
      <c r="A61" s="348" t="s">
        <v>49</v>
      </c>
      <c r="B61" s="348" t="s">
        <v>54</v>
      </c>
      <c r="C61" s="334">
        <v>101</v>
      </c>
      <c r="D61" s="334">
        <v>6582766</v>
      </c>
      <c r="E61" s="334">
        <v>141</v>
      </c>
      <c r="F61" s="334">
        <v>2778035.4361</v>
      </c>
    </row>
    <row r="62" spans="1:6">
      <c r="A62" s="348" t="s">
        <v>49</v>
      </c>
      <c r="B62" s="348" t="s">
        <v>55</v>
      </c>
      <c r="C62" s="334">
        <v>5</v>
      </c>
      <c r="D62" s="334">
        <v>431841</v>
      </c>
      <c r="E62" s="334">
        <v>0</v>
      </c>
      <c r="F62" s="334">
        <v>0</v>
      </c>
    </row>
    <row r="63" spans="1:6">
      <c r="A63" s="348" t="s">
        <v>49</v>
      </c>
      <c r="B63" s="348" t="s">
        <v>29</v>
      </c>
      <c r="C63" s="334">
        <v>0</v>
      </c>
      <c r="D63" s="334">
        <v>0</v>
      </c>
      <c r="E63" s="334">
        <v>134</v>
      </c>
      <c r="F63" s="334">
        <v>6254099.6361999996</v>
      </c>
    </row>
    <row r="64" spans="1:6">
      <c r="A64" s="348" t="s">
        <v>56</v>
      </c>
      <c r="B64" s="348" t="s">
        <v>57</v>
      </c>
      <c r="C64" s="334">
        <v>0</v>
      </c>
      <c r="D64" s="334">
        <v>0</v>
      </c>
      <c r="E64" s="334">
        <v>0</v>
      </c>
      <c r="F64" s="334">
        <v>0</v>
      </c>
    </row>
    <row r="65" spans="1:6">
      <c r="A65" s="348" t="s">
        <v>56</v>
      </c>
      <c r="B65" s="348" t="s">
        <v>29</v>
      </c>
      <c r="C65" s="334">
        <v>0</v>
      </c>
      <c r="D65" s="334">
        <v>0</v>
      </c>
      <c r="E65" s="334">
        <v>4</v>
      </c>
      <c r="F65" s="334">
        <v>129581.29678</v>
      </c>
    </row>
    <row r="66" spans="1:6">
      <c r="A66" s="348" t="s">
        <v>56</v>
      </c>
      <c r="B66" s="348" t="s">
        <v>58</v>
      </c>
      <c r="C66" s="334">
        <v>0</v>
      </c>
      <c r="D66" s="334">
        <v>0</v>
      </c>
      <c r="E66" s="334">
        <v>7</v>
      </c>
      <c r="F66" s="334">
        <v>243008.76712999999</v>
      </c>
    </row>
    <row r="67" spans="1:6">
      <c r="A67" s="355" t="s">
        <v>56</v>
      </c>
      <c r="B67" s="355" t="s">
        <v>59</v>
      </c>
      <c r="C67" s="334">
        <v>0</v>
      </c>
      <c r="D67" s="334">
        <v>0</v>
      </c>
      <c r="E67" s="334">
        <v>0</v>
      </c>
      <c r="F67" s="334">
        <v>0</v>
      </c>
    </row>
    <row r="68" spans="1:6">
      <c r="A68" s="341" t="s">
        <v>56</v>
      </c>
      <c r="B68" s="341" t="s">
        <v>60</v>
      </c>
      <c r="C68" s="334">
        <v>5</v>
      </c>
      <c r="D68" s="334">
        <v>1030022</v>
      </c>
      <c r="E68" s="334">
        <v>7</v>
      </c>
      <c r="F68" s="334">
        <v>105341.62039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69324609</v>
      </c>
      <c r="E73" s="475">
        <v>71243987.797970161</v>
      </c>
    </row>
    <row r="74" spans="1:6">
      <c r="A74" s="348" t="s">
        <v>64</v>
      </c>
      <c r="B74" s="348" t="s">
        <v>667</v>
      </c>
      <c r="C74" s="1294" t="s">
        <v>669</v>
      </c>
      <c r="D74" s="475">
        <v>4064540.8787156129</v>
      </c>
      <c r="E74" s="475">
        <v>4171534.9066799982</v>
      </c>
    </row>
    <row r="75" spans="1:6">
      <c r="A75" s="348" t="s">
        <v>65</v>
      </c>
      <c r="B75" s="348" t="s">
        <v>666</v>
      </c>
      <c r="C75" s="1294" t="s">
        <v>670</v>
      </c>
      <c r="D75" s="475">
        <v>6346917</v>
      </c>
      <c r="E75" s="475">
        <v>6522790.9352424052</v>
      </c>
    </row>
    <row r="76" spans="1:6">
      <c r="A76" s="348" t="s">
        <v>65</v>
      </c>
      <c r="B76" s="348" t="s">
        <v>667</v>
      </c>
      <c r="C76" s="1294" t="s">
        <v>671</v>
      </c>
      <c r="D76" s="475">
        <v>176173.87871561304</v>
      </c>
      <c r="E76" s="475">
        <v>183779.5396285443</v>
      </c>
    </row>
    <row r="77" spans="1:6">
      <c r="A77" s="348" t="s">
        <v>66</v>
      </c>
      <c r="B77" s="348" t="s">
        <v>666</v>
      </c>
      <c r="C77" s="1294" t="s">
        <v>672</v>
      </c>
      <c r="D77" s="475">
        <v>135032554</v>
      </c>
      <c r="E77" s="475">
        <v>138774173.61154279</v>
      </c>
    </row>
    <row r="78" spans="1:6">
      <c r="A78" s="341" t="s">
        <v>66</v>
      </c>
      <c r="B78" s="341" t="s">
        <v>667</v>
      </c>
      <c r="C78" s="341" t="s">
        <v>673</v>
      </c>
      <c r="D78" s="1295">
        <v>29465153</v>
      </c>
      <c r="E78" s="1295">
        <v>30664888.03047502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271608.24256877392</v>
      </c>
      <c r="C83" s="475">
        <v>271608.24256877392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2208.4593383933639</v>
      </c>
    </row>
    <row r="92" spans="1:6">
      <c r="A92" s="341" t="s">
        <v>69</v>
      </c>
      <c r="B92" s="342">
        <v>2996.0730328664704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1931</v>
      </c>
    </row>
    <row r="98" spans="1:6">
      <c r="A98" s="348" t="s">
        <v>72</v>
      </c>
      <c r="B98" s="334">
        <v>5</v>
      </c>
    </row>
    <row r="99" spans="1:6">
      <c r="A99" s="348" t="s">
        <v>73</v>
      </c>
      <c r="B99" s="334">
        <v>68</v>
      </c>
    </row>
    <row r="100" spans="1:6">
      <c r="A100" s="348" t="s">
        <v>74</v>
      </c>
      <c r="B100" s="334">
        <v>364</v>
      </c>
    </row>
    <row r="101" spans="1:6">
      <c r="A101" s="348" t="s">
        <v>75</v>
      </c>
      <c r="B101" s="334">
        <v>85</v>
      </c>
    </row>
    <row r="102" spans="1:6">
      <c r="A102" s="348" t="s">
        <v>76</v>
      </c>
      <c r="B102" s="334">
        <v>45</v>
      </c>
    </row>
    <row r="103" spans="1:6">
      <c r="A103" s="348" t="s">
        <v>77</v>
      </c>
      <c r="B103" s="334">
        <v>135</v>
      </c>
    </row>
    <row r="104" spans="1:6">
      <c r="A104" s="348" t="s">
        <v>78</v>
      </c>
      <c r="B104" s="334">
        <v>1349</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13</v>
      </c>
    </row>
    <row r="124" spans="1:6">
      <c r="A124" s="341" t="s">
        <v>89</v>
      </c>
      <c r="B124" s="334">
        <v>4</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2</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101670.07310230055</v>
      </c>
      <c r="C3" s="43" t="s">
        <v>170</v>
      </c>
      <c r="D3" s="43"/>
      <c r="E3" s="154"/>
      <c r="F3" s="43"/>
      <c r="G3" s="43"/>
      <c r="H3" s="43"/>
      <c r="I3" s="43"/>
      <c r="J3" s="43"/>
      <c r="K3" s="96"/>
    </row>
    <row r="4" spans="1:11">
      <c r="A4" s="383" t="s">
        <v>171</v>
      </c>
      <c r="B4" s="49">
        <f>IF(ISERROR('SEAP template'!B78+'SEAP template'!C78),0,'SEAP template'!B78+'SEAP template'!C78)</f>
        <v>5204.5323712598347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0.20968692016291668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564.47500000000002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564.47500000000002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0.20968692016291668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118.3630242589624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19868.478751999999</v>
      </c>
      <c r="C5" s="17">
        <f>IF(ISERROR('Eigen informatie GS &amp; warmtenet'!B57),0,'Eigen informatie GS &amp; warmtenet'!B57)</f>
        <v>0</v>
      </c>
      <c r="D5" s="30">
        <f>(SUM(HH_hh_gas_kWh,HH_rest_gas_kWh)/1000)*0.902</f>
        <v>49102.56847216512</v>
      </c>
      <c r="E5" s="17">
        <f>B46*B57</f>
        <v>3403.2702652413186</v>
      </c>
      <c r="F5" s="17">
        <f>B51*B62</f>
        <v>8300.6745611401511</v>
      </c>
      <c r="G5" s="18"/>
      <c r="H5" s="17"/>
      <c r="I5" s="17"/>
      <c r="J5" s="17">
        <f>B50*B61+C50*C61</f>
        <v>711.95534278120988</v>
      </c>
      <c r="K5" s="17"/>
      <c r="L5" s="17"/>
      <c r="M5" s="17"/>
      <c r="N5" s="17">
        <f>B48*B59+C48*C59</f>
        <v>12081.890042749039</v>
      </c>
      <c r="O5" s="17">
        <f>B69*B70*B71</f>
        <v>126.63</v>
      </c>
      <c r="P5" s="17">
        <f>B77*B78*B79/1000-B77*B78*B79/1000/B80</f>
        <v>724.5333333333333</v>
      </c>
    </row>
    <row r="6" spans="1:16">
      <c r="A6" s="16" t="s">
        <v>624</v>
      </c>
      <c r="B6" s="788">
        <f>kWh_PV_kleiner_dan_10kW</f>
        <v>2208.4593383933639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22076.938090393363</v>
      </c>
      <c r="C8" s="21">
        <f>C5</f>
        <v>0</v>
      </c>
      <c r="D8" s="21">
        <f>D5</f>
        <v>49102.56847216512</v>
      </c>
      <c r="E8" s="21">
        <f>E5</f>
        <v>3403.2702652413186</v>
      </c>
      <c r="F8" s="21">
        <f>F5</f>
        <v>8300.6745611401511</v>
      </c>
      <c r="G8" s="21"/>
      <c r="H8" s="21"/>
      <c r="I8" s="21"/>
      <c r="J8" s="21">
        <f>J5</f>
        <v>711.95534278120988</v>
      </c>
      <c r="K8" s="21"/>
      <c r="L8" s="21">
        <f>L5</f>
        <v>0</v>
      </c>
      <c r="M8" s="21">
        <f>M5</f>
        <v>0</v>
      </c>
      <c r="N8" s="21">
        <f>N5</f>
        <v>12081.890042749039</v>
      </c>
      <c r="O8" s="21">
        <f>O5</f>
        <v>126.63</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0.20968692016291668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4629.2451548019671</v>
      </c>
      <c r="C12" s="23">
        <f ca="1">C10*C8</f>
        <v>0</v>
      </c>
      <c r="D12" s="23">
        <f>D8*D10</f>
        <v>9918.7188313773549</v>
      </c>
      <c r="E12" s="23">
        <f>E10*E8</f>
        <v>772.54235020977933</v>
      </c>
      <c r="F12" s="23">
        <f>F10*F8</f>
        <v>2216.2801078244206</v>
      </c>
      <c r="G12" s="23"/>
      <c r="H12" s="23"/>
      <c r="I12" s="23"/>
      <c r="J12" s="23">
        <f>J10*J8</f>
        <v>252.03219134454829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1931</v>
      </c>
      <c r="C18" s="166" t="s">
        <v>111</v>
      </c>
      <c r="D18" s="228"/>
      <c r="E18" s="15"/>
    </row>
    <row r="19" spans="1:7">
      <c r="A19" s="171" t="s">
        <v>72</v>
      </c>
      <c r="B19" s="37">
        <f>aantalw2001_ander</f>
        <v>5</v>
      </c>
      <c r="C19" s="166" t="s">
        <v>111</v>
      </c>
      <c r="D19" s="229"/>
      <c r="E19" s="15"/>
    </row>
    <row r="20" spans="1:7">
      <c r="A20" s="171" t="s">
        <v>73</v>
      </c>
      <c r="B20" s="37">
        <f>aantalw2001_propaan</f>
        <v>68</v>
      </c>
      <c r="C20" s="167">
        <f>IF(ISERROR(B20/SUM($B$20,$B$21,$B$22)*100),0,B20/SUM($B$20,$B$21,$B$22)*100)</f>
        <v>13.152804642166343</v>
      </c>
      <c r="D20" s="229"/>
      <c r="E20" s="15"/>
    </row>
    <row r="21" spans="1:7">
      <c r="A21" s="171" t="s">
        <v>74</v>
      </c>
      <c r="B21" s="37">
        <f>aantalw2001_elektriciteit</f>
        <v>364</v>
      </c>
      <c r="C21" s="167">
        <f>IF(ISERROR(B21/SUM($B$20,$B$21,$B$22)*100),0,B21/SUM($B$20,$B$21,$B$22)*100)</f>
        <v>70.406189555125721</v>
      </c>
      <c r="D21" s="229"/>
      <c r="E21" s="15"/>
    </row>
    <row r="22" spans="1:7">
      <c r="A22" s="171" t="s">
        <v>75</v>
      </c>
      <c r="B22" s="37">
        <f>aantalw2001_hout</f>
        <v>85</v>
      </c>
      <c r="C22" s="167">
        <f>IF(ISERROR(B22/SUM($B$20,$B$21,$B$22)*100),0,B22/SUM($B$20,$B$21,$B$22)*100)</f>
        <v>16.441005802707931</v>
      </c>
      <c r="D22" s="229"/>
      <c r="E22" s="15"/>
    </row>
    <row r="23" spans="1:7">
      <c r="A23" s="171" t="s">
        <v>76</v>
      </c>
      <c r="B23" s="37">
        <f>aantalw2001_niet_gespec</f>
        <v>45</v>
      </c>
      <c r="C23" s="166" t="s">
        <v>111</v>
      </c>
      <c r="D23" s="228"/>
      <c r="E23" s="15"/>
    </row>
    <row r="24" spans="1:7">
      <c r="A24" s="171" t="s">
        <v>77</v>
      </c>
      <c r="B24" s="37">
        <f>aantalw2001_steenkool</f>
        <v>135</v>
      </c>
      <c r="C24" s="166" t="s">
        <v>111</v>
      </c>
      <c r="D24" s="229"/>
      <c r="E24" s="15"/>
    </row>
    <row r="25" spans="1:7">
      <c r="A25" s="171" t="s">
        <v>78</v>
      </c>
      <c r="B25" s="37">
        <f>aantalw2001_stookolie</f>
        <v>1349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4597</v>
      </c>
      <c r="C28" s="36"/>
      <c r="D28" s="228"/>
    </row>
    <row r="29" spans="1:7" s="15" customFormat="1">
      <c r="A29" s="230" t="s">
        <v>699</v>
      </c>
      <c r="B29" s="37">
        <f>SUM(HH_hh_gas_aantal,HH_rest_gas_aantal)</f>
        <v>3051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3051</v>
      </c>
      <c r="C32" s="167">
        <f>IF(ISERROR(B32/SUM($B$32,$B$34,$B$35,$B$36,$B$38,$B$39)*100),0,B32/SUM($B$32,$B$34,$B$35,$B$36,$B$38,$B$39)*100)</f>
        <v>66.922570739197198</v>
      </c>
      <c r="D32" s="233"/>
      <c r="G32" s="15"/>
    </row>
    <row r="33" spans="1:7">
      <c r="A33" s="171" t="s">
        <v>72</v>
      </c>
      <c r="B33" s="34" t="s">
        <v>111</v>
      </c>
      <c r="C33" s="167"/>
      <c r="D33" s="233"/>
      <c r="G33" s="15"/>
    </row>
    <row r="34" spans="1:7">
      <c r="A34" s="171" t="s">
        <v>73</v>
      </c>
      <c r="B34" s="33">
        <f>IF((($B$28-$B$32-$B$39-$B$77-$B$38)*C20/100)&lt;0,0,($B$28-$B$32-$B$39-$B$77-$B$38)*C20/100)</f>
        <v>150.46808510638297</v>
      </c>
      <c r="C34" s="167">
        <f>IF(ISERROR(B34/SUM($B$32,$B$34,$B$35,$B$36,$B$38,$B$39)*100),0,B34/SUM($B$32,$B$34,$B$35,$B$36,$B$38,$B$39)*100)</f>
        <v>3.3004624941079834</v>
      </c>
      <c r="D34" s="233"/>
      <c r="G34" s="15"/>
    </row>
    <row r="35" spans="1:7">
      <c r="A35" s="171" t="s">
        <v>74</v>
      </c>
      <c r="B35" s="33">
        <f>IF((($B$28-$B$32-$B$39-$B$77-$B$38)*C21/100)&lt;0,0,($B$28-$B$32-$B$39-$B$77-$B$38)*C21/100)</f>
        <v>805.44680851063822</v>
      </c>
      <c r="C35" s="167">
        <f>IF(ISERROR(B35/SUM($B$32,$B$34,$B$35,$B$36,$B$38,$B$39)*100),0,B35/SUM($B$32,$B$34,$B$35,$B$36,$B$38,$B$39)*100)</f>
        <v>17.667181586107443</v>
      </c>
      <c r="D35" s="233"/>
      <c r="G35" s="15"/>
    </row>
    <row r="36" spans="1:7">
      <c r="A36" s="171" t="s">
        <v>75</v>
      </c>
      <c r="B36" s="33">
        <f>IF((($B$28-$B$32-$B$39-$B$77-$B$38)*C22/100)&lt;0,0,($B$28-$B$32-$B$39-$B$77-$B$38)*C22/100)</f>
        <v>188.08510638297875</v>
      </c>
      <c r="C36" s="167">
        <f>IF(ISERROR(B36/SUM($B$32,$B$34,$B$35,$B$36,$B$38,$B$39)*100),0,B36/SUM($B$32,$B$34,$B$35,$B$36,$B$38,$B$39)*100)</f>
        <v>4.1255781176349799</v>
      </c>
      <c r="D36" s="233"/>
      <c r="G36" s="15"/>
    </row>
    <row r="37" spans="1:7">
      <c r="A37" s="171" t="s">
        <v>76</v>
      </c>
      <c r="B37" s="34" t="s">
        <v>111</v>
      </c>
      <c r="C37" s="167"/>
      <c r="D37" s="173"/>
      <c r="G37" s="15"/>
    </row>
    <row r="38" spans="1:7">
      <c r="A38" s="171" t="s">
        <v>77</v>
      </c>
      <c r="B38" s="33">
        <f>IF((B24-(B29-B18)*0.1)&lt;0,0,B24-(B29-B18)*0.1)</f>
        <v>23</v>
      </c>
      <c r="C38" s="167">
        <f>IF(ISERROR(B38/SUM($B$32,$B$34,$B$35,$B$36,$B$38,$B$39)*100),0,B38/SUM($B$32,$B$34,$B$35,$B$36,$B$38,$B$39)*100)</f>
        <v>0.5044966001316078</v>
      </c>
      <c r="D38" s="234"/>
      <c r="G38" s="15"/>
    </row>
    <row r="39" spans="1:7">
      <c r="A39" s="171" t="s">
        <v>78</v>
      </c>
      <c r="B39" s="33">
        <f>IF((B25-(B29-B18))&lt;0,0,B25-(B29-B18)*0.9)</f>
        <v>341</v>
      </c>
      <c r="C39" s="167">
        <f>IF(ISERROR(B39/SUM($B$32,$B$34,$B$35,$B$36,$B$38,$B$39)*100),0,B39/SUM($B$32,$B$34,$B$35,$B$36,$B$38,$B$39)*100)</f>
        <v>7.4797104628207949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3051</v>
      </c>
      <c r="C44" s="34" t="s">
        <v>111</v>
      </c>
      <c r="D44" s="174"/>
    </row>
    <row r="45" spans="1:7">
      <c r="A45" s="171" t="s">
        <v>72</v>
      </c>
      <c r="B45" s="33" t="str">
        <f t="shared" si="0"/>
        <v>-</v>
      </c>
      <c r="C45" s="34" t="s">
        <v>111</v>
      </c>
      <c r="D45" s="174"/>
    </row>
    <row r="46" spans="1:7">
      <c r="A46" s="171" t="s">
        <v>73</v>
      </c>
      <c r="B46" s="33">
        <f t="shared" si="0"/>
        <v>150.46808510638297</v>
      </c>
      <c r="C46" s="34" t="s">
        <v>111</v>
      </c>
      <c r="D46" s="174"/>
    </row>
    <row r="47" spans="1:7">
      <c r="A47" s="171" t="s">
        <v>74</v>
      </c>
      <c r="B47" s="33">
        <f t="shared" si="0"/>
        <v>805.44680851063822</v>
      </c>
      <c r="C47" s="34" t="s">
        <v>111</v>
      </c>
      <c r="D47" s="174"/>
    </row>
    <row r="48" spans="1:7">
      <c r="A48" s="171" t="s">
        <v>75</v>
      </c>
      <c r="B48" s="33">
        <f t="shared" si="0"/>
        <v>188.08510638297875</v>
      </c>
      <c r="C48" s="33">
        <f>B48*10</f>
        <v>1880.8510638297876</v>
      </c>
      <c r="D48" s="234"/>
    </row>
    <row r="49" spans="1:6">
      <c r="A49" s="171" t="s">
        <v>76</v>
      </c>
      <c r="B49" s="33" t="str">
        <f t="shared" si="0"/>
        <v>-</v>
      </c>
      <c r="C49" s="34" t="s">
        <v>111</v>
      </c>
      <c r="D49" s="234"/>
    </row>
    <row r="50" spans="1:6">
      <c r="A50" s="171" t="s">
        <v>77</v>
      </c>
      <c r="B50" s="33">
        <f t="shared" si="0"/>
        <v>23</v>
      </c>
      <c r="C50" s="33">
        <f>B50*2</f>
        <v>46</v>
      </c>
      <c r="D50" s="234"/>
    </row>
    <row r="51" spans="1:6">
      <c r="A51" s="171" t="s">
        <v>78</v>
      </c>
      <c r="B51" s="33">
        <f t="shared" si="0"/>
        <v>341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19713.1290845</v>
      </c>
      <c r="C5" s="17">
        <f>IF(ISERROR('Eigen informatie GS &amp; warmtenet'!B58),0,'Eigen informatie GS &amp; warmtenet'!B58)</f>
        <v>0</v>
      </c>
      <c r="D5" s="30">
        <f>SUM(D6:D12)</f>
        <v>15506.270274</v>
      </c>
      <c r="E5" s="17">
        <f>SUM(E6:E12)</f>
        <v>330.40626041650046</v>
      </c>
      <c r="F5" s="17">
        <f>SUM(F6:F12)</f>
        <v>4967.8383899001428</v>
      </c>
      <c r="G5" s="18"/>
      <c r="H5" s="17"/>
      <c r="I5" s="17"/>
      <c r="J5" s="17">
        <f>SUM(J6:J12)</f>
        <v>0</v>
      </c>
      <c r="K5" s="17"/>
      <c r="L5" s="17"/>
      <c r="M5" s="17"/>
      <c r="N5" s="17">
        <f>SUM(N6:N12)</f>
        <v>4520.9929471425748</v>
      </c>
      <c r="O5" s="17">
        <f>B38*B39*B40</f>
        <v>3.1266666666666669</v>
      </c>
      <c r="P5" s="17">
        <f>B46*B47*B48/1000-B46*B47*B48/1000/B49</f>
        <v>0</v>
      </c>
      <c r="R5" s="32"/>
    </row>
    <row r="6" spans="1:18">
      <c r="A6" s="32" t="s">
        <v>54</v>
      </c>
      <c r="B6" s="37">
        <f>B26</f>
        <v>2778.0354361</v>
      </c>
      <c r="C6" s="33"/>
      <c r="D6" s="37">
        <f>IF(ISERROR(TER_kantoor_gas_kWh/1000),0,TER_kantoor_gas_kWh/1000)*0.902</f>
        <v>5937.6549319999995</v>
      </c>
      <c r="E6" s="33">
        <f>$C$26*'E Balans VL '!I12/100/3.6*1000000</f>
        <v>36.367905901996203</v>
      </c>
      <c r="F6" s="33">
        <f>$C$26*('E Balans VL '!L12+'E Balans VL '!N12)/100/3.6*1000000</f>
        <v>708.37032905965611</v>
      </c>
      <c r="G6" s="34"/>
      <c r="H6" s="33"/>
      <c r="I6" s="33"/>
      <c r="J6" s="33">
        <f>$C$26*('E Balans VL '!D12+'E Balans VL '!E12)/100/3.6*1000000</f>
        <v>0</v>
      </c>
      <c r="K6" s="33"/>
      <c r="L6" s="33"/>
      <c r="M6" s="33"/>
      <c r="N6" s="33">
        <f>$C$26*'E Balans VL '!Y12/100/3.6*1000000</f>
        <v>2.7873903216316847</v>
      </c>
      <c r="O6" s="33"/>
      <c r="P6" s="33"/>
      <c r="R6" s="32"/>
    </row>
    <row r="7" spans="1:18">
      <c r="A7" s="32" t="s">
        <v>53</v>
      </c>
      <c r="B7" s="37">
        <f t="shared" ref="B7:B12" si="0">B27</f>
        <v>1828.7301631</v>
      </c>
      <c r="C7" s="33"/>
      <c r="D7" s="37">
        <f>IF(ISERROR(TER_horeca_gas_kWh/1000),0,TER_horeca_gas_kWh/1000)*0.902</f>
        <v>2335.2473319999999</v>
      </c>
      <c r="E7" s="33">
        <f>$C$27*'E Balans VL '!I9/100/3.6*1000000</f>
        <v>60.519844606185963</v>
      </c>
      <c r="F7" s="33">
        <f>$C$27*('E Balans VL '!L9+'E Balans VL '!N9)/100/3.6*1000000</f>
        <v>786.34696159008251</v>
      </c>
      <c r="G7" s="34"/>
      <c r="H7" s="33"/>
      <c r="I7" s="33"/>
      <c r="J7" s="33">
        <f>$C$27*('E Balans VL '!D9+'E Balans VL '!E9)/100/3.6*1000000</f>
        <v>0</v>
      </c>
      <c r="K7" s="33"/>
      <c r="L7" s="33"/>
      <c r="M7" s="33"/>
      <c r="N7" s="33">
        <f>$C$27*'E Balans VL '!Y9/100/3.6*1000000</f>
        <v>0.44020190633442552</v>
      </c>
      <c r="O7" s="33"/>
      <c r="P7" s="33"/>
      <c r="R7" s="32"/>
    </row>
    <row r="8" spans="1:18">
      <c r="A8" s="6" t="s">
        <v>52</v>
      </c>
      <c r="B8" s="37">
        <f t="shared" si="0"/>
        <v>3669.9647467</v>
      </c>
      <c r="C8" s="33"/>
      <c r="D8" s="37">
        <f>IF(ISERROR(TER_handel_gas_kWh/1000),0,TER_handel_gas_kWh/1000)*0.902</f>
        <v>4785.8884260000004</v>
      </c>
      <c r="E8" s="33">
        <f>$C$28*'E Balans VL '!I13/100/3.6*1000000</f>
        <v>115.82969494506767</v>
      </c>
      <c r="F8" s="33">
        <f>$C$28*('E Balans VL '!L13+'E Balans VL '!N13)/100/3.6*1000000</f>
        <v>719.74471089484166</v>
      </c>
      <c r="G8" s="34"/>
      <c r="H8" s="33"/>
      <c r="I8" s="33"/>
      <c r="J8" s="33">
        <f>$C$28*('E Balans VL '!D13+'E Balans VL '!E13)/100/3.6*1000000</f>
        <v>0</v>
      </c>
      <c r="K8" s="33"/>
      <c r="L8" s="33"/>
      <c r="M8" s="33"/>
      <c r="N8" s="33">
        <f>$C$28*'E Balans VL '!Y13/100/3.6*1000000</f>
        <v>4.3555356394244935</v>
      </c>
      <c r="O8" s="33"/>
      <c r="P8" s="33"/>
      <c r="R8" s="32"/>
    </row>
    <row r="9" spans="1:18">
      <c r="A9" s="32" t="s">
        <v>51</v>
      </c>
      <c r="B9" s="37">
        <f t="shared" si="0"/>
        <v>157.7498128</v>
      </c>
      <c r="C9" s="33"/>
      <c r="D9" s="37">
        <f>IF(ISERROR(TER_gezond_gas_kWh/1000),0,TER_gezond_gas_kWh/1000)*0.902</f>
        <v>743.81355399999995</v>
      </c>
      <c r="E9" s="33">
        <f>$C$29*'E Balans VL '!I10/100/3.6*1000000</f>
        <v>2.0196590906778188E-2</v>
      </c>
      <c r="F9" s="33">
        <f>$C$29*('E Balans VL '!L10+'E Balans VL '!N10)/100/3.6*1000000</f>
        <v>32.865897906831385</v>
      </c>
      <c r="G9" s="34"/>
      <c r="H9" s="33"/>
      <c r="I9" s="33"/>
      <c r="J9" s="33">
        <f>$C$29*('E Balans VL '!D10+'E Balans VL '!E10)/100/3.6*1000000</f>
        <v>0</v>
      </c>
      <c r="K9" s="33"/>
      <c r="L9" s="33"/>
      <c r="M9" s="33"/>
      <c r="N9" s="33">
        <f>$C$29*'E Balans VL '!Y10/100/3.6*1000000</f>
        <v>1.8528461136999321</v>
      </c>
      <c r="O9" s="33"/>
      <c r="P9" s="33"/>
      <c r="R9" s="32"/>
    </row>
    <row r="10" spans="1:18">
      <c r="A10" s="32" t="s">
        <v>50</v>
      </c>
      <c r="B10" s="37">
        <f t="shared" si="0"/>
        <v>5024.5492895999996</v>
      </c>
      <c r="C10" s="33"/>
      <c r="D10" s="37">
        <f>IF(ISERROR(TER_ander_gas_kWh/1000),0,TER_ander_gas_kWh/1000)*0.902</f>
        <v>1314.145448</v>
      </c>
      <c r="E10" s="33">
        <f>$C$30*'E Balans VL '!I14/100/3.6*1000000</f>
        <v>7.5557405304706737</v>
      </c>
      <c r="F10" s="33">
        <f>$C$30*('E Balans VL '!L14+'E Balans VL '!N14)/100/3.6*1000000</f>
        <v>1109.2585188222856</v>
      </c>
      <c r="G10" s="34"/>
      <c r="H10" s="33"/>
      <c r="I10" s="33"/>
      <c r="J10" s="33">
        <f>$C$30*('E Balans VL '!D14+'E Balans VL '!E14)/100/3.6*1000000</f>
        <v>0</v>
      </c>
      <c r="K10" s="33"/>
      <c r="L10" s="33"/>
      <c r="M10" s="33"/>
      <c r="N10" s="33">
        <f>$C$30*'E Balans VL '!Y14/100/3.6*1000000</f>
        <v>3959.6829796228644</v>
      </c>
      <c r="O10" s="33"/>
      <c r="P10" s="33"/>
      <c r="R10" s="32"/>
    </row>
    <row r="11" spans="1:18">
      <c r="A11" s="32" t="s">
        <v>55</v>
      </c>
      <c r="B11" s="37">
        <f t="shared" si="0"/>
        <v>0</v>
      </c>
      <c r="C11" s="33"/>
      <c r="D11" s="37">
        <f>IF(ISERROR(TER_onderwijs_gas_kWh/1000),0,TER_onderwijs_gas_kWh/1000)*0.902</f>
        <v>389.52058199999999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6254.0996361999996</v>
      </c>
      <c r="C12" s="33"/>
      <c r="D12" s="37">
        <f>IF(ISERROR(TER_rest_gas_kWh/1000),0,TER_rest_gas_kWh/1000)*0.902</f>
        <v>0</v>
      </c>
      <c r="E12" s="33">
        <f>$C$32*'E Balans VL '!I8/100/3.6*1000000</f>
        <v>110.1128778418732</v>
      </c>
      <c r="F12" s="33">
        <f>$C$32*('E Balans VL '!L8+'E Balans VL '!N8)/100/3.6*1000000</f>
        <v>1611.2519716264453</v>
      </c>
      <c r="G12" s="34"/>
      <c r="H12" s="33"/>
      <c r="I12" s="33"/>
      <c r="J12" s="33">
        <f>$C$32*('E Balans VL '!D8+'E Balans VL '!E8)/100/3.6*1000000</f>
        <v>0</v>
      </c>
      <c r="K12" s="33"/>
      <c r="L12" s="33"/>
      <c r="M12" s="33"/>
      <c r="N12" s="33">
        <f>$C$32*'E Balans VL '!Y8/100/3.6*1000000</f>
        <v>551.87399353861997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19713.1290845</v>
      </c>
      <c r="C16" s="21">
        <f t="shared" ca="1" si="1"/>
        <v>0</v>
      </c>
      <c r="D16" s="21">
        <f t="shared" ca="1" si="1"/>
        <v>15506.270274</v>
      </c>
      <c r="E16" s="21">
        <f t="shared" si="1"/>
        <v>330.40626041650046</v>
      </c>
      <c r="F16" s="21">
        <f t="shared" ca="1" si="1"/>
        <v>4967.8383899001428</v>
      </c>
      <c r="G16" s="21">
        <f t="shared" si="1"/>
        <v>0</v>
      </c>
      <c r="H16" s="21">
        <f t="shared" si="1"/>
        <v>0</v>
      </c>
      <c r="I16" s="21">
        <f t="shared" si="1"/>
        <v>0</v>
      </c>
      <c r="J16" s="21">
        <f t="shared" si="1"/>
        <v>0</v>
      </c>
      <c r="K16" s="21">
        <f t="shared" si="1"/>
        <v>0</v>
      </c>
      <c r="L16" s="21">
        <f t="shared" ca="1" si="1"/>
        <v>0</v>
      </c>
      <c r="M16" s="21">
        <f t="shared" si="1"/>
        <v>0</v>
      </c>
      <c r="N16" s="21">
        <f t="shared" ca="1" si="1"/>
        <v>4520.9929471425748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0.20968692016291668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4133.585324502822</v>
      </c>
      <c r="C20" s="23">
        <f t="shared" ref="C20:P20" ca="1" si="2">C16*C18</f>
        <v>0</v>
      </c>
      <c r="D20" s="23">
        <f t="shared" ca="1" si="2"/>
        <v>3132.2665953480005</v>
      </c>
      <c r="E20" s="23">
        <f t="shared" si="2"/>
        <v>75.002221114545605</v>
      </c>
      <c r="F20" s="23">
        <f t="shared" ca="1" si="2"/>
        <v>1326.4128501033383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2778.0354361</v>
      </c>
      <c r="C26" s="39">
        <f>IF(ISERROR(B26*3.6/1000000/'E Balans VL '!Z12*100),0,B26*3.6/1000000/'E Balans VL '!Z12*100)</f>
        <v>5.9507677212954121E-2</v>
      </c>
      <c r="D26" s="237" t="s">
        <v>660</v>
      </c>
      <c r="F26" s="6"/>
    </row>
    <row r="27" spans="1:18">
      <c r="A27" s="231" t="s">
        <v>53</v>
      </c>
      <c r="B27" s="33">
        <f>IF(ISERROR(TER_horeca_ele_kWh/1000),0,TER_horeca_ele_kWh/1000)</f>
        <v>1828.7301631</v>
      </c>
      <c r="C27" s="39">
        <f>IF(ISERROR(B27*3.6/1000000/'E Balans VL '!Z9*100),0,B27*3.6/1000000/'E Balans VL '!Z9*100)</f>
        <v>0.14674923898761097</v>
      </c>
      <c r="D27" s="237" t="s">
        <v>660</v>
      </c>
      <c r="F27" s="6"/>
    </row>
    <row r="28" spans="1:18">
      <c r="A28" s="171" t="s">
        <v>52</v>
      </c>
      <c r="B28" s="33">
        <f>IF(ISERROR(TER_handel_ele_kWh/1000),0,TER_handel_ele_kWh/1000)</f>
        <v>3669.9647467</v>
      </c>
      <c r="C28" s="39">
        <f>IF(ISERROR(B28*3.6/1000000/'E Balans VL '!Z13*100),0,B28*3.6/1000000/'E Balans VL '!Z13*100)</f>
        <v>0.10824290994948234</v>
      </c>
      <c r="D28" s="237" t="s">
        <v>660</v>
      </c>
      <c r="F28" s="6"/>
    </row>
    <row r="29" spans="1:18">
      <c r="A29" s="231" t="s">
        <v>51</v>
      </c>
      <c r="B29" s="33">
        <f>IF(ISERROR(TER_gezond_ele_kWh/1000),0,TER_gezond_ele_kWh/1000)</f>
        <v>157.7498128</v>
      </c>
      <c r="C29" s="39">
        <f>IF(ISERROR(B29*3.6/1000000/'E Balans VL '!Z10*100),0,B29*3.6/1000000/'E Balans VL '!Z10*100)</f>
        <v>1.6843450575956473E-2</v>
      </c>
      <c r="D29" s="237" t="s">
        <v>660</v>
      </c>
      <c r="F29" s="6"/>
    </row>
    <row r="30" spans="1:18">
      <c r="A30" s="231" t="s">
        <v>50</v>
      </c>
      <c r="B30" s="33">
        <f>IF(ISERROR(TER_ander_ele_kWh/1000),0,TER_ander_ele_kWh/1000)</f>
        <v>5024.5492895999996</v>
      </c>
      <c r="C30" s="39">
        <f>IF(ISERROR(B30*3.6/1000000/'E Balans VL '!Z14*100),0,B30*3.6/1000000/'E Balans VL '!Z14*100)</f>
        <v>0.37952393845268106</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6254.0996361999996</v>
      </c>
      <c r="C32" s="39">
        <f>IF(ISERROR(B32*3.6/1000000/'E Balans VL '!Z8*100),0,B32*3.6/1000000/'E Balans VL '!Z8*100)</f>
        <v>5.185519475501528E-2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58321.466764470999</v>
      </c>
      <c r="C5" s="17">
        <f>IF(ISERROR('Eigen informatie GS &amp; warmtenet'!B59),0,'Eigen informatie GS &amp; warmtenet'!B59)</f>
        <v>0</v>
      </c>
      <c r="D5" s="30">
        <f>SUM(D6:D15)</f>
        <v>64198.136200000001</v>
      </c>
      <c r="E5" s="17">
        <f>SUM(E6:E15)</f>
        <v>3316.0799394970009</v>
      </c>
      <c r="F5" s="17">
        <f>SUM(F6:F15)</f>
        <v>13432.292197877636</v>
      </c>
      <c r="G5" s="18"/>
      <c r="H5" s="17"/>
      <c r="I5" s="17"/>
      <c r="J5" s="17">
        <f>SUM(J6:J15)</f>
        <v>432.26746177848048</v>
      </c>
      <c r="K5" s="17"/>
      <c r="L5" s="17"/>
      <c r="M5" s="17"/>
      <c r="N5" s="17">
        <f>SUM(N6:N15)</f>
        <v>11266.105064519068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18.716828591000002</v>
      </c>
      <c r="C8" s="33"/>
      <c r="D8" s="37">
        <f>IF( ISERROR(IND_metaal_Gas_kWH/1000),0,IND_metaal_Gas_kWH/1000)*0.902</f>
        <v>171.54236</v>
      </c>
      <c r="E8" s="33">
        <f>C30*'E Balans VL '!I18/100/3.6*1000000</f>
        <v>0.67348811494897687</v>
      </c>
      <c r="F8" s="33">
        <f>C30*'E Balans VL '!L18/100/3.6*1000000+C30*'E Balans VL '!N18/100/3.6*1000000</f>
        <v>8.1730323113852457</v>
      </c>
      <c r="G8" s="34"/>
      <c r="H8" s="33"/>
      <c r="I8" s="33"/>
      <c r="J8" s="40">
        <f>C30*'E Balans VL '!D18/100/3.6*1000000+C30*'E Balans VL '!E18/100/3.6*1000000</f>
        <v>0</v>
      </c>
      <c r="K8" s="33"/>
      <c r="L8" s="33"/>
      <c r="M8" s="33"/>
      <c r="N8" s="33">
        <f>C30*'E Balans VL '!Y18/100/3.6*1000000</f>
        <v>0.93807472954814641</v>
      </c>
      <c r="O8" s="33"/>
      <c r="P8" s="33"/>
      <c r="R8" s="32"/>
    </row>
    <row r="9" spans="1:18">
      <c r="A9" s="6" t="s">
        <v>33</v>
      </c>
      <c r="B9" s="37">
        <f t="shared" si="0"/>
        <v>1413.1929622</v>
      </c>
      <c r="C9" s="33"/>
      <c r="D9" s="37">
        <f>IF( ISERROR(IND_andere_gas_kWh/1000),0,IND_andere_gas_kWh/1000)*0.902</f>
        <v>19244.586724000001</v>
      </c>
      <c r="E9" s="33">
        <f>C31*'E Balans VL '!I19/100/3.6*1000000</f>
        <v>360.61486956710087</v>
      </c>
      <c r="F9" s="33">
        <f>C31*'E Balans VL '!L19/100/3.6*1000000+C31*'E Balans VL '!N19/100/3.6*1000000</f>
        <v>1216.6529207416932</v>
      </c>
      <c r="G9" s="34"/>
      <c r="H9" s="33"/>
      <c r="I9" s="33"/>
      <c r="J9" s="40">
        <f>C31*'E Balans VL '!D19/100/3.6*1000000+C31*'E Balans VL '!E19/100/3.6*1000000</f>
        <v>0</v>
      </c>
      <c r="K9" s="33"/>
      <c r="L9" s="33"/>
      <c r="M9" s="33"/>
      <c r="N9" s="33">
        <f>C31*'E Balans VL '!Y19/100/3.6*1000000</f>
        <v>441.95383608439215</v>
      </c>
      <c r="O9" s="33"/>
      <c r="P9" s="33"/>
      <c r="R9" s="32"/>
    </row>
    <row r="10" spans="1:18">
      <c r="A10" s="6" t="s">
        <v>41</v>
      </c>
      <c r="B10" s="37">
        <f t="shared" si="0"/>
        <v>506.42591347999996</v>
      </c>
      <c r="C10" s="33"/>
      <c r="D10" s="37">
        <f>IF( ISERROR(IND_voed_gas_kWh/1000),0,IND_voed_gas_kWh/1000)*0.902</f>
        <v>3094.4399860000003</v>
      </c>
      <c r="E10" s="33">
        <f>C32*'E Balans VL '!I20/100/3.6*1000000</f>
        <v>12.874042100426005</v>
      </c>
      <c r="F10" s="33">
        <f>C32*'E Balans VL '!L20/100/3.6*1000000+C32*'E Balans VL '!N20/100/3.6*1000000</f>
        <v>114.59658211195638</v>
      </c>
      <c r="G10" s="34"/>
      <c r="H10" s="33"/>
      <c r="I10" s="33"/>
      <c r="J10" s="40">
        <f>C32*'E Balans VL '!D20/100/3.6*1000000+C32*'E Balans VL '!E20/100/3.6*1000000</f>
        <v>0</v>
      </c>
      <c r="K10" s="33"/>
      <c r="L10" s="33"/>
      <c r="M10" s="33"/>
      <c r="N10" s="33">
        <f>C32*'E Balans VL '!Y20/100/3.6*1000000</f>
        <v>189.92344476932644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3577.7898762</v>
      </c>
      <c r="C12" s="33"/>
      <c r="D12" s="37">
        <f>IF( ISERROR(IND_min_gas_kWh/1000),0,IND_min_gas_kWh/1000)*0.902</f>
        <v>0</v>
      </c>
      <c r="E12" s="33">
        <f>C34*'E Balans VL '!I22/100/3.6*1000000</f>
        <v>76.019068132781769</v>
      </c>
      <c r="F12" s="33">
        <f>C34*'E Balans VL '!L22/100/3.6*1000000+C34*'E Balans VL '!N22/100/3.6*1000000</f>
        <v>583.74690858018073</v>
      </c>
      <c r="G12" s="34"/>
      <c r="H12" s="33"/>
      <c r="I12" s="33"/>
      <c r="J12" s="40">
        <f>C34*'E Balans VL '!D22/100/3.6*1000000+C34*'E Balans VL '!E22/100/3.6*1000000</f>
        <v>4.168459086955898</v>
      </c>
      <c r="K12" s="33"/>
      <c r="L12" s="33"/>
      <c r="M12" s="33"/>
      <c r="N12" s="33">
        <f>C34*'E Balans VL '!Y22/100/3.6*1000000</f>
        <v>0</v>
      </c>
      <c r="O12" s="33"/>
      <c r="P12" s="33"/>
      <c r="R12" s="32"/>
    </row>
    <row r="13" spans="1:18">
      <c r="A13" s="6" t="s">
        <v>39</v>
      </c>
      <c r="B13" s="37">
        <f t="shared" si="0"/>
        <v>0</v>
      </c>
      <c r="C13" s="33"/>
      <c r="D13" s="37">
        <f>IF( ISERROR(IND_papier_gas_kWh/1000),0,IND_papier_gas_kWh/1000)*0.902</f>
        <v>232.78184599999997</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41315.778063999998</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52805.341183999997</v>
      </c>
      <c r="C15" s="33"/>
      <c r="D15" s="37">
        <f>IF( ISERROR(IND_rest_gas_kWh/1000),0,IND_rest_gas_kWh/1000)*0.902</f>
        <v>139.00722000000002</v>
      </c>
      <c r="E15" s="33">
        <f>C37*'E Balans VL '!I15/100/3.6*1000000</f>
        <v>2865.8984715817433</v>
      </c>
      <c r="F15" s="33">
        <f>C37*'E Balans VL '!L15/100/3.6*1000000+C37*'E Balans VL '!N15/100/3.6*1000000</f>
        <v>11509.122754132421</v>
      </c>
      <c r="G15" s="34"/>
      <c r="H15" s="33"/>
      <c r="I15" s="33"/>
      <c r="J15" s="40">
        <f>C37*'E Balans VL '!D15/100/3.6*1000000+C37*'E Balans VL '!E15/100/3.6*1000000</f>
        <v>428.09900269152456</v>
      </c>
      <c r="K15" s="33"/>
      <c r="L15" s="33"/>
      <c r="M15" s="33"/>
      <c r="N15" s="33">
        <f>C37*'E Balans VL '!Y15/100/3.6*1000000</f>
        <v>10633.289708935801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58321.466764470999</v>
      </c>
      <c r="C18" s="21">
        <f>C5+C16</f>
        <v>0</v>
      </c>
      <c r="D18" s="21">
        <f>MAX((D5+D16),0)</f>
        <v>64198.136200000001</v>
      </c>
      <c r="E18" s="21">
        <f>MAX((E5+E16),0)</f>
        <v>3316.0799394970009</v>
      </c>
      <c r="F18" s="21">
        <f>MAX((F5+F16),0)</f>
        <v>13432.292197877636</v>
      </c>
      <c r="G18" s="21"/>
      <c r="H18" s="21"/>
      <c r="I18" s="21"/>
      <c r="J18" s="21">
        <f>MAX((J5+J16),0)</f>
        <v>432.26746177848048</v>
      </c>
      <c r="K18" s="21"/>
      <c r="L18" s="21">
        <f>MAX((L5+L16),0)</f>
        <v>0</v>
      </c>
      <c r="M18" s="21"/>
      <c r="N18" s="21">
        <f>MAX((N5+N16),0)</f>
        <v>11266.105064519068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0.20968692016291668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12229.248745225828</v>
      </c>
      <c r="C22" s="23">
        <f ca="1">C18*C20</f>
        <v>0</v>
      </c>
      <c r="D22" s="23">
        <f>D18*D20</f>
        <v>12968.023512400001</v>
      </c>
      <c r="E22" s="23">
        <f>E18*E20</f>
        <v>752.75014626581924</v>
      </c>
      <c r="F22" s="23">
        <f>F18*F20</f>
        <v>3586.4220168333291</v>
      </c>
      <c r="G22" s="23"/>
      <c r="H22" s="23"/>
      <c r="I22" s="23"/>
      <c r="J22" s="23">
        <f>J18*J20</f>
        <v>153.0226814695821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18.716828591000002</v>
      </c>
      <c r="C30" s="39">
        <f>IF(ISERROR(B30*3.6/1000000/'E Balans VL '!Z18*100),0,B30*3.6/1000000/'E Balans VL '!Z18*100)</f>
        <v>3.9656947002038147E-3</v>
      </c>
      <c r="D30" s="237" t="s">
        <v>660</v>
      </c>
    </row>
    <row r="31" spans="1:18">
      <c r="A31" s="6" t="s">
        <v>33</v>
      </c>
      <c r="B31" s="37">
        <f>IF( ISERROR(IND_ander_ele_kWh/1000),0,IND_ander_ele_kWh/1000)</f>
        <v>1413.1929622</v>
      </c>
      <c r="C31" s="39">
        <f>IF(ISERROR(B31*3.6/1000000/'E Balans VL '!Z19*100),0,B31*3.6/1000000/'E Balans VL '!Z19*100)</f>
        <v>5.9484500666987981E-2</v>
      </c>
      <c r="D31" s="237" t="s">
        <v>660</v>
      </c>
    </row>
    <row r="32" spans="1:18">
      <c r="A32" s="171" t="s">
        <v>41</v>
      </c>
      <c r="B32" s="37">
        <f>IF( ISERROR(IND_voed_ele_kWh/1000),0,IND_voed_ele_kWh/1000)</f>
        <v>506.42591347999996</v>
      </c>
      <c r="C32" s="39">
        <f>IF(ISERROR(B32*3.6/1000000/'E Balans VL '!Z20*100),0,B32*3.6/1000000/'E Balans VL '!Z20*100)</f>
        <v>8.46041786619674E-2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3577.7898762</v>
      </c>
      <c r="C34" s="39">
        <f>IF(ISERROR(B34*3.6/1000000/'E Balans VL '!Z22*100),0,B34*3.6/1000000/'E Balans VL '!Z22*100)</f>
        <v>0.4535041617721654</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52805.341183999997</v>
      </c>
      <c r="C37" s="39">
        <f>IF(ISERROR(B37*3.6/1000000/'E Balans VL '!Z15*100),0,B37*3.6/1000000/'E Balans VL '!Z15*100)</f>
        <v>0.42631796654370863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408.74164206</v>
      </c>
      <c r="C5" s="17">
        <f>'Eigen informatie GS &amp; warmtenet'!B60</f>
        <v>0</v>
      </c>
      <c r="D5" s="30">
        <f>IF(ISERROR(SUM(LB_lb_gas_kWh,LB_rest_gas_kWh)/1000),0,SUM(LB_lb_gas_kWh,LB_rest_gas_kWh)/1000)*0.902</f>
        <v>104.74024</v>
      </c>
      <c r="E5" s="17">
        <f>B17*'E Balans VL '!I25/3.6*1000000/100</f>
        <v>10.539877562266124</v>
      </c>
      <c r="F5" s="17">
        <f>B17*('E Balans VL '!L25/3.6*1000000+'E Balans VL '!N25/3.6*1000000)/100</f>
        <v>1494.028542793734</v>
      </c>
      <c r="G5" s="18"/>
      <c r="H5" s="17"/>
      <c r="I5" s="17"/>
      <c r="J5" s="17">
        <f>('E Balans VL '!D25+'E Balans VL '!E25)/3.6*1000000*landbouw!B17/100</f>
        <v>58.843760218021636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408.74164206</v>
      </c>
      <c r="C8" s="21">
        <f>C5+C6</f>
        <v>0</v>
      </c>
      <c r="D8" s="21">
        <f>MAX((D5+D6),0)</f>
        <v>104.74024</v>
      </c>
      <c r="E8" s="21">
        <f>MAX((E5+E6),0)</f>
        <v>10.539877562266124</v>
      </c>
      <c r="F8" s="21">
        <f>MAX((F5+F6),0)</f>
        <v>1494.028542793734</v>
      </c>
      <c r="G8" s="21"/>
      <c r="H8" s="21"/>
      <c r="I8" s="21"/>
      <c r="J8" s="21">
        <f>MAX((J5+J6),0)</f>
        <v>58.843760218021636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0.20968692016291668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85.707776065894691</v>
      </c>
      <c r="C12" s="23">
        <f ca="1">C8*C10</f>
        <v>0</v>
      </c>
      <c r="D12" s="23">
        <f>D8*D10</f>
        <v>21.15752848</v>
      </c>
      <c r="E12" s="23">
        <f>E8*E10</f>
        <v>2.3925522066344103</v>
      </c>
      <c r="F12" s="23">
        <f>F8*F10</f>
        <v>398.905620925927</v>
      </c>
      <c r="G12" s="23"/>
      <c r="H12" s="23"/>
      <c r="I12" s="23"/>
      <c r="J12" s="23">
        <f>J8*J10</f>
        <v>20.830691117179658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5.7635278974388339E-2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160.42145957805388</v>
      </c>
      <c r="C26" s="247">
        <f>B26*'GWP N2O_CH4'!B5</f>
        <v>3368.8506511391315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53.871496475436984</v>
      </c>
      <c r="C27" s="247">
        <f>B27*'GWP N2O_CH4'!B5</f>
        <v>1131.3014259841766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1.8766042013093165</v>
      </c>
      <c r="C28" s="247">
        <f>B28*'GWP N2O_CH4'!B4</f>
        <v>581.74730240588815</v>
      </c>
      <c r="D28" s="50"/>
    </row>
    <row r="29" spans="1:4">
      <c r="A29" s="41" t="s">
        <v>277</v>
      </c>
      <c r="B29" s="247">
        <f>B34*'ha_N2O bodem landbouw'!B4</f>
        <v>4.9728793682418582</v>
      </c>
      <c r="C29" s="247">
        <f>B29*'GWP N2O_CH4'!B4</f>
        <v>1541.592604154976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1.1191680919802355E-3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1.7775141021428691E-4</v>
      </c>
      <c r="C5" s="463" t="s">
        <v>211</v>
      </c>
      <c r="D5" s="448">
        <f>SUM(D6:D11)</f>
        <v>3.7199684186851086E-4</v>
      </c>
      <c r="E5" s="448">
        <f>SUM(E6:E11)</f>
        <v>1.6878260354305571E-3</v>
      </c>
      <c r="F5" s="461" t="s">
        <v>211</v>
      </c>
      <c r="G5" s="448">
        <f>SUM(G6:G11)</f>
        <v>0.68223567127600004</v>
      </c>
      <c r="H5" s="448">
        <f>SUM(H6:H11)</f>
        <v>0.10334893058207006</v>
      </c>
      <c r="I5" s="463" t="s">
        <v>211</v>
      </c>
      <c r="J5" s="463" t="s">
        <v>211</v>
      </c>
      <c r="K5" s="463" t="s">
        <v>211</v>
      </c>
      <c r="L5" s="463" t="s">
        <v>211</v>
      </c>
      <c r="M5" s="448">
        <f>SUM(M6:M11)</f>
        <v>2.4589359688171955E-2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5.8482716672140592E-5</v>
      </c>
      <c r="C6" s="449"/>
      <c r="D6" s="892">
        <f>vkm_2011_GW_PW*SUMIFS(TableVerdeelsleutelVkm[CNG],TableVerdeelsleutelVkm[Voertuigtype],"Lichte voertuigen")*SUMIFS(TableECFTransport[EnergieConsumptieFactor (PJ per km)],TableECFTransport[Index],CONCATENATE($A6,"_CNG_CNG"))</f>
        <v>1.1620618244206534E-4</v>
      </c>
      <c r="E6" s="892">
        <f>vkm_2011_GW_PW*SUMIFS(TableVerdeelsleutelVkm[LPG],TableVerdeelsleutelVkm[Voertuigtype],"Lichte voertuigen")*SUMIFS(TableECFTransport[EnergieConsumptieFactor (PJ per km)],TableECFTransport[Index],CONCATENATE($A6,"_LPG_LPG"))</f>
        <v>4.5731298470315325E-4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0.108733336438917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3.1460509572776976E-2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4.368569698614596E-3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3.8947234197049721E-2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1.2581620218638045E-5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1.2271677573181606E-3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5.3543028082941302E-6</v>
      </c>
      <c r="C8" s="449"/>
      <c r="D8" s="451">
        <f>vkm_2011_NGW_PW*SUMIFS(TableVerdeelsleutelVkm[CNG],TableVerdeelsleutelVkm[Voertuigtype],"Lichte voertuigen")*SUMIFS(TableECFTransport[EnergieConsumptieFactor (PJ per km)],TableECFTransport[Index],CONCATENATE($A8,"_CNG_CNG"))</f>
        <v>1.8837953495285443E-5</v>
      </c>
      <c r="E8" s="451">
        <f>vkm_2011_NGW_PW*SUMIFS(TableVerdeelsleutelVkm[LPG],TableVerdeelsleutelVkm[Voertuigtype],"Lichte voertuigen")*SUMIFS(TableECFTransport[EnergieConsumptieFactor (PJ per km)],TableECFTransport[Index],CONCATENATE($A8,"_LPG_LPG"))</f>
        <v>6.8560945526957139E-5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1.5222457225332565E-2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4.9452386429024815E-3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6.2781250274049718E-4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2.1547373963075704E-3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6.5829054481735197E-7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6.7891345251359122E-5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1.1391439073385218E-4</v>
      </c>
      <c r="C10" s="449"/>
      <c r="D10" s="451">
        <f>vkm_2011_SW_PW*SUMIFS(TableVerdeelsleutelVkm[CNG],TableVerdeelsleutelVkm[Voertuigtype],"Lichte voertuigen")*SUMIFS(TableECFTransport[EnergieConsumptieFactor (PJ per km)],TableECFTransport[Index],CONCATENATE($A10,"_CNG_CNG"))</f>
        <v>2.3695270593116006E-4</v>
      </c>
      <c r="E10" s="451">
        <f>vkm_2011_SW_PW*SUMIFS(TableVerdeelsleutelVkm[LPG],TableVerdeelsleutelVkm[Voertuigtype],"Lichte voertuigen")*SUMIFS(TableECFTransport[EnergieConsumptieFactor (PJ per km)],TableECFTransport[Index],CONCATENATE($A10,"_LPG_LPG"))</f>
        <v>1.1619521052004466E-3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0.24748245731081839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6.6836072664997956E-2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9.800025096494646E-3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0.26969544870757473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9.3869790629194281E-5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8.4978932877526961E-3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49.375391726190806</v>
      </c>
      <c r="C14" s="21"/>
      <c r="D14" s="21">
        <f t="shared" ref="D14:M14" si="0">((D5)*10^9/3600)+D12</f>
        <v>103.33245607458636</v>
      </c>
      <c r="E14" s="21">
        <f t="shared" si="0"/>
        <v>468.84056539737696</v>
      </c>
      <c r="F14" s="21"/>
      <c r="G14" s="21">
        <f t="shared" si="0"/>
        <v>189509.90868777779</v>
      </c>
      <c r="H14" s="21">
        <f t="shared" si="0"/>
        <v>28708.036272797242</v>
      </c>
      <c r="I14" s="21"/>
      <c r="J14" s="21"/>
      <c r="K14" s="21"/>
      <c r="L14" s="21"/>
      <c r="M14" s="21">
        <f t="shared" si="0"/>
        <v>6830.3776911588766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0.20968692016291668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10.353373822902508</v>
      </c>
      <c r="C18" s="23"/>
      <c r="D18" s="23">
        <f t="shared" ref="D18:M18" si="1">D14*D16</f>
        <v>20.873156127066448</v>
      </c>
      <c r="E18" s="23">
        <f t="shared" si="1"/>
        <v>106.42680834520458</v>
      </c>
      <c r="F18" s="23"/>
      <c r="G18" s="23">
        <f t="shared" si="1"/>
        <v>50599.145619636671</v>
      </c>
      <c r="H18" s="23">
        <f t="shared" si="1"/>
        <v>7148.3010319265131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3.5309806205637987E-3</v>
      </c>
      <c r="H50" s="321">
        <f t="shared" si="2"/>
        <v>0</v>
      </c>
      <c r="I50" s="321">
        <f t="shared" si="2"/>
        <v>0</v>
      </c>
      <c r="J50" s="321">
        <f t="shared" si="2"/>
        <v>0</v>
      </c>
      <c r="K50" s="321">
        <f t="shared" si="2"/>
        <v>0</v>
      </c>
      <c r="L50" s="321">
        <f t="shared" si="2"/>
        <v>0</v>
      </c>
      <c r="M50" s="321">
        <f t="shared" si="2"/>
        <v>1.0952311940329117E-4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3.5309806205637987E-3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1.0952311940329117E-4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980.82795015661077</v>
      </c>
      <c r="H54" s="21">
        <f t="shared" si="3"/>
        <v>0</v>
      </c>
      <c r="I54" s="21">
        <f t="shared" si="3"/>
        <v>0</v>
      </c>
      <c r="J54" s="21">
        <f t="shared" si="3"/>
        <v>0</v>
      </c>
      <c r="K54" s="21">
        <f t="shared" si="3"/>
        <v>0</v>
      </c>
      <c r="L54" s="21">
        <f t="shared" si="3"/>
        <v>0</v>
      </c>
      <c r="M54" s="21">
        <f t="shared" si="3"/>
        <v>30.423088723136438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0.20968692016291668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261.88106269181509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5204.5323712598347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5204.5323712598347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2019-08-12T08:22:48Z</dcterms:modified>
</cp:coreProperties>
</file>