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H89" i="14" s="1"/>
  <c r="H19" i="59" s="1"/>
  <c r="F19" i="18"/>
  <c r="E19"/>
  <c r="D19"/>
  <c r="E89" i="14" s="1"/>
  <c r="E19" i="59" s="1"/>
  <c r="C19" i="18"/>
  <c r="D89" i="14" s="1"/>
  <c r="D19" i="59" s="1"/>
  <c r="B19" i="18"/>
  <c r="N18"/>
  <c r="M18"/>
  <c r="L18"/>
  <c r="O88" i="14" s="1"/>
  <c r="K18" i="18"/>
  <c r="N88" i="14" s="1"/>
  <c r="N18" i="59" s="1"/>
  <c r="N20" s="1"/>
  <c r="J18" i="18"/>
  <c r="J88" i="14" s="1"/>
  <c r="J18" i="59" s="1"/>
  <c r="I18" i="18"/>
  <c r="H18"/>
  <c r="M88" i="14" s="1"/>
  <c r="M18" i="59" s="1"/>
  <c r="G18" i="18"/>
  <c r="F18"/>
  <c r="E18"/>
  <c r="D18"/>
  <c r="D20" s="1"/>
  <c r="C18"/>
  <c r="D88" i="14" s="1"/>
  <c r="D18" i="59" s="1"/>
  <c r="B18" i="18"/>
  <c r="L9"/>
  <c r="O77" i="14" s="1"/>
  <c r="K9" i="18"/>
  <c r="N77" i="14" s="1"/>
  <c r="N9" i="59" s="1"/>
  <c r="G9" i="18"/>
  <c r="G10" s="1"/>
  <c r="F9"/>
  <c r="D9"/>
  <c r="D10" s="1"/>
  <c r="C9"/>
  <c r="D77" i="14" s="1"/>
  <c r="D9" i="59" s="1"/>
  <c r="K22" i="18"/>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I9" s="1"/>
  <c r="I77" i="14" s="1"/>
  <c r="I9" i="59" s="1"/>
  <c r="T89" i="18"/>
  <c r="S89"/>
  <c r="E9" s="1"/>
  <c r="F77" i="14" s="1"/>
  <c r="F9" i="59" s="1"/>
  <c r="R89" i="18"/>
  <c r="Q89"/>
  <c r="P89"/>
  <c r="O89"/>
  <c r="N89"/>
  <c r="B9" s="1"/>
  <c r="M89"/>
  <c r="W61"/>
  <c r="V61"/>
  <c r="N6" i="17" s="1"/>
  <c r="U61" i="18"/>
  <c r="T61"/>
  <c r="L6" i="17" s="1"/>
  <c r="S61" i="18"/>
  <c r="R61"/>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20"/>
  <c r="G12"/>
  <c r="F12"/>
  <c r="E12"/>
  <c r="D12"/>
  <c r="C12"/>
  <c r="F10"/>
  <c r="B6"/>
  <c r="B74" i="14" s="1"/>
  <c r="B6" i="59" s="1"/>
  <c r="B5" i="18"/>
  <c r="B73" i="14" s="1"/>
  <c r="B5" i="59" s="1"/>
  <c r="B4" i="18"/>
  <c r="F6" i="17"/>
  <c r="D5"/>
  <c r="B19" i="6"/>
  <c r="B18"/>
  <c r="B5"/>
  <c r="B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Q11" s="1"/>
  <c r="B11"/>
  <c r="Q12"/>
  <c r="P28"/>
  <c r="O28"/>
  <c r="M89" i="14"/>
  <c r="M19" i="59" s="1"/>
  <c r="L89" i="14"/>
  <c r="L19" i="59" s="1"/>
  <c r="K89" i="14"/>
  <c r="K19" i="59" s="1"/>
  <c r="G89" i="14"/>
  <c r="G19" i="59" s="1"/>
  <c r="L88" i="14"/>
  <c r="L18" i="59" s="1"/>
  <c r="K88" i="14"/>
  <c r="K18" i="59" s="1"/>
  <c r="I88" i="14"/>
  <c r="I18" i="59" s="1"/>
  <c r="H88" i="14"/>
  <c r="F88"/>
  <c r="F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Q24"/>
  <c r="P24"/>
  <c r="N24"/>
  <c r="N26" s="1"/>
  <c r="L24"/>
  <c r="J24"/>
  <c r="J26" s="1"/>
  <c r="I24"/>
  <c r="I26" s="1"/>
  <c r="H24"/>
  <c r="H26" s="1"/>
  <c r="Q50"/>
  <c r="Q52" s="1"/>
  <c r="P50"/>
  <c r="O50"/>
  <c r="M50"/>
  <c r="L50"/>
  <c r="K50"/>
  <c r="J50"/>
  <c r="G50"/>
  <c r="D50"/>
  <c r="Q49"/>
  <c r="P49"/>
  <c r="Q20"/>
  <c r="P20"/>
  <c r="O20"/>
  <c r="M20"/>
  <c r="L20"/>
  <c r="K20"/>
  <c r="J20"/>
  <c r="J22" s="1"/>
  <c r="G20"/>
  <c r="D20"/>
  <c r="Q19"/>
  <c r="P19"/>
  <c r="O19"/>
  <c r="M19"/>
  <c r="L19"/>
  <c r="K19"/>
  <c r="J19"/>
  <c r="I19"/>
  <c r="G19"/>
  <c r="G22" s="1"/>
  <c r="F19"/>
  <c r="E19"/>
  <c r="D19"/>
  <c r="Q48"/>
  <c r="P48"/>
  <c r="P52" s="1"/>
  <c r="O48"/>
  <c r="M48"/>
  <c r="L48"/>
  <c r="K48"/>
  <c r="J48"/>
  <c r="G48"/>
  <c r="D48"/>
  <c r="Q18"/>
  <c r="Q22" s="1"/>
  <c r="P18"/>
  <c r="O18"/>
  <c r="M18"/>
  <c r="M22" s="1"/>
  <c r="L18"/>
  <c r="K18"/>
  <c r="K22" s="1"/>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L90"/>
  <c r="R78"/>
  <c r="K78"/>
  <c r="P56"/>
  <c r="L56"/>
  <c r="H56"/>
  <c r="I56"/>
  <c r="R44"/>
  <c r="E25"/>
  <c r="E55" s="1"/>
  <c r="C25"/>
  <c r="B14" i="48" s="1"/>
  <c r="Q26" i="14"/>
  <c r="P26"/>
  <c r="L26"/>
  <c r="L22"/>
  <c r="P22"/>
  <c r="O22"/>
  <c r="R12"/>
  <c r="O18" i="59" l="1"/>
  <c r="O20" s="1"/>
  <c r="O90" i="14"/>
  <c r="O78"/>
  <c r="O9" i="59"/>
  <c r="L78" i="14"/>
  <c r="L8" i="59"/>
  <c r="L10" s="1"/>
  <c r="H90" i="14"/>
  <c r="H18" i="59"/>
  <c r="H78" i="14"/>
  <c r="H8" i="59"/>
  <c r="H10" s="1"/>
  <c r="K10"/>
  <c r="P29" i="48"/>
  <c r="L10" i="18"/>
  <c r="K90" i="14"/>
  <c r="E20" i="59"/>
  <c r="E88" i="14"/>
  <c r="E18" i="59" s="1"/>
  <c r="O29" i="48"/>
  <c r="P31"/>
  <c r="K10" i="18"/>
  <c r="F20"/>
  <c r="N90" i="14"/>
  <c r="E10" i="59"/>
  <c r="E77" i="14"/>
  <c r="E9" i="59" s="1"/>
  <c r="B17" i="18"/>
  <c r="B20" s="1"/>
  <c r="H20" i="59"/>
  <c r="C98" i="18"/>
  <c r="B101" s="1"/>
  <c r="C8" s="1"/>
  <c r="K20" i="59"/>
  <c r="P25" i="48"/>
  <c r="R25" i="14"/>
  <c r="O10" i="59"/>
  <c r="F13" i="15"/>
  <c r="G78" i="14"/>
  <c r="N10" i="59"/>
  <c r="L20"/>
  <c r="B8" i="18"/>
  <c r="B10" s="1"/>
  <c r="O19"/>
  <c r="L13" i="15"/>
  <c r="N13"/>
  <c r="O9" i="18"/>
  <c r="O18"/>
  <c r="B89" i="14"/>
  <c r="B19" i="59" s="1"/>
  <c r="G88" i="14"/>
  <c r="F89"/>
  <c r="I101" i="18"/>
  <c r="H8" s="1"/>
  <c r="E101"/>
  <c r="E8" s="1"/>
  <c r="H101"/>
  <c r="D101"/>
  <c r="G101"/>
  <c r="I102"/>
  <c r="H17" s="1"/>
  <c r="E102"/>
  <c r="E17" s="1"/>
  <c r="H102"/>
  <c r="D102"/>
  <c r="G102"/>
  <c r="C102"/>
  <c r="F102"/>
  <c r="B102"/>
  <c r="C17" s="1"/>
  <c r="Q88" i="14"/>
  <c r="P18" i="59" s="1"/>
  <c r="B88" i="14"/>
  <c r="B18" i="59" s="1"/>
  <c r="Q14" i="48"/>
  <c r="O24"/>
  <c r="O30"/>
  <c r="P24"/>
  <c r="P30"/>
  <c r="E78" i="14"/>
  <c r="E90"/>
  <c r="N78"/>
  <c r="G90" l="1"/>
  <c r="G18" i="59"/>
  <c r="G20" s="1"/>
  <c r="C89" i="14"/>
  <c r="C19" i="59" s="1"/>
  <c r="F19"/>
  <c r="B77" i="14"/>
  <c r="B9" i="59" s="1"/>
  <c r="Q77" i="14"/>
  <c r="P9" i="59" s="1"/>
  <c r="C77" i="14"/>
  <c r="C9" i="59" s="1"/>
  <c r="C88" i="14"/>
  <c r="C18" i="59" s="1"/>
  <c r="C101" i="18"/>
  <c r="F10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H5" i="48" l="1"/>
  <c r="I10" i="14"/>
  <c r="I16" s="1"/>
  <c r="G5" i="48"/>
  <c r="H10" i="14"/>
  <c r="H16" s="1"/>
  <c r="M90"/>
  <c r="M17" i="59"/>
  <c r="M20" s="1"/>
  <c r="M78" i="14"/>
  <c r="M8" i="59"/>
  <c r="M10" s="1"/>
  <c r="F90" i="14"/>
  <c r="F17" i="59"/>
  <c r="F20" s="1"/>
  <c r="I76" i="14"/>
  <c r="I8" i="59" s="1"/>
  <c r="I10" s="1"/>
  <c r="I10" i="18"/>
  <c r="Q87" i="14"/>
  <c r="D90"/>
  <c r="F78"/>
  <c r="J87"/>
  <c r="J20" i="18"/>
  <c r="J10"/>
  <c r="J76" i="14"/>
  <c r="I87"/>
  <c r="I17" i="59" s="1"/>
  <c r="I20" s="1"/>
  <c r="I20" i="18"/>
  <c r="Q76" i="14"/>
  <c r="D78"/>
  <c r="B24" i="44"/>
  <c r="B23"/>
  <c r="Q90" i="14" l="1"/>
  <c r="B17" i="6" s="1"/>
  <c r="P17" i="59"/>
  <c r="P20" s="1"/>
  <c r="Q78" i="14"/>
  <c r="B9" i="6" s="1"/>
  <c r="P8" i="59"/>
  <c r="P10" s="1"/>
  <c r="J90" i="14"/>
  <c r="J17" i="59"/>
  <c r="J20" s="1"/>
  <c r="J78" i="14"/>
  <c r="J8" i="59"/>
  <c r="J10" s="1"/>
  <c r="B87" i="14"/>
  <c r="I90"/>
  <c r="C87"/>
  <c r="C76"/>
  <c r="B76"/>
  <c r="I78"/>
  <c r="A31" i="23"/>
  <c r="A32"/>
  <c r="A33"/>
  <c r="C90" i="14" l="1"/>
  <c r="C17" i="59"/>
  <c r="C20" s="1"/>
  <c r="C78" i="14"/>
  <c r="C8" i="59"/>
  <c r="C10" s="1"/>
  <c r="B78" i="14"/>
  <c r="B8" i="59"/>
  <c r="B10" s="1"/>
  <c r="B90" i="14"/>
  <c r="B17" i="59"/>
  <c r="B2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28" i="48" l="1"/>
  <c r="E32"/>
  <c r="E24"/>
  <c r="E29"/>
  <c r="E31"/>
  <c r="E30"/>
  <c r="M32"/>
  <c r="M22"/>
  <c r="M24"/>
  <c r="M29"/>
  <c r="M25"/>
  <c r="M30"/>
  <c r="M26"/>
  <c r="M23"/>
  <c r="L10" i="14"/>
  <c r="L16" s="1"/>
  <c r="L27" s="1"/>
  <c r="K5" i="48"/>
  <c r="D30"/>
  <c r="D29"/>
  <c r="D24"/>
  <c r="D28"/>
  <c r="D31"/>
  <c r="D32"/>
  <c r="L27"/>
  <c r="L32"/>
  <c r="L22"/>
  <c r="L30"/>
  <c r="L28"/>
  <c r="L31"/>
  <c r="L29"/>
  <c r="L24"/>
  <c r="P5"/>
  <c r="P23" s="1"/>
  <c r="Q10" i="14"/>
  <c r="K28" i="48"/>
  <c r="K32"/>
  <c r="K31"/>
  <c r="K25"/>
  <c r="K29"/>
  <c r="K24"/>
  <c r="K26"/>
  <c r="K27"/>
  <c r="K22"/>
  <c r="K30"/>
  <c r="C24" i="14"/>
  <c r="C26" s="1"/>
  <c r="B7" i="48"/>
  <c r="J28"/>
  <c r="J31"/>
  <c r="J32"/>
  <c r="J29"/>
  <c r="J30"/>
  <c r="J24"/>
  <c r="J27"/>
  <c r="P4"/>
  <c r="Q11" i="14"/>
  <c r="O4" i="48"/>
  <c r="P11" i="14"/>
  <c r="I27" i="48"/>
  <c r="I22"/>
  <c r="I29"/>
  <c r="I32"/>
  <c r="I31"/>
  <c r="I25"/>
  <c r="I26"/>
  <c r="I28"/>
  <c r="I24"/>
  <c r="I30"/>
  <c r="D4"/>
  <c r="D22" s="1"/>
  <c r="E11" i="14"/>
  <c r="H32" i="48"/>
  <c r="H29"/>
  <c r="H26"/>
  <c r="H28"/>
  <c r="H25"/>
  <c r="H24"/>
  <c r="H22"/>
  <c r="H30"/>
  <c r="H23"/>
  <c r="C4"/>
  <c r="D11" i="14"/>
  <c r="G32" i="48"/>
  <c r="G29"/>
  <c r="G30"/>
  <c r="G24"/>
  <c r="G25"/>
  <c r="G22"/>
  <c r="G26"/>
  <c r="G23"/>
  <c r="B4"/>
  <c r="C11" i="14"/>
  <c r="F32" i="48"/>
  <c r="F28"/>
  <c r="F27"/>
  <c r="F31"/>
  <c r="F29"/>
  <c r="F30"/>
  <c r="F24"/>
  <c r="N32"/>
  <c r="N28"/>
  <c r="N27"/>
  <c r="N30"/>
  <c r="N29"/>
  <c r="N24"/>
  <c r="N31"/>
  <c r="B10"/>
  <c r="C19" i="14"/>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E20" i="14" l="1"/>
  <c r="E22" s="1"/>
  <c r="D9" i="48"/>
  <c r="D27" s="1"/>
  <c r="O5"/>
  <c r="O23" s="1"/>
  <c r="P10" i="14"/>
  <c r="J7" i="48"/>
  <c r="J25" s="1"/>
  <c r="K24" i="14"/>
  <c r="K26" s="1"/>
  <c r="O22" i="48"/>
  <c r="C20" i="14"/>
  <c r="B9" i="48"/>
  <c r="F4"/>
  <c r="F22" s="1"/>
  <c r="G11" i="14"/>
  <c r="I5" i="48"/>
  <c r="J10" i="14"/>
  <c r="J16" s="1"/>
  <c r="J27" s="1"/>
  <c r="C22"/>
  <c r="K23" i="48"/>
  <c r="K33" s="1"/>
  <c r="K15"/>
  <c r="M12" i="22"/>
  <c r="M13" i="48"/>
  <c r="M31" s="1"/>
  <c r="N18" i="14"/>
  <c r="H18"/>
  <c r="G13" i="48"/>
  <c r="H13"/>
  <c r="H31" s="1"/>
  <c r="I18" i="14"/>
  <c r="P8" i="48"/>
  <c r="P26" s="1"/>
  <c r="Q13" i="14"/>
  <c r="P22" i="48"/>
  <c r="P33" s="1"/>
  <c r="F20" i="14"/>
  <c r="F22" s="1"/>
  <c r="E9" i="48"/>
  <c r="E27" s="1"/>
  <c r="J12" i="17"/>
  <c r="K54" i="14" s="1"/>
  <c r="K56" s="1"/>
  <c r="J46"/>
  <c r="J61" s="1"/>
  <c r="Q16"/>
  <c r="Q27" s="1"/>
  <c r="Q63" s="1"/>
  <c r="I20" i="15"/>
  <c r="J40" i="14" s="1"/>
  <c r="G2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G14" s="1"/>
  <c r="H5"/>
  <c r="H14" s="1"/>
  <c r="E5" i="15"/>
  <c r="O20"/>
  <c r="P40" i="14" s="1"/>
  <c r="P20" i="15"/>
  <c r="Q40" i="14" s="1"/>
  <c r="Q46" s="1"/>
  <c r="Q61" s="1"/>
  <c r="J5" i="15"/>
  <c r="F5"/>
  <c r="F16" s="1"/>
  <c r="B5"/>
  <c r="B16" s="1"/>
  <c r="B5" i="16"/>
  <c r="B18" s="1"/>
  <c r="N5" i="15"/>
  <c r="N16" s="1"/>
  <c r="F12" i="13"/>
  <c r="G41" i="14" s="1"/>
  <c r="F13" i="16"/>
  <c r="E13"/>
  <c r="N13"/>
  <c r="J13"/>
  <c r="N12"/>
  <c r="J12"/>
  <c r="F12"/>
  <c r="E12"/>
  <c r="C50" i="13"/>
  <c r="J5" s="1"/>
  <c r="J8" s="1"/>
  <c r="N4" i="48" l="1"/>
  <c r="N22" s="1"/>
  <c r="O11" i="14"/>
  <c r="E12" i="13"/>
  <c r="F41" i="14" s="1"/>
  <c r="F11"/>
  <c r="E4" i="48"/>
  <c r="H20" i="14"/>
  <c r="G9" i="48"/>
  <c r="I23"/>
  <c r="I33" s="1"/>
  <c r="I15"/>
  <c r="I20" i="14"/>
  <c r="H9" i="48"/>
  <c r="R18" i="14"/>
  <c r="M10" i="48"/>
  <c r="M28" s="1"/>
  <c r="N19" i="14"/>
  <c r="G31" i="48"/>
  <c r="Q13"/>
  <c r="H19" i="14"/>
  <c r="G10" i="48"/>
  <c r="J4"/>
  <c r="K11" i="14"/>
  <c r="E7" i="48"/>
  <c r="E25" s="1"/>
  <c r="F24" i="14"/>
  <c r="F26" s="1"/>
  <c r="O22" i="16"/>
  <c r="P43" i="14" s="1"/>
  <c r="O8" i="48"/>
  <c r="P13" i="14"/>
  <c r="J63"/>
  <c r="P46"/>
  <c r="P61" s="1"/>
  <c r="P63" s="1"/>
  <c r="I22"/>
  <c r="I27" s="1"/>
  <c r="M14" i="22"/>
  <c r="P15" i="48"/>
  <c r="P16" i="14"/>
  <c r="P27" s="1"/>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N22" l="1"/>
  <c r="N27" s="1"/>
  <c r="N63" s="1"/>
  <c r="R20"/>
  <c r="N20"/>
  <c r="M9" i="48"/>
  <c r="G27"/>
  <c r="G15"/>
  <c r="E5"/>
  <c r="E23" s="1"/>
  <c r="F10" i="14"/>
  <c r="J5" i="48"/>
  <c r="J23" s="1"/>
  <c r="K10" i="14"/>
  <c r="O26" i="48"/>
  <c r="O33" s="1"/>
  <c r="O15"/>
  <c r="G28"/>
  <c r="Q10"/>
  <c r="H27"/>
  <c r="H33" s="1"/>
  <c r="H15"/>
  <c r="J22"/>
  <c r="E22"/>
  <c r="Q4"/>
  <c r="R19" i="14"/>
  <c r="Q9" i="48"/>
  <c r="H22" i="14"/>
  <c r="H27" s="1"/>
  <c r="R11"/>
  <c r="R24"/>
  <c r="R26" s="1"/>
  <c r="R22"/>
  <c r="Q7" i="48"/>
  <c r="E20" i="15"/>
  <c r="F40" i="14" s="1"/>
  <c r="J18" i="16"/>
  <c r="E18"/>
  <c r="F18"/>
  <c r="F22" s="1"/>
  <c r="G43" i="14" s="1"/>
  <c r="N18" i="16"/>
  <c r="G18" i="22"/>
  <c r="H50" i="14" s="1"/>
  <c r="H52" s="1"/>
  <c r="H61" s="1"/>
  <c r="E22" i="16"/>
  <c r="F43" i="14" s="1"/>
  <c r="H18" i="22"/>
  <c r="I50" i="14" s="1"/>
  <c r="I52" s="1"/>
  <c r="I61" s="1"/>
  <c r="I63" s="1"/>
  <c r="J22" i="16" l="1"/>
  <c r="K43" i="14" s="1"/>
  <c r="K46" s="1"/>
  <c r="K61" s="1"/>
  <c r="J8" i="48"/>
  <c r="K13" i="14"/>
  <c r="K16" s="1"/>
  <c r="K27" s="1"/>
  <c r="E8" i="48"/>
  <c r="E26" s="1"/>
  <c r="E33" s="1"/>
  <c r="F13" i="14"/>
  <c r="M27" i="48"/>
  <c r="M33" s="1"/>
  <c r="M15"/>
  <c r="G33"/>
  <c r="F46" i="14"/>
  <c r="F61" s="1"/>
  <c r="F63" s="1"/>
  <c r="F16"/>
  <c r="F27" s="1"/>
  <c r="H63"/>
  <c r="E15" i="48"/>
  <c r="N8"/>
  <c r="N26" s="1"/>
  <c r="O13" i="14"/>
  <c r="N22" i="16"/>
  <c r="O43" i="14" s="1"/>
  <c r="G13"/>
  <c r="F8" i="48"/>
  <c r="J26" l="1"/>
  <c r="J33" s="1"/>
  <c r="J15"/>
  <c r="K63" i="14"/>
  <c r="R13"/>
  <c r="F26" i="48"/>
  <c r="Q8"/>
  <c r="D16" i="14" l="1"/>
  <c r="D27" s="1"/>
  <c r="B20" i="6" s="1"/>
  <c r="M16" i="14"/>
  <c r="M27" s="1"/>
  <c r="G16" l="1"/>
  <c r="G27" s="1"/>
  <c r="L23" i="48"/>
  <c r="L33" s="1"/>
  <c r="L15"/>
  <c r="B15"/>
  <c r="C15"/>
  <c r="O16" i="14"/>
  <c r="O27" s="1"/>
  <c r="E16"/>
  <c r="E27" s="1"/>
  <c r="R10"/>
  <c r="R16" s="1"/>
  <c r="R27" s="1"/>
  <c r="C16"/>
  <c r="C27" s="1"/>
  <c r="B3" i="6" s="1"/>
  <c r="B22"/>
  <c r="C22" i="59" s="1"/>
  <c r="E46" i="14"/>
  <c r="E61" s="1"/>
  <c r="O46"/>
  <c r="O61" s="1"/>
  <c r="G46"/>
  <c r="G61" s="1"/>
  <c r="M46"/>
  <c r="M61" s="1"/>
  <c r="M63" s="1"/>
  <c r="E63" l="1"/>
  <c r="O63"/>
  <c r="G63"/>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<sst xmlns="http://schemas.openxmlformats.org/spreadsheetml/2006/main" count="2424" uniqueCount="904">
  <si>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</si>
  <si>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</si>
  <si>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</si>
  <si>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</si>
  <si>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</si>
  <si>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</si>
  <si>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</si>
  <si>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</si>
  <si>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</si>
  <si>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</si>
  <si>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</si>
  <si>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</si>
  <si>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</si>
  <si>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</si>
  <si>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</si>
  <si>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</si>
  <si>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</si>
  <si>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</si>
  <si>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</si>
  <si>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</si>
  <si>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</si>
  <si>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</si>
  <si>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</si>
  <si>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</si>
  <si>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</si>
  <si>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</si>
  <si>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</si>
  <si>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</si>
  <si>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</si>
  <si>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</si>
  <si>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</si>
  <si>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</si>
  <si>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</si>
  <si>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</si>
  <si>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</si>
  <si>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</si>
  <si>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</si>
  <si>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</si>
  <si>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</si>
  <si>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</si>
  <si>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</si>
  <si>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</si>
  <si>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</si>
  <si>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</si>
  <si>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</si>
  <si>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</si>
  <si>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</si>
  <si>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</si>
  <si>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</si>
  <si>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</si>
  <si>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</si>
  <si>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</si>
  <si>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</si>
  <si>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</si>
  <si>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</si>
  <si>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</si>
  <si>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</si>
  <si>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</si>
  <si>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</si>
  <si>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</si>
  <si>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</si>
  <si>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</si>
  <si>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</si>
  <si>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</si>
  <si>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</si>
  <si>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</si>
  <si>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</si>
  <si>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</si>
  <si>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</si>
  <si>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</si>
  <si>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</si>
  <si>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</si>
  <si>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</si>
  <si>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</si>
  <si>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</si>
  <si>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</si>
  <si>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</si>
  <si>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</si>
  <si>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</si>
  <si>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</si>
  <si>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</si>
  <si>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</si>
  <si>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</si>
  <si>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</si>
  <si>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</si>
  <si>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</si>
  <si>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</si>
  <si>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</si>
  <si>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</si>
  <si>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</si>
  <si>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</si>
  <si>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</si>
  <si>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</si>
  <si>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</si>
  <si>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</si>
  <si>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</si>
  <si>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</si>
  <si>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</si>
  <si>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</si>
  <si>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</si>
  <si>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</si>
  <si>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</si>
  <si>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</si>
  <si>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</si>
  <si>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</si>
  <si>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</si>
  <si>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</si>
  <si>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</si>
  <si>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</si>
  <si>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</si>
  <si>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</si>
  <si>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</si>
  <si>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</si>
  <si>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</si>
  <si>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</si>
  <si>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</si>
  <si>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</si>
  <si>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</si>
  <si>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</si>
  <si>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</si>
  <si>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</si>
  <si>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</si>
  <si>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</si>
  <si>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</si>
  <si>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</si>
  <si>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</si>
  <si>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</si>
  <si>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</si>
  <si>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</si>
  <si>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</si>
  <si>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</si>
  <si>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</si>
  <si>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</si>
  <si>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</si>
  <si>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</si>
  <si>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</si>
  <si>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</si>
  <si>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</si>
  <si>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</si>
  <si>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</si>
  <si>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</si>
  <si>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</si>
  <si>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</si>
  <si>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</si>
  <si>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</si>
  <si>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</si>
  <si>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</si>
  <si>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</si>
  <si>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</si>
  <si>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</si>
  <si>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</si>
  <si>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</si>
  <si>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</si>
  <si>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</si>
  <si>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</si>
  <si>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</si>
  <si>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</si>
  <si>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</si>
  <si>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</si>
  <si>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</si>
  <si>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</si>
  <si>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</si>
  <si>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</si>
  <si>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</si>
  <si>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</si>
  <si>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</si>
  <si>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</si>
  <si>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</si>
  <si>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</si>
  <si>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</si>
  <si>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</si>
  <si>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</si>
  <si>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</si>
  <si>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</si>
  <si>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</si>
  <si>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</si>
  <si>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</si>
  <si>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</si>
  <si>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</si>
  <si>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</si>
  <si>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</si>
  <si>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</si>
  <si>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</si>
  <si>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</si>
  <si>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</si>
  <si>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</si>
  <si>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</si>
  <si>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</si>
  <si>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</si>
  <si>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</si>
  <si>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</si>
  <si>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</si>
  <si>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</si>
  <si>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</si>
  <si>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</si>
  <si>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</si>
  <si>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</si>
  <si>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</si>
  <si>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</si>
  <si>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</si>
  <si>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</si>
  <si>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</si>
  <si>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</si>
  <si>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</si>
  <si>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</si>
  <si>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</si>
  <si>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</si>
  <si>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</si>
  <si>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</si>
  <si>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</si>
  <si>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</si>
  <si>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</si>
  <si>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</si>
  <si>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</si>
  <si>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</si>
  <si>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</si>
  <si>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</si>
  <si>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</si>
  <si>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</si>
  <si>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</si>
  <si>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</si>
  <si>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</si>
  <si>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</si>
  <si>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</si>
  <si>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</si>
  <si>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</si>
  <si>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</si>
  <si>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</si>
  <si>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</si>
  <si>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</si>
  <si>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</si>
  <si>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</si>
  <si>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</si>
  <si>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</si>
  <si>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</si>
  <si>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</si>
  <si>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</si>
  <si>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</si>
  <si>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</si>
  <si>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</si>
  <si>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</si>
  <si>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</si>
  <si>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</si>
  <si>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</si>
  <si>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</si>
  <si>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</si>
  <si>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</si>
  <si>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</si>
  <si>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</si>
  <si>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</si>
  <si>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</si>
  <si>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</si>
  <si>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</si>
  <si>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</si>
  <si>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</si>
  <si>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</si>
  <si>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</si>
  <si>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</si>
  <si>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</si>
  <si>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</si>
  <si>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</si>
  <si>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</si>
  <si>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</si>
  <si>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</si>
  <si>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</si>
  <si>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</si>
  <si>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</si>
  <si>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</si>
  <si>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</si>
  <si>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</si>
  <si>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</si>
  <si>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</si>
  <si>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</si>
  <si>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</si>
  <si>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</si>
  <si>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</si>
  <si>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</si>
  <si>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</si>
  <si>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</si>
  <si>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</si>
  <si>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</si>
  <si>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</si>
  <si>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</si>
  <si>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</si>
  <si>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</si>
  <si>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</si>
  <si>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</si>
  <si>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</si>
  <si>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</si>
  <si>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</si>
  <si>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</si>
  <si>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</si>
  <si>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</si>
  <si>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</si>
  <si>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</si>
  <si>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</si>
  <si>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</si>
  <si>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</si>
  <si>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</si>
  <si>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</si>
  <si>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</si>
  <si>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</si>
  <si>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</si>
  <si>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</si>
  <si>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</si>
  <si>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</si>
  <si>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</si>
  <si>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</si>
  <si>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</si>
  <si>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</si>
  <si>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</si>
  <si>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</si>
  <si>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</si>
  <si>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</si>
  <si>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</si>
  <si>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</si>
  <si>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</si>
  <si>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</si>
  <si>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</si>
  <si>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</si>
  <si>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</si>
  <si>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</si>
  <si>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</si>
  <si>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</si>
  <si>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</si>
  <si>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</si>
  <si>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</si>
  <si>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</si>
  <si>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</si>
  <si>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</si>
  <si>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</si>
  <si>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</si>
  <si>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</si>
  <si>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</si>
  <si>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</si>
  <si>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</si>
  <si>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</si>
  <si>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</si>
  <si>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</si>
  <si>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</si>
  <si>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</si>
  <si>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</si>
  <si>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</si>
  <si>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</si>
  <si>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</si>
  <si>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</si>
  <si>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</si>
  <si>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</si>
  <si>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</si>
  <si>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</si>
  <si>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</si>
  <si>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</si>
  <si>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</si>
  <si>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</si>
  <si>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</si>
  <si>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</si>
  <si>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</si>
  <si>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</si>
  <si>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</si>
  <si>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</si>
  <si>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</si>
  <si>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</si>
  <si>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</si>
  <si>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</si>
  <si>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</si>
  <si>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</si>
  <si>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</si>
  <si>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</si>
  <si>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</si>
  <si>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</si>
  <si>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</si>
  <si>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</si>
  <si>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</si>
  <si>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</si>
  <si>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</si>
  <si>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</si>
  <si>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</si>
  <si>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</si>
  <si>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</si>
  <si>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</si>
  <si>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</si>
  <si>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</si>
  <si>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</si>
  <si>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</si>
  <si>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</si>
  <si>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</si>
  <si>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</si>
  <si>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</si>
  <si>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</si>
  <si>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</si>
  <si>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</si>
  <si>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</si>
  <si>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</si>
  <si>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</si>
  <si>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</si>
  <si>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</si>
  <si>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</si>
  <si>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</si>
  <si>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</si>
  <si>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</si>
  <si>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</si>
  <si>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</si>
  <si>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</si>
  <si>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</si>
  <si>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</si>
  <si>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</si>
  <si>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</si>
  <si>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</si>
  <si>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</si>
  <si>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</si>
  <si>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</si>
  <si>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</si>
  <si>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</si>
  <si>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</si>
  <si>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</si>
  <si>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</si>
  <si>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</si>
  <si>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</si>
  <si>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</si>
  <si>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</si>
  <si>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</si>
  <si>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</si>
  <si>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</si>
  <si>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</si>
  <si>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</si>
  <si>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</si>
  <si>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</si>
  <si>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</si>
  <si>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</si>
  <si>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</si>
  <si>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</si>
  <si>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</si>
  <si>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</si>
  <si>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</si>
  <si>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</si>
  <si>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</si>
  <si>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</si>
  <si>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</si>
  <si>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</si>
  <si>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</si>
  <si>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</si>
  <si>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</si>
  <si>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</si>
  <si>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</si>
  <si>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</si>
  <si>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</si>
  <si>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</si>
  <si>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</si>
  <si>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</si>
  <si>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</si>
  <si>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</si>
  <si>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</si>
  <si>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</si>
  <si>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</si>
  <si>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</si>
  <si>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</si>
  <si>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</si>
  <si>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</si>
  <si>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</si>
  <si>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</si>
  <si>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</si>
  <si>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</si>
  <si>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</si>
  <si>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</si>
  <si>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</si>
  <si>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</si>
  <si>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</si>
  <si>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</si>
  <si>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</si>
  <si>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</si>
  <si>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</si>
  <si>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</si>
  <si>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</si>
  <si>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</si>
  <si>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</si>
  <si>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</si>
  <si>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</si>
  <si>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</si>
  <si>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</si>
  <si>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</si>
  <si>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</si>
  <si>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</si>
  <si>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</si>
  <si>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</si>
  <si>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</si>
  <si>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</si>
  <si>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</si>
  <si>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</si>
  <si>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</si>
  <si>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</si>
  <si>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</si>
  <si>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</si>
  <si>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</si>
  <si>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</si>
  <si>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</si>
  <si>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</si>
  <si>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</si>
  <si>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</si>
  <si>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</si>
  <si>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</si>
  <si>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</si>
  <si>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</si>
  <si>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</si>
  <si>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</si>
  <si>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</si>
  <si>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</si>
  <si>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</si>
  <si>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</si>
  <si>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</si>
  <si>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</si>
  <si>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</si>
  <si>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</si>
  <si>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</si>
  <si>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</si>
  <si>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</si>
  <si>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</si>
  <si>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</si>
  <si>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</si>
  <si>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</si>
  <si>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</si>
  <si>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</si>
  <si>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</si>
  <si>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</si>
  <si>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</si>
  <si>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</si>
  <si>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</si>
  <si>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</si>
  <si>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</si>
  <si>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</si>
  <si>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</si>
  <si>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</si>
  <si>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</si>
  <si>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</si>
  <si>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</si>
  <si>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</si>
  <si>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</si>
  <si>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</si>
  <si>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</si>
  <si>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</si>
  <si>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</si>
  <si>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</si>
  <si>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</si>
  <si>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</si>
  <si>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</si>
  <si>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</si>
  <si>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</si>
  <si>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</si>
  <si>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</si>
  <si>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</si>
  <si>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</si>
  <si>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</si>
  <si>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</si>
  <si>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</si>
  <si>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</si>
  <si>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</si>
  <si>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</si>
  <si>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</si>
  <si>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</si>
  <si>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</si>
  <si>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</si>
  <si>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</si>
  <si>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</si>
  <si>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</si>
  <si>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</si>
  <si>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</si>
  <si>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</si>
  <si>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</si>
  <si>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</si>
  <si>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</si>
  <si>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</si>
  <si>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</si>
  <si>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</si>
  <si>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</si>
  <si>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</si>
  <si>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</si>
  <si>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</si>
  <si>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</si>
  <si>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</si>
  <si>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</si>
  <si>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</si>
  <si>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</si>
  <si>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</si>
  <si>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</si>
  <si>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</si>
  <si>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</si>
  <si>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</si>
  <si>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</si>
  <si>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</si>
  <si>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</si>
  <si>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</si>
  <si>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</si>
  <si>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</si>
  <si>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</si>
  <si>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</si>
  <si>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</si>
  <si>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</si>
  <si>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</si>
  <si>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</si>
  <si>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</si>
  <si>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</si>
  <si>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</si>
  <si>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</si>
  <si>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</si>
  <si>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</si>
  <si>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</si>
  <si>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</si>
  <si>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</si>
  <si>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</si>
  <si>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</si>
  <si>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</si>
  <si>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</si>
  <si>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</si>
  <si>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</si>
  <si>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</si>
  <si>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</si>
  <si>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</si>
  <si>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</si>
  <si>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</si>
  <si>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</si>
  <si>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</si>
  <si>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</si>
  <si>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</si>
  <si>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</si>
  <si>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</si>
  <si>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</si>
  <si>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</si>
  <si>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</si>
  <si>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</si>
  <si>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</si>
  <si>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</si>
  <si>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</si>
  <si>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</si>
  <si>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</si>
  <si>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</si>
  <si>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</si>
  <si>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</si>
  <si>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</si>
  <si>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</si>
  <si>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</si>
  <si>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</si>
  <si>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</si>
  <si>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</si>
  <si>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</si>
  <si>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</si>
  <si>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</si>
  <si>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</si>
  <si>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</si>
  <si>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</si>
  <si>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</si>
  <si>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</si>
  <si>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</si>
  <si>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</si>
  <si>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</si>
  <si>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</si>
  <si>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</si>
  <si>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</si>
  <si>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</si>
  <si>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</si>
  <si>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</si>
  <si>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</si>
  <si>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</si>
  <si>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</si>
  <si>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</si>
  <si>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</si>
  <si>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</si>
  <si>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</si>
  <si>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</si>
  <si>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</si>
  <si>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</si>
  <si>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</si>
  <si>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</si>
  <si>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</si>
  <si>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</si>
  <si>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</si>
  <si>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</si>
  <si>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</si>
  <si>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</si>
  <si>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</si>
  <si>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</si>
  <si>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</si>
  <si>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</si>
  <si>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</si>
  <si>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</si>
  <si>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</si>
  <si>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</si>
  <si>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</si>
  <si>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</si>
  <si>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</si>
  <si>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</si>
  <si>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</si>
  <si>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</si>
  <si>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</si>
  <si>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</si>
  <si>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</si>
  <si>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</si>
  <si>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</si>
  <si>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</si>
  <si>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</si>
  <si>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</si>
  <si>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</si>
  <si>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</si>
  <si>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</si>
  <si>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</si>
  <si>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</si>
  <si>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</si>
  <si>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</si>
  <si>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</si>
  <si>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</si>
  <si>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</si>
  <si>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</si>
  <si>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</si>
  <si>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</si>
  <si>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</si>
  <si>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</si>
  <si>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</si>
  <si>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</si>
  <si>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</si>
  <si>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</si>
  <si>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</si>
  <si>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</si>
  <si>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</si>
  <si>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</si>
  <si>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</si>
  <si>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</si>
  <si>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</si>
  <si>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</si>
  <si>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</si>
  <si>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</si>
  <si>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</si>
  <si>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</si>
  <si>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</si>
  <si>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</si>
  <si>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</si>
  <si>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</si>
  <si>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</si>
  <si>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</si>
  <si>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</si>
  <si>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</si>
  <si>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</si>
  <si>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</si>
  <si>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</si>
  <si>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</si>
  <si>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</si>
  <si>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</si>
  <si>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</si>
  <si>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</si>
  <si>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</si>
  <si>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</si>
  <si>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</si>
  <si>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</si>
  <si>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</si>
  <si>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</si>
  <si>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</si>
  <si>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</si>
  <si>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</si>
  <si>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</si>
  <si>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</si>
  <si>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</si>
  <si>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</si>
  <si>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</si>
  <si>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</si>
  <si>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</si>
  <si>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</si>
  <si>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</si>
  <si>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</si>
  <si>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</si>
  <si>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</si>
  <si>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</si>
  <si>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</si>
  <si>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</si>
  <si>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</si>
  <si>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</si>
  <si>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</si>
  <si>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</si>
  <si>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</si>
  <si>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</si>
  <si>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</si>
  <si>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</si>
  <si>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</si>
  <si>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</si>
  <si>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</si>
  <si>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</si>
  <si>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</si>
  <si>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</si>
  <si>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</si>
  <si>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</si>
  <si>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</si>
  <si>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</si>
  <si>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</si>
  <si>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</si>
  <si>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</si>
  <si>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</si>
  <si>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</si>
  <si>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</si>
  <si>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</si>
  <si>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</si>
  <si>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</si>
  <si>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</si>
  <si>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</si>
  <si>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</si>
  <si>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</si>
  <si>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</si>
  <si>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</si>
  <si>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</si>
  <si>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</si>
  <si>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</si>
  <si>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</si>
  <si>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</si>
  <si>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</si>
  <si>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</si>
  <si>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</si>
  <si>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</si>
  <si>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</si>
  <si>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</si>
  <si>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</si>
  <si>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</si>
  <si>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</si>
  <si>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</si>
  <si>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</si>
  <si>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</si>
  <si>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</si>
  <si>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</si>
  <si>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</si>
  <si>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</si>
  <si>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</si>
  <si>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</si>
  <si>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</si>
  <si>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</si>
  <si>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</si>
  <si>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</si>
  <si>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</si>
  <si>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</si>
  <si>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</si>
  <si>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</si>
  <si>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</si>
  <si>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</si>
  <si>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</si>
  <si>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</si>
  <si>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</si>
  <si>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</si>
  <si>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</si>
  <si>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</si>
  <si>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</si>
  <si>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</si>
  <si>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</si>
  <si>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</si>
  <si>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</si>
  <si>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</si>
  <si>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</si>
  <si>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</si>
  <si>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</si>
  <si>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</si>
  <si>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</si>
  <si>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</si>
  <si>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</si>
  <si>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</si>
  <si>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</si>
  <si>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</si>
  <si>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</si>
  <si>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</si>
  <si>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</si>
  <si>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</si>
  <si>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</si>
  <si>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</si>
  <si>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</si>
  <si>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</si>
  <si>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</si>
  <si>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</si>
  <si>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</si>
  <si>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</si>
  <si>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</si>
  <si>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</si>
  <si>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</si>
  <si>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</si>
  <si>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</si>
  <si>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</si>
  <si>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</si>
  <si>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</si>
  <si>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</si>
  <si>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</si>
  <si>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</si>
  <si>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</si>
  <si>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13008</t>
  </si>
  <si>
    <t>GEEL</t>
  </si>
  <si>
    <t>Paarden&amp;pony's 200 - 600 kg</t>
  </si>
  <si>
    <t>Paarden&amp;pony's &lt; 200 kg</t>
  </si>
  <si>
    <t>referentietaak LNE (2017); Jaarverslag De Lijn (2015)</t>
  </si>
  <si>
    <t>op basis van VEA (maart 2018) en Inventaris Hernieuwbare Energiebronnen (juni 2018)</t>
  </si>
  <si>
    <t>VEA (januari 2017)</t>
  </si>
  <si>
    <t>VEA (juni 2018)</t>
  </si>
  <si>
    <t>Agrogas bvba</t>
  </si>
  <si>
    <t>Rendersvensedijk 12 , 2440 Geel</t>
  </si>
  <si>
    <t>WKK-0432 Agrogas</t>
  </si>
  <si>
    <t>interne verbrandingsmotor</t>
  </si>
  <si>
    <t>WKK interne verbrandinsgmotor (gas)</t>
  </si>
  <si>
    <t>IVEKA</t>
  </si>
  <si>
    <t>AZ St.-Dimpna</t>
  </si>
  <si>
    <t>J.B.-Stessensstraat 2 , 2440 Geel</t>
  </si>
  <si>
    <t>WKK-0318 AZ St-Dimpna</t>
  </si>
  <si>
    <t>WKK-0600 VME Ecodroom</t>
  </si>
  <si>
    <t>Werft 61 , 2440 Geel</t>
  </si>
  <si>
    <t>WKK-0742 Wim Dewindt</t>
  </si>
  <si>
    <t>brandstofcel</t>
  </si>
  <si>
    <t>Ierlandlaan 7 , 2440 Geel</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</si>
</sst>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316838.26362335315</c:v>
                </c:pt>
                <c:pt idx="1">
                  <c:v>211086.16805435403</c:v>
                </c:pt>
                <c:pt idx="2">
                  <c:v>1549.0429999999999</c:v>
                </c:pt>
                <c:pt idx="3">
                  <c:v>47547.139477019598</c:v>
                </c:pt>
                <c:pt idx="4">
                  <c:v>251530.97149903321</c:v>
                </c:pt>
                <c:pt idx="5">
                  <c:v>377311.523432502</c:v>
                </c:pt>
                <c:pt idx="6">
                  <c:v>3706.2911757464312</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513472"/>
        <c:axId val="183515008"/>
      </c:barChart>
      <c:catAx>
        <c:axId val="183513472"/>
        <c:scaling>
          <c:orientation val="minMax"/>
        </c:scaling>
        <c:axPos val="b"/>
        <c:numFmt formatCode="General" sourceLinked="0"/>
        <c:tickLblPos val="nextTo"/>
        <c:crossAx val="183515008"/>
        <c:crosses val="autoZero"/>
        <c:auto val="1"/>
        <c:lblAlgn val="ctr"/>
        <c:lblOffset val="100"/>
      </c:catAx>
      <c:valAx>
        <c:axId val="183515008"/>
        <c:scaling>
          <c:orientation val="minMax"/>
        </c:scaling>
        <c:axPos val="l"/>
        <c:majorGridlines/>
        <c:numFmt formatCode="#,##0" sourceLinked="1"/>
        <c:tickLblPos val="nextTo"/>
        <c:crossAx val="1835134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316838.26362335315</c:v>
                </c:pt>
                <c:pt idx="1">
                  <c:v>211086.16805435403</c:v>
                </c:pt>
                <c:pt idx="2">
                  <c:v>1549.0429999999999</c:v>
                </c:pt>
                <c:pt idx="3">
                  <c:v>47547.139477019598</c:v>
                </c:pt>
                <c:pt idx="4">
                  <c:v>251530.97149903321</c:v>
                </c:pt>
                <c:pt idx="5">
                  <c:v>377311.523432502</c:v>
                </c:pt>
                <c:pt idx="6">
                  <c:v>3706.2911757464312</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53898.690556345013</c:v>
                </c:pt>
                <c:pt idx="2">
                  <c:v>37454.712328537942</c:v>
                </c:pt>
                <c:pt idx="3">
                  <c:v>253.13828677309922</c:v>
                </c:pt>
                <c:pt idx="4">
                  <c:v>5371.4990254949234</c:v>
                </c:pt>
                <c:pt idx="5">
                  <c:v>45795.874842840378</c:v>
                </c:pt>
                <c:pt idx="6">
                  <c:v>96627.823541778489</c:v>
                </c:pt>
                <c:pt idx="7">
                  <c:v>959.80862756393356</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065024"/>
        <c:axId val="184124160"/>
      </c:barChart>
      <c:catAx>
        <c:axId val="184065024"/>
        <c:scaling>
          <c:orientation val="minMax"/>
        </c:scaling>
        <c:axPos val="b"/>
        <c:numFmt formatCode="General" sourceLinked="0"/>
        <c:tickLblPos val="nextTo"/>
        <c:crossAx val="184124160"/>
        <c:crosses val="autoZero"/>
        <c:auto val="1"/>
        <c:lblAlgn val="ctr"/>
        <c:lblOffset val="100"/>
      </c:catAx>
      <c:valAx>
        <c:axId val="184124160"/>
        <c:scaling>
          <c:orientation val="minMax"/>
        </c:scaling>
        <c:axPos val="l"/>
        <c:majorGridlines/>
        <c:numFmt formatCode="#,##0" sourceLinked="1"/>
        <c:tickLblPos val="nextTo"/>
        <c:crossAx val="1840650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53898.690556345013</c:v>
                </c:pt>
                <c:pt idx="2">
                  <c:v>37454.712328537942</c:v>
                </c:pt>
                <c:pt idx="3">
                  <c:v>253.13828677309922</c:v>
                </c:pt>
                <c:pt idx="4">
                  <c:v>5371.4990254949234</c:v>
                </c:pt>
                <c:pt idx="5">
                  <c:v>45795.874842840378</c:v>
                </c:pt>
                <c:pt idx="6">
                  <c:v>96627.823541778489</c:v>
                </c:pt>
                <c:pt idx="7">
                  <c:v>959.80862756393356</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13008</v>
      </c>
      <c r="B6" s="415"/>
      <c r="C6" s="416"/>
    </row>
    <row r="7" spans="1:7" s="413" customFormat="1" ht="15.75" customHeight="1">
      <c r="A7" s="417" t="str">
        <f>txtMunicipality</f>
        <v>GEEL</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0.16341591987640061</v>
      </c>
      <c r="C17" s="524">
        <f ca="1">'EF ele_warmte'!B22</f>
        <v>2.5173266743621761E-2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0.16341591987640061</v>
      </c>
      <c r="C29" s="525">
        <f ca="1">'EF ele_warmte'!B22</f>
        <v>2.5173266743621761E-2</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13008</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16421</v>
      </c>
      <c r="C9" s="342">
        <v>16933</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5349.42</v>
      </c>
    </row>
    <row r="15" spans="1:6">
      <c r="A15" s="348" t="s">
        <v>184</v>
      </c>
      <c r="B15" s="334">
        <v>10245</v>
      </c>
    </row>
    <row r="16" spans="1:6">
      <c r="A16" s="348" t="s">
        <v>6</v>
      </c>
      <c r="B16" s="334">
        <v>4024</v>
      </c>
    </row>
    <row r="17" spans="1:6">
      <c r="A17" s="348" t="s">
        <v>7</v>
      </c>
      <c r="B17" s="334">
        <v>501</v>
      </c>
    </row>
    <row r="18" spans="1:6">
      <c r="A18" s="348" t="s">
        <v>8</v>
      </c>
      <c r="B18" s="334">
        <v>2277</v>
      </c>
    </row>
    <row r="19" spans="1:6">
      <c r="A19" s="348" t="s">
        <v>9</v>
      </c>
      <c r="B19" s="334">
        <v>1951</v>
      </c>
    </row>
    <row r="20" spans="1:6">
      <c r="A20" s="348" t="s">
        <v>10</v>
      </c>
      <c r="B20" s="334">
        <v>1125</v>
      </c>
    </row>
    <row r="21" spans="1:6">
      <c r="A21" s="348" t="s">
        <v>11</v>
      </c>
      <c r="B21" s="334">
        <v>3261</v>
      </c>
    </row>
    <row r="22" spans="1:6">
      <c r="A22" s="348" t="s">
        <v>12</v>
      </c>
      <c r="B22" s="334">
        <v>11148</v>
      </c>
    </row>
    <row r="23" spans="1:6">
      <c r="A23" s="348" t="s">
        <v>13</v>
      </c>
      <c r="B23" s="334">
        <v>191</v>
      </c>
    </row>
    <row r="24" spans="1:6">
      <c r="A24" s="348" t="s">
        <v>14</v>
      </c>
      <c r="B24" s="334">
        <v>9</v>
      </c>
    </row>
    <row r="25" spans="1:6">
      <c r="A25" s="348" t="s">
        <v>15</v>
      </c>
      <c r="B25" s="334">
        <v>919</v>
      </c>
    </row>
    <row r="26" spans="1:6">
      <c r="A26" s="348" t="s">
        <v>16</v>
      </c>
      <c r="B26" s="334">
        <v>482</v>
      </c>
    </row>
    <row r="27" spans="1:6">
      <c r="A27" s="348" t="s">
        <v>17</v>
      </c>
      <c r="B27" s="334">
        <v>17</v>
      </c>
    </row>
    <row r="28" spans="1:6" s="356" customFormat="1">
      <c r="A28" s="355" t="s">
        <v>18</v>
      </c>
      <c r="B28" s="355">
        <v>504891</v>
      </c>
    </row>
    <row r="29" spans="1:6">
      <c r="A29" s="355" t="s">
        <v>884</v>
      </c>
      <c r="B29" s="355">
        <v>468</v>
      </c>
      <c r="C29" s="356"/>
      <c r="D29" s="356"/>
      <c r="E29" s="356"/>
      <c r="F29" s="356"/>
    </row>
    <row r="30" spans="1:6">
      <c r="A30" s="355" t="s">
        <v>885</v>
      </c>
      <c r="B30" s="341">
        <v>87</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4</v>
      </c>
      <c r="D36" s="334">
        <v>888184.85745000001</v>
      </c>
      <c r="E36" s="334">
        <v>12</v>
      </c>
      <c r="F36" s="334">
        <v>105053.50567</v>
      </c>
    </row>
    <row r="37" spans="1:6">
      <c r="A37" s="348" t="s">
        <v>25</v>
      </c>
      <c r="B37" s="348" t="s">
        <v>28</v>
      </c>
      <c r="C37" s="334">
        <v>0</v>
      </c>
      <c r="D37" s="334">
        <v>0</v>
      </c>
      <c r="E37" s="334">
        <v>0</v>
      </c>
      <c r="F37" s="334">
        <v>0</v>
      </c>
    </row>
    <row r="38" spans="1:6">
      <c r="A38" s="348" t="s">
        <v>25</v>
      </c>
      <c r="B38" s="348" t="s">
        <v>29</v>
      </c>
      <c r="C38" s="334">
        <v>1</v>
      </c>
      <c r="D38" s="334">
        <v>53660.324307000003</v>
      </c>
      <c r="E38" s="334">
        <v>0</v>
      </c>
      <c r="F38" s="334">
        <v>0</v>
      </c>
    </row>
    <row r="39" spans="1:6">
      <c r="A39" s="348" t="s">
        <v>30</v>
      </c>
      <c r="B39" s="348" t="s">
        <v>31</v>
      </c>
      <c r="C39" s="334">
        <v>10661</v>
      </c>
      <c r="D39" s="334">
        <v>160981844.50999999</v>
      </c>
      <c r="E39" s="334">
        <v>16122</v>
      </c>
      <c r="F39" s="334">
        <v>53980196.137999997</v>
      </c>
    </row>
    <row r="40" spans="1:6">
      <c r="A40" s="348" t="s">
        <v>30</v>
      </c>
      <c r="B40" s="348" t="s">
        <v>29</v>
      </c>
      <c r="C40" s="334">
        <v>2</v>
      </c>
      <c r="D40" s="334">
        <v>86264.659262000001</v>
      </c>
      <c r="E40" s="334">
        <v>2</v>
      </c>
      <c r="F40" s="334">
        <v>24561.048457000001</v>
      </c>
    </row>
    <row r="41" spans="1:6">
      <c r="A41" s="348" t="s">
        <v>32</v>
      </c>
      <c r="B41" s="348" t="s">
        <v>33</v>
      </c>
      <c r="C41" s="334">
        <v>108</v>
      </c>
      <c r="D41" s="334">
        <v>4174373.2124000001</v>
      </c>
      <c r="E41" s="334">
        <v>329</v>
      </c>
      <c r="F41" s="334">
        <v>5718927.0252</v>
      </c>
    </row>
    <row r="42" spans="1:6">
      <c r="A42" s="348" t="s">
        <v>32</v>
      </c>
      <c r="B42" s="348" t="s">
        <v>34</v>
      </c>
      <c r="C42" s="334">
        <v>4</v>
      </c>
      <c r="D42" s="334">
        <v>83209339.539000005</v>
      </c>
      <c r="E42" s="334">
        <v>4</v>
      </c>
      <c r="F42" s="334">
        <v>61989206.527999997</v>
      </c>
    </row>
    <row r="43" spans="1:6">
      <c r="A43" s="348" t="s">
        <v>32</v>
      </c>
      <c r="B43" s="348" t="s">
        <v>35</v>
      </c>
      <c r="C43" s="334">
        <v>4</v>
      </c>
      <c r="D43" s="334">
        <v>37917116.137000002</v>
      </c>
      <c r="E43" s="334">
        <v>0</v>
      </c>
      <c r="F43" s="334">
        <v>0</v>
      </c>
    </row>
    <row r="44" spans="1:6">
      <c r="A44" s="348" t="s">
        <v>32</v>
      </c>
      <c r="B44" s="348" t="s">
        <v>36</v>
      </c>
      <c r="C44" s="334">
        <v>6</v>
      </c>
      <c r="D44" s="334">
        <v>269465.57724000001</v>
      </c>
      <c r="E44" s="334">
        <v>19</v>
      </c>
      <c r="F44" s="334">
        <v>1741859.7438000001</v>
      </c>
    </row>
    <row r="45" spans="1:6">
      <c r="A45" s="348" t="s">
        <v>32</v>
      </c>
      <c r="B45" s="348" t="s">
        <v>37</v>
      </c>
      <c r="C45" s="334">
        <v>0</v>
      </c>
      <c r="D45" s="334">
        <v>0</v>
      </c>
      <c r="E45" s="334">
        <v>5</v>
      </c>
      <c r="F45" s="334">
        <v>213640.64428000001</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37</v>
      </c>
      <c r="D48" s="334">
        <v>4093068.4616999999</v>
      </c>
      <c r="E48" s="334">
        <v>55</v>
      </c>
      <c r="F48" s="334">
        <v>32892940.971999999</v>
      </c>
    </row>
    <row r="49" spans="1:6">
      <c r="A49" s="348" t="s">
        <v>32</v>
      </c>
      <c r="B49" s="348" t="s">
        <v>40</v>
      </c>
      <c r="C49" s="334">
        <v>0</v>
      </c>
      <c r="D49" s="334">
        <v>0</v>
      </c>
      <c r="E49" s="334">
        <v>0</v>
      </c>
      <c r="F49" s="334">
        <v>0</v>
      </c>
    </row>
    <row r="50" spans="1:6">
      <c r="A50" s="348" t="s">
        <v>32</v>
      </c>
      <c r="B50" s="348" t="s">
        <v>41</v>
      </c>
      <c r="C50" s="334">
        <v>13</v>
      </c>
      <c r="D50" s="334">
        <v>4264119.5955999997</v>
      </c>
      <c r="E50" s="334">
        <v>18</v>
      </c>
      <c r="F50" s="334">
        <v>785761.87887999997</v>
      </c>
    </row>
    <row r="51" spans="1:6">
      <c r="A51" s="348" t="s">
        <v>42</v>
      </c>
      <c r="B51" s="348" t="s">
        <v>43</v>
      </c>
      <c r="C51" s="334">
        <v>14</v>
      </c>
      <c r="D51" s="334">
        <v>337464.72568999999</v>
      </c>
      <c r="E51" s="334">
        <v>169</v>
      </c>
      <c r="F51" s="334">
        <v>3783247.858</v>
      </c>
    </row>
    <row r="52" spans="1:6">
      <c r="A52" s="348" t="s">
        <v>42</v>
      </c>
      <c r="B52" s="348" t="s">
        <v>29</v>
      </c>
      <c r="C52" s="334">
        <v>5</v>
      </c>
      <c r="D52" s="334">
        <v>209220.11293999999</v>
      </c>
      <c r="E52" s="334">
        <v>4</v>
      </c>
      <c r="F52" s="334">
        <v>20003.380227000001</v>
      </c>
    </row>
    <row r="53" spans="1:6">
      <c r="A53" s="348" t="s">
        <v>44</v>
      </c>
      <c r="B53" s="348" t="s">
        <v>45</v>
      </c>
      <c r="C53" s="334">
        <v>283</v>
      </c>
      <c r="D53" s="334">
        <v>6546286.2642000001</v>
      </c>
      <c r="E53" s="334">
        <v>730</v>
      </c>
      <c r="F53" s="334">
        <v>3912847.7006999999</v>
      </c>
    </row>
    <row r="54" spans="1:6">
      <c r="A54" s="348" t="s">
        <v>46</v>
      </c>
      <c r="B54" s="348" t="s">
        <v>47</v>
      </c>
      <c r="C54" s="334">
        <v>0</v>
      </c>
      <c r="D54" s="334">
        <v>0</v>
      </c>
      <c r="E54" s="334">
        <v>1</v>
      </c>
      <c r="F54" s="334">
        <v>1549043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125</v>
      </c>
      <c r="D57" s="334">
        <v>8048000.7972999997</v>
      </c>
      <c r="E57" s="334">
        <v>382</v>
      </c>
      <c r="F57" s="334">
        <v>14934002.536</v>
      </c>
    </row>
    <row r="58" spans="1:6">
      <c r="A58" s="348" t="s">
        <v>49</v>
      </c>
      <c r="B58" s="348" t="s">
        <v>51</v>
      </c>
      <c r="C58" s="334">
        <v>102</v>
      </c>
      <c r="D58" s="334">
        <v>25140808.476</v>
      </c>
      <c r="E58" s="334">
        <v>149</v>
      </c>
      <c r="F58" s="334">
        <v>10152729.434</v>
      </c>
    </row>
    <row r="59" spans="1:6">
      <c r="A59" s="348" t="s">
        <v>49</v>
      </c>
      <c r="B59" s="348" t="s">
        <v>52</v>
      </c>
      <c r="C59" s="334">
        <v>319</v>
      </c>
      <c r="D59" s="334">
        <v>17636971.737</v>
      </c>
      <c r="E59" s="334">
        <v>560</v>
      </c>
      <c r="F59" s="334">
        <v>19438167.477000002</v>
      </c>
    </row>
    <row r="60" spans="1:6">
      <c r="A60" s="348" t="s">
        <v>49</v>
      </c>
      <c r="B60" s="348" t="s">
        <v>53</v>
      </c>
      <c r="C60" s="334">
        <v>154</v>
      </c>
      <c r="D60" s="334">
        <v>6907291.0196000002</v>
      </c>
      <c r="E60" s="334">
        <v>241</v>
      </c>
      <c r="F60" s="334">
        <v>5976442.7306000004</v>
      </c>
    </row>
    <row r="61" spans="1:6">
      <c r="A61" s="348" t="s">
        <v>49</v>
      </c>
      <c r="B61" s="348" t="s">
        <v>54</v>
      </c>
      <c r="C61" s="334">
        <v>435</v>
      </c>
      <c r="D61" s="334">
        <v>20992651.975000001</v>
      </c>
      <c r="E61" s="334">
        <v>759</v>
      </c>
      <c r="F61" s="334">
        <v>25335197.272</v>
      </c>
    </row>
    <row r="62" spans="1:6">
      <c r="A62" s="348" t="s">
        <v>49</v>
      </c>
      <c r="B62" s="348" t="s">
        <v>55</v>
      </c>
      <c r="C62" s="334">
        <v>34</v>
      </c>
      <c r="D62" s="334">
        <v>4352254.8438999997</v>
      </c>
      <c r="E62" s="334">
        <v>36</v>
      </c>
      <c r="F62" s="334">
        <v>2437372.0696</v>
      </c>
    </row>
    <row r="63" spans="1:6">
      <c r="A63" s="348" t="s">
        <v>49</v>
      </c>
      <c r="B63" s="348" t="s">
        <v>29</v>
      </c>
      <c r="C63" s="334">
        <v>101</v>
      </c>
      <c r="D63" s="334">
        <v>16657958.08</v>
      </c>
      <c r="E63" s="334">
        <v>93</v>
      </c>
      <c r="F63" s="334">
        <v>8256855.7967999997</v>
      </c>
    </row>
    <row r="64" spans="1:6">
      <c r="A64" s="348" t="s">
        <v>56</v>
      </c>
      <c r="B64" s="348" t="s">
        <v>57</v>
      </c>
      <c r="C64" s="334">
        <v>0</v>
      </c>
      <c r="D64" s="334">
        <v>0</v>
      </c>
      <c r="E64" s="334">
        <v>0</v>
      </c>
      <c r="F64" s="334">
        <v>0</v>
      </c>
    </row>
    <row r="65" spans="1:6">
      <c r="A65" s="348" t="s">
        <v>56</v>
      </c>
      <c r="B65" s="348" t="s">
        <v>29</v>
      </c>
      <c r="C65" s="334">
        <v>2</v>
      </c>
      <c r="D65" s="334">
        <v>368467.51871999999</v>
      </c>
      <c r="E65" s="334">
        <v>4</v>
      </c>
      <c r="F65" s="334">
        <v>47526.749931999999</v>
      </c>
    </row>
    <row r="66" spans="1:6">
      <c r="A66" s="348" t="s">
        <v>56</v>
      </c>
      <c r="B66" s="348" t="s">
        <v>58</v>
      </c>
      <c r="C66" s="334">
        <v>0</v>
      </c>
      <c r="D66" s="334">
        <v>0</v>
      </c>
      <c r="E66" s="334">
        <v>37</v>
      </c>
      <c r="F66" s="334">
        <v>930820.14439000003</v>
      </c>
    </row>
    <row r="67" spans="1:6">
      <c r="A67" s="355" t="s">
        <v>56</v>
      </c>
      <c r="B67" s="355" t="s">
        <v>59</v>
      </c>
      <c r="C67" s="334">
        <v>0</v>
      </c>
      <c r="D67" s="334">
        <v>0</v>
      </c>
      <c r="E67" s="334">
        <v>0</v>
      </c>
      <c r="F67" s="334">
        <v>0</v>
      </c>
    </row>
    <row r="68" spans="1:6">
      <c r="A68" s="341" t="s">
        <v>56</v>
      </c>
      <c r="B68" s="341" t="s">
        <v>60</v>
      </c>
      <c r="C68" s="334">
        <v>10</v>
      </c>
      <c r="D68" s="334">
        <v>272967.46555000002</v>
      </c>
      <c r="E68" s="334">
        <v>28</v>
      </c>
      <c r="F68" s="334">
        <v>322752.56826999999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262118930</v>
      </c>
      <c r="E73" s="475">
        <v>281393687.3900882</v>
      </c>
    </row>
    <row r="74" spans="1:6">
      <c r="A74" s="348" t="s">
        <v>64</v>
      </c>
      <c r="B74" s="348" t="s">
        <v>667</v>
      </c>
      <c r="C74" s="1294" t="s">
        <v>669</v>
      </c>
      <c r="D74" s="475">
        <v>25026633.359193988</v>
      </c>
      <c r="E74" s="475">
        <v>26119228.271645259</v>
      </c>
    </row>
    <row r="75" spans="1:6">
      <c r="A75" s="348" t="s">
        <v>65</v>
      </c>
      <c r="B75" s="348" t="s">
        <v>666</v>
      </c>
      <c r="C75" s="1294" t="s">
        <v>670</v>
      </c>
      <c r="D75" s="475">
        <v>56556032</v>
      </c>
      <c r="E75" s="475">
        <v>58417157.115649074</v>
      </c>
    </row>
    <row r="76" spans="1:6">
      <c r="A76" s="348" t="s">
        <v>65</v>
      </c>
      <c r="B76" s="348" t="s">
        <v>667</v>
      </c>
      <c r="C76" s="1294" t="s">
        <v>671</v>
      </c>
      <c r="D76" s="475">
        <v>1060517.3591939895</v>
      </c>
      <c r="E76" s="475">
        <v>1142233.0175830713</v>
      </c>
    </row>
    <row r="77" spans="1:6">
      <c r="A77" s="348" t="s">
        <v>66</v>
      </c>
      <c r="B77" s="348" t="s">
        <v>666</v>
      </c>
      <c r="C77" s="1294" t="s">
        <v>672</v>
      </c>
      <c r="D77" s="475">
        <v>79473677</v>
      </c>
      <c r="E77" s="475">
        <v>86233484.924706101</v>
      </c>
    </row>
    <row r="78" spans="1:6">
      <c r="A78" s="341" t="s">
        <v>66</v>
      </c>
      <c r="B78" s="341" t="s">
        <v>667</v>
      </c>
      <c r="C78" s="341" t="s">
        <v>673</v>
      </c>
      <c r="D78" s="1295">
        <v>18076626</v>
      </c>
      <c r="E78" s="1295">
        <v>18636056.923486974</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995459.28161202092</v>
      </c>
      <c r="C83" s="475">
        <v>995459.28161202092</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26810.539684339295</v>
      </c>
    </row>
    <row r="91" spans="1:6">
      <c r="A91" s="348" t="s">
        <v>68</v>
      </c>
      <c r="B91" s="334">
        <v>11105.362727565283</v>
      </c>
    </row>
    <row r="92" spans="1:6">
      <c r="A92" s="341" t="s">
        <v>69</v>
      </c>
      <c r="B92" s="342">
        <v>11668.425252475159</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5739</v>
      </c>
    </row>
    <row r="98" spans="1:6">
      <c r="A98" s="348" t="s">
        <v>72</v>
      </c>
      <c r="B98" s="334">
        <v>29</v>
      </c>
    </row>
    <row r="99" spans="1:6">
      <c r="A99" s="348" t="s">
        <v>73</v>
      </c>
      <c r="B99" s="334">
        <v>146</v>
      </c>
    </row>
    <row r="100" spans="1:6">
      <c r="A100" s="348" t="s">
        <v>74</v>
      </c>
      <c r="B100" s="334">
        <v>564</v>
      </c>
    </row>
    <row r="101" spans="1:6">
      <c r="A101" s="348" t="s">
        <v>75</v>
      </c>
      <c r="B101" s="334">
        <v>165</v>
      </c>
    </row>
    <row r="102" spans="1:6">
      <c r="A102" s="348" t="s">
        <v>76</v>
      </c>
      <c r="B102" s="334">
        <v>199</v>
      </c>
    </row>
    <row r="103" spans="1:6">
      <c r="A103" s="348" t="s">
        <v>77</v>
      </c>
      <c r="B103" s="334">
        <v>307</v>
      </c>
    </row>
    <row r="104" spans="1:6">
      <c r="A104" s="348" t="s">
        <v>78</v>
      </c>
      <c r="B104" s="334">
        <v>6048</v>
      </c>
    </row>
    <row r="105" spans="1:6">
      <c r="A105" s="341" t="s">
        <v>79</v>
      </c>
      <c r="B105" s="341">
        <v>15</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1</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100</v>
      </c>
      <c r="C123" s="334">
        <v>62</v>
      </c>
    </row>
    <row r="124" spans="1:6">
      <c r="A124" s="341" t="s">
        <v>89</v>
      </c>
      <c r="B124" s="334">
        <v>5</v>
      </c>
      <c r="C124" s="334">
        <v>2</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430</v>
      </c>
    </row>
    <row r="130" spans="1:6">
      <c r="A130" s="348" t="s">
        <v>295</v>
      </c>
      <c r="B130" s="334">
        <v>3</v>
      </c>
    </row>
    <row r="131" spans="1:6">
      <c r="A131" s="348" t="s">
        <v>296</v>
      </c>
      <c r="B131" s="334">
        <v>5</v>
      </c>
    </row>
    <row r="132" spans="1:6">
      <c r="A132" s="341" t="s">
        <v>297</v>
      </c>
      <c r="B132" s="342">
        <v>61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266722.16621906287</v>
      </c>
      <c r="C3" s="43" t="s">
        <v>170</v>
      </c>
      <c r="D3" s="43"/>
      <c r="E3" s="154"/>
      <c r="F3" s="43"/>
      <c r="G3" s="43"/>
      <c r="H3" s="43"/>
      <c r="I3" s="43"/>
      <c r="J3" s="43"/>
      <c r="K3" s="96"/>
    </row>
    <row r="4" spans="1:11">
      <c r="A4" s="383" t="s">
        <v>171</v>
      </c>
      <c r="B4" s="49">
        <f>IF(ISERROR('SEAP template'!B78+'SEAP template'!C78),0,'SEAP template'!B78+'SEAP template'!C78)</f>
        <v>72057.327664379729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565.71882352941191</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0.16341591987640061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808.1697478991598</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32104.285714285714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2.5173266743621761E-2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1549.0429999999999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1549.0429999999999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0.16341591987640061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253.13828677309922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54004.757186456991</v>
      </c>
      <c r="C5" s="17">
        <f>IF(ISERROR('Eigen informatie GS &amp; warmtenet'!B57),0,'Eigen informatie GS &amp; warmtenet'!B57)</f>
        <v>0</v>
      </c>
      <c r="D5" s="30">
        <f>(SUM(HH_hh_gas_kWh,HH_rest_gas_kWh)/1000)*0.902</f>
        <v>145283.43447067431</v>
      </c>
      <c r="E5" s="17">
        <f>B46*B57</f>
        <v>15003.740008189663</v>
      </c>
      <c r="F5" s="17">
        <f>B51*B62</f>
        <v>39346.657949052606</v>
      </c>
      <c r="G5" s="18"/>
      <c r="H5" s="17"/>
      <c r="I5" s="17"/>
      <c r="J5" s="17">
        <f>B50*B61+C50*C61</f>
        <v>0</v>
      </c>
      <c r="K5" s="17"/>
      <c r="L5" s="17"/>
      <c r="M5" s="17"/>
      <c r="N5" s="17">
        <f>B48*B59+C48*C59</f>
        <v>48156.957948080948</v>
      </c>
      <c r="O5" s="17">
        <f>B69*B70*B71</f>
        <v>772.28666666666675</v>
      </c>
      <c r="P5" s="17">
        <f>B77*B78*B79/1000-B77*B78*B79/1000/B80</f>
        <v>3165.0666666666666</v>
      </c>
    </row>
    <row r="6" spans="1:16">
      <c r="A6" s="16" t="s">
        <v>624</v>
      </c>
      <c r="B6" s="788">
        <f>kWh_PV_kleiner_dan_10kW</f>
        <v>11105.362727565283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65110.119914022274</v>
      </c>
      <c r="C8" s="21">
        <f>C5</f>
        <v>0</v>
      </c>
      <c r="D8" s="21">
        <f>D5</f>
        <v>145283.43447067431</v>
      </c>
      <c r="E8" s="21">
        <f>E5</f>
        <v>15003.740008189663</v>
      </c>
      <c r="F8" s="21">
        <f>F5</f>
        <v>39346.657949052606</v>
      </c>
      <c r="G8" s="21"/>
      <c r="H8" s="21"/>
      <c r="I8" s="21"/>
      <c r="J8" s="21">
        <f>J5</f>
        <v>0</v>
      </c>
      <c r="K8" s="21"/>
      <c r="L8" s="21">
        <f>L5</f>
        <v>0</v>
      </c>
      <c r="M8" s="21">
        <f>M5</f>
        <v>0</v>
      </c>
      <c r="N8" s="21">
        <f>N5</f>
        <v>48156.957948080948</v>
      </c>
      <c r="O8" s="21">
        <f>O5</f>
        <v>772.28666666666675</v>
      </c>
      <c r="P8" s="21">
        <f>P5</f>
        <v>3165.0666666666666</v>
      </c>
    </row>
    <row r="9" spans="1:16">
      <c r="B9" s="19"/>
      <c r="C9" s="19"/>
      <c r="D9" s="258"/>
      <c r="E9" s="19"/>
      <c r="F9" s="19"/>
      <c r="G9" s="19"/>
      <c r="H9" s="19"/>
      <c r="I9" s="19"/>
      <c r="J9" s="19"/>
      <c r="K9" s="19"/>
      <c r="L9" s="19"/>
      <c r="M9" s="19"/>
      <c r="N9" s="19"/>
      <c r="O9" s="19"/>
      <c r="P9" s="19"/>
    </row>
    <row r="10" spans="1:16">
      <c r="A10" s="24" t="s">
        <v>214</v>
      </c>
      <c r="B10" s="25">
        <f ca="1">'EF ele_warmte'!B12</f>
        <v>0.16341591987640061</v>
      </c>
      <c r="C10" s="25">
        <f ca="1">'EF ele_warmte'!B22</f>
        <v>2.5173266743621761E-2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10640.030139012701</v>
      </c>
      <c r="C12" s="23">
        <f ca="1">C10*C8</f>
        <v>0</v>
      </c>
      <c r="D12" s="23">
        <f>D8*D10</f>
        <v>29347.253763076213</v>
      </c>
      <c r="E12" s="23">
        <f>E10*E8</f>
        <v>3405.8489818590538</v>
      </c>
      <c r="F12" s="23">
        <f>F10*F8</f>
        <v>10505.557672397046</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5739</v>
      </c>
      <c r="C18" s="166" t="s">
        <v>111</v>
      </c>
      <c r="D18" s="228"/>
      <c r="E18" s="15"/>
    </row>
    <row r="19" spans="1:7">
      <c r="A19" s="171" t="s">
        <v>72</v>
      </c>
      <c r="B19" s="37">
        <f>aantalw2001_ander</f>
        <v>29</v>
      </c>
      <c r="C19" s="166" t="s">
        <v>111</v>
      </c>
      <c r="D19" s="229"/>
      <c r="E19" s="15"/>
    </row>
    <row r="20" spans="1:7">
      <c r="A20" s="171" t="s">
        <v>73</v>
      </c>
      <c r="B20" s="37">
        <f>aantalw2001_propaan</f>
        <v>146</v>
      </c>
      <c r="C20" s="167">
        <f>IF(ISERROR(B20/SUM($B$20,$B$21,$B$22)*100),0,B20/SUM($B$20,$B$21,$B$22)*100)</f>
        <v>16.685714285714287</v>
      </c>
      <c r="D20" s="229"/>
      <c r="E20" s="15"/>
    </row>
    <row r="21" spans="1:7">
      <c r="A21" s="171" t="s">
        <v>74</v>
      </c>
      <c r="B21" s="37">
        <f>aantalw2001_elektriciteit</f>
        <v>564</v>
      </c>
      <c r="C21" s="167">
        <f>IF(ISERROR(B21/SUM($B$20,$B$21,$B$22)*100),0,B21/SUM($B$20,$B$21,$B$22)*100)</f>
        <v>64.457142857142856</v>
      </c>
      <c r="D21" s="229"/>
      <c r="E21" s="15"/>
    </row>
    <row r="22" spans="1:7">
      <c r="A22" s="171" t="s">
        <v>75</v>
      </c>
      <c r="B22" s="37">
        <f>aantalw2001_hout</f>
        <v>165</v>
      </c>
      <c r="C22" s="167">
        <f>IF(ISERROR(B22/SUM($B$20,$B$21,$B$22)*100),0,B22/SUM($B$20,$B$21,$B$22)*100)</f>
        <v>18.857142857142858</v>
      </c>
      <c r="D22" s="229"/>
      <c r="E22" s="15"/>
    </row>
    <row r="23" spans="1:7">
      <c r="A23" s="171" t="s">
        <v>76</v>
      </c>
      <c r="B23" s="37">
        <f>aantalw2001_niet_gespec</f>
        <v>199</v>
      </c>
      <c r="C23" s="166" t="s">
        <v>111</v>
      </c>
      <c r="D23" s="228"/>
      <c r="E23" s="15"/>
    </row>
    <row r="24" spans="1:7">
      <c r="A24" s="171" t="s">
        <v>77</v>
      </c>
      <c r="B24" s="37">
        <f>aantalw2001_steenkool</f>
        <v>307</v>
      </c>
      <c r="C24" s="166" t="s">
        <v>111</v>
      </c>
      <c r="D24" s="229"/>
      <c r="E24" s="15"/>
    </row>
    <row r="25" spans="1:7">
      <c r="A25" s="171" t="s">
        <v>78</v>
      </c>
      <c r="B25" s="37">
        <f>aantalw2001_stookolie</f>
        <v>6048</v>
      </c>
      <c r="C25" s="166" t="s">
        <v>111</v>
      </c>
      <c r="D25" s="228"/>
      <c r="E25" s="52"/>
    </row>
    <row r="26" spans="1:7">
      <c r="A26" s="171" t="s">
        <v>79</v>
      </c>
      <c r="B26" s="37">
        <f>aantalw2001_WP</f>
        <v>15</v>
      </c>
      <c r="C26" s="166" t="s">
        <v>111</v>
      </c>
      <c r="D26" s="228"/>
      <c r="E26" s="15"/>
    </row>
    <row r="27" spans="1:7" s="15" customFormat="1">
      <c r="A27" s="171"/>
      <c r="B27" s="29"/>
      <c r="C27" s="36"/>
      <c r="D27" s="228"/>
    </row>
    <row r="28" spans="1:7" s="15" customFormat="1">
      <c r="A28" s="230" t="s">
        <v>698</v>
      </c>
      <c r="B28" s="37">
        <f>aantalHuishoudens2011</f>
        <v>16421</v>
      </c>
      <c r="C28" s="36"/>
      <c r="D28" s="228"/>
    </row>
    <row r="29" spans="1:7" s="15" customFormat="1">
      <c r="A29" s="230" t="s">
        <v>699</v>
      </c>
      <c r="B29" s="37">
        <f>SUM(HH_hh_gas_aantal,HH_rest_gas_aantal)</f>
        <v>10663</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10663</v>
      </c>
      <c r="C32" s="167">
        <f>IF(ISERROR(B32/SUM($B$32,$B$34,$B$35,$B$36,$B$38,$B$39)*100),0,B32/SUM($B$32,$B$34,$B$35,$B$36,$B$38,$B$39)*100)</f>
        <v>65.598277453091356</v>
      </c>
      <c r="D32" s="233"/>
      <c r="G32" s="15"/>
    </row>
    <row r="33" spans="1:7">
      <c r="A33" s="171" t="s">
        <v>72</v>
      </c>
      <c r="B33" s="34" t="s">
        <v>111</v>
      </c>
      <c r="C33" s="167"/>
      <c r="D33" s="233"/>
      <c r="G33" s="15"/>
    </row>
    <row r="34" spans="1:7">
      <c r="A34" s="171" t="s">
        <v>73</v>
      </c>
      <c r="B34" s="33">
        <f>IF((($B$28-$B$32-$B$39-$B$77-$B$38)*C20/100)&lt;0,0,($B$28-$B$32-$B$39-$B$77-$B$38)*C20/100)</f>
        <v>663.35725714285729</v>
      </c>
      <c r="C34" s="167">
        <f>IF(ISERROR(B34/SUM($B$32,$B$34,$B$35,$B$36,$B$38,$B$39)*100),0,B34/SUM($B$32,$B$34,$B$35,$B$36,$B$38,$B$39)*100)</f>
        <v>4.0809428307773441</v>
      </c>
      <c r="D34" s="233"/>
      <c r="G34" s="15"/>
    </row>
    <row r="35" spans="1:7">
      <c r="A35" s="171" t="s">
        <v>74</v>
      </c>
      <c r="B35" s="33">
        <f>IF((($B$28-$B$32-$B$39-$B$77-$B$38)*C21/100)&lt;0,0,($B$28-$B$32-$B$39-$B$77-$B$38)*C21/100)</f>
        <v>2562.5581714285713</v>
      </c>
      <c r="C35" s="167">
        <f>IF(ISERROR(B35/SUM($B$32,$B$34,$B$35,$B$36,$B$38,$B$39)*100),0,B35/SUM($B$32,$B$34,$B$35,$B$36,$B$38,$B$39)*100)</f>
        <v>15.764738058619326</v>
      </c>
      <c r="D35" s="233"/>
      <c r="G35" s="15"/>
    </row>
    <row r="36" spans="1:7">
      <c r="A36" s="171" t="s">
        <v>75</v>
      </c>
      <c r="B36" s="33">
        <f>IF((($B$28-$B$32-$B$39-$B$77-$B$38)*C22/100)&lt;0,0,($B$28-$B$32-$B$39-$B$77-$B$38)*C22/100)</f>
        <v>749.68457142857153</v>
      </c>
      <c r="C36" s="167">
        <f>IF(ISERROR(B36/SUM($B$32,$B$34,$B$35,$B$36,$B$38,$B$39)*100),0,B36/SUM($B$32,$B$34,$B$35,$B$36,$B$38,$B$39)*100)</f>
        <v>4.6120244320428885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1616.3999999999996</v>
      </c>
      <c r="C39" s="167">
        <f>IF(ISERROR(B39/SUM($B$32,$B$34,$B$35,$B$36,$B$38,$B$39)*100),0,B39/SUM($B$32,$B$34,$B$35,$B$36,$B$38,$B$39)*100)</f>
        <v>9.944017225469084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10663</v>
      </c>
      <c r="C44" s="34" t="s">
        <v>111</v>
      </c>
      <c r="D44" s="174"/>
    </row>
    <row r="45" spans="1:7">
      <c r="A45" s="171" t="s">
        <v>72</v>
      </c>
      <c r="B45" s="33" t="str">
        <f t="shared" si="0"/>
        <v>-</v>
      </c>
      <c r="C45" s="34" t="s">
        <v>111</v>
      </c>
      <c r="D45" s="174"/>
    </row>
    <row r="46" spans="1:7">
      <c r="A46" s="171" t="s">
        <v>73</v>
      </c>
      <c r="B46" s="33">
        <f t="shared" si="0"/>
        <v>663.35725714285729</v>
      </c>
      <c r="C46" s="34" t="s">
        <v>111</v>
      </c>
      <c r="D46" s="174"/>
    </row>
    <row r="47" spans="1:7">
      <c r="A47" s="171" t="s">
        <v>74</v>
      </c>
      <c r="B47" s="33">
        <f t="shared" si="0"/>
        <v>2562.5581714285713</v>
      </c>
      <c r="C47" s="34" t="s">
        <v>111</v>
      </c>
      <c r="D47" s="174"/>
    </row>
    <row r="48" spans="1:7">
      <c r="A48" s="171" t="s">
        <v>75</v>
      </c>
      <c r="B48" s="33">
        <f t="shared" si="0"/>
        <v>749.68457142857153</v>
      </c>
      <c r="C48" s="33">
        <f>B48*10</f>
        <v>7496.8457142857151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1616.3999999999996</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494</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166</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86530.767315999998</v>
      </c>
      <c r="C5" s="17">
        <f>IF(ISERROR('Eigen informatie GS &amp; warmtenet'!B58),0,'Eigen informatie GS &amp; warmtenet'!B58)</f>
        <v>0</v>
      </c>
      <c r="D5" s="30">
        <f>SUM(D6:D12)</f>
        <v>89961.815109777599</v>
      </c>
      <c r="E5" s="17">
        <f>SUM(E6:E12)</f>
        <v>1316.3750259660278</v>
      </c>
      <c r="F5" s="17">
        <f>SUM(F6:F12)</f>
        <v>21507.016828626693</v>
      </c>
      <c r="G5" s="18"/>
      <c r="H5" s="17"/>
      <c r="I5" s="17"/>
      <c r="J5" s="17">
        <f>SUM(J6:J12)</f>
        <v>0</v>
      </c>
      <c r="K5" s="17"/>
      <c r="L5" s="17"/>
      <c r="M5" s="17"/>
      <c r="N5" s="17">
        <f>SUM(N6:N12)</f>
        <v>12671.318059698009</v>
      </c>
      <c r="O5" s="17">
        <f>B38*B39*B40</f>
        <v>4.6900000000000004</v>
      </c>
      <c r="P5" s="17">
        <f>B46*B47*B48/1000-B46*B47*B48/1000/B49</f>
        <v>114.4</v>
      </c>
      <c r="R5" s="32"/>
    </row>
    <row r="6" spans="1:18">
      <c r="A6" s="32" t="s">
        <v>54</v>
      </c>
      <c r="B6" s="37">
        <f>B26</f>
        <v>25335.197272000001</v>
      </c>
      <c r="C6" s="33"/>
      <c r="D6" s="37">
        <f>IF(ISERROR(TER_kantoor_gas_kWh/1000),0,TER_kantoor_gas_kWh/1000)*0.902</f>
        <v>18935.372081450001</v>
      </c>
      <c r="E6" s="33">
        <f>$C$26*'E Balans VL '!I12/100/3.6*1000000</f>
        <v>331.66894072817001</v>
      </c>
      <c r="F6" s="33">
        <f>$C$26*('E Balans VL '!L12+'E Balans VL '!N12)/100/3.6*1000000</f>
        <v>6460.2135002110599</v>
      </c>
      <c r="G6" s="34"/>
      <c r="H6" s="33"/>
      <c r="I6" s="33"/>
      <c r="J6" s="33">
        <f>$C$26*('E Balans VL '!D12+'E Balans VL '!E12)/100/3.6*1000000</f>
        <v>0</v>
      </c>
      <c r="K6" s="33"/>
      <c r="L6" s="33"/>
      <c r="M6" s="33"/>
      <c r="N6" s="33">
        <f>$C$26*'E Balans VL '!Y12/100/3.6*1000000</f>
        <v>25.420512191789122</v>
      </c>
      <c r="O6" s="33"/>
      <c r="P6" s="33"/>
      <c r="R6" s="32"/>
    </row>
    <row r="7" spans="1:18">
      <c r="A7" s="32" t="s">
        <v>53</v>
      </c>
      <c r="B7" s="37">
        <f t="shared" ref="B7:B12" si="0">B27</f>
        <v>5976.4427306000007</v>
      </c>
      <c r="C7" s="33"/>
      <c r="D7" s="37">
        <f>IF(ISERROR(TER_horeca_gas_kWh/1000),0,TER_horeca_gas_kWh/1000)*0.902</f>
        <v>6230.3764996792006</v>
      </c>
      <c r="E7" s="33">
        <f>$C$27*'E Balans VL '!I9/100/3.6*1000000</f>
        <v>197.78390090124154</v>
      </c>
      <c r="F7" s="33">
        <f>$C$27*('E Balans VL '!L9+'E Balans VL '!N9)/100/3.6*1000000</f>
        <v>2569.8474696550738</v>
      </c>
      <c r="G7" s="34"/>
      <c r="H7" s="33"/>
      <c r="I7" s="33"/>
      <c r="J7" s="33">
        <f>$C$27*('E Balans VL '!D9+'E Balans VL '!E9)/100/3.6*1000000</f>
        <v>0</v>
      </c>
      <c r="K7" s="33"/>
      <c r="L7" s="33"/>
      <c r="M7" s="33"/>
      <c r="N7" s="33">
        <f>$C$27*'E Balans VL '!Y9/100/3.6*1000000</f>
        <v>1.4386165527280022</v>
      </c>
      <c r="O7" s="33"/>
      <c r="P7" s="33"/>
      <c r="R7" s="32"/>
    </row>
    <row r="8" spans="1:18">
      <c r="A8" s="6" t="s">
        <v>52</v>
      </c>
      <c r="B8" s="37">
        <f t="shared" si="0"/>
        <v>19438.167477000003</v>
      </c>
      <c r="C8" s="33"/>
      <c r="D8" s="37">
        <f>IF(ISERROR(TER_handel_gas_kWh/1000),0,TER_handel_gas_kWh/1000)*0.902</f>
        <v>15908.548506774001</v>
      </c>
      <c r="E8" s="33">
        <f>$C$28*'E Balans VL '!I13/100/3.6*1000000</f>
        <v>613.49826620993849</v>
      </c>
      <c r="F8" s="33">
        <f>$C$28*('E Balans VL '!L13+'E Balans VL '!N13)/100/3.6*1000000</f>
        <v>3812.1669271180417</v>
      </c>
      <c r="G8" s="34"/>
      <c r="H8" s="33"/>
      <c r="I8" s="33"/>
      <c r="J8" s="33">
        <f>$C$28*('E Balans VL '!D13+'E Balans VL '!E13)/100/3.6*1000000</f>
        <v>0</v>
      </c>
      <c r="K8" s="33"/>
      <c r="L8" s="33"/>
      <c r="M8" s="33"/>
      <c r="N8" s="33">
        <f>$C$28*'E Balans VL '!Y13/100/3.6*1000000</f>
        <v>23.069330921313181</v>
      </c>
      <c r="O8" s="33"/>
      <c r="P8" s="33"/>
      <c r="R8" s="32"/>
    </row>
    <row r="9" spans="1:18">
      <c r="A9" s="32" t="s">
        <v>51</v>
      </c>
      <c r="B9" s="37">
        <f t="shared" si="0"/>
        <v>10152.729434000001</v>
      </c>
      <c r="C9" s="33"/>
      <c r="D9" s="37">
        <f>IF(ISERROR(TER_gezond_gas_kWh/1000),0,TER_gezond_gas_kWh/1000)*0.902</f>
        <v>22677.009245351997</v>
      </c>
      <c r="E9" s="33">
        <f>$C$29*'E Balans VL '!I10/100/3.6*1000000</f>
        <v>1.2998463790614634</v>
      </c>
      <c r="F9" s="33">
        <f>$C$29*('E Balans VL '!L10+'E Balans VL '!N10)/100/3.6*1000000</f>
        <v>2115.2390809906938</v>
      </c>
      <c r="G9" s="34"/>
      <c r="H9" s="33"/>
      <c r="I9" s="33"/>
      <c r="J9" s="33">
        <f>$C$29*('E Balans VL '!D10+'E Balans VL '!E10)/100/3.6*1000000</f>
        <v>0</v>
      </c>
      <c r="K9" s="33"/>
      <c r="L9" s="33"/>
      <c r="M9" s="33"/>
      <c r="N9" s="33">
        <f>$C$29*'E Balans VL '!Y10/100/3.6*1000000</f>
        <v>119.24860601314015</v>
      </c>
      <c r="O9" s="33"/>
      <c r="P9" s="33"/>
      <c r="R9" s="32"/>
    </row>
    <row r="10" spans="1:18">
      <c r="A10" s="32" t="s">
        <v>50</v>
      </c>
      <c r="B10" s="37">
        <f t="shared" si="0"/>
        <v>14934.002536</v>
      </c>
      <c r="C10" s="33"/>
      <c r="D10" s="37">
        <f>IF(ISERROR(TER_ander_gas_kWh/1000),0,TER_ander_gas_kWh/1000)*0.902</f>
        <v>7259.2967191646003</v>
      </c>
      <c r="E10" s="33">
        <f>$C$30*'E Balans VL '!I14/100/3.6*1000000</f>
        <v>22.457227850657613</v>
      </c>
      <c r="F10" s="33">
        <f>$C$30*('E Balans VL '!L14+'E Balans VL '!N14)/100/3.6*1000000</f>
        <v>3296.946368395641</v>
      </c>
      <c r="G10" s="34"/>
      <c r="H10" s="33"/>
      <c r="I10" s="33"/>
      <c r="J10" s="33">
        <f>$C$30*('E Balans VL '!D14+'E Balans VL '!E14)/100/3.6*1000000</f>
        <v>0</v>
      </c>
      <c r="K10" s="33"/>
      <c r="L10" s="33"/>
      <c r="M10" s="33"/>
      <c r="N10" s="33">
        <f>$C$30*'E Balans VL '!Y14/100/3.6*1000000</f>
        <v>11768.999018845629</v>
      </c>
      <c r="O10" s="33"/>
      <c r="P10" s="33"/>
      <c r="R10" s="32"/>
    </row>
    <row r="11" spans="1:18">
      <c r="A11" s="32" t="s">
        <v>55</v>
      </c>
      <c r="B11" s="37">
        <f t="shared" si="0"/>
        <v>2437.3720696</v>
      </c>
      <c r="C11" s="33"/>
      <c r="D11" s="37">
        <f>IF(ISERROR(TER_onderwijs_gas_kWh/1000),0,TER_onderwijs_gas_kWh/1000)*0.902</f>
        <v>3925.7338691978002</v>
      </c>
      <c r="E11" s="33">
        <f>$C$31*'E Balans VL '!I11/100/3.6*1000000</f>
        <v>4.2924164656390102</v>
      </c>
      <c r="F11" s="33">
        <f>$C$31*('E Balans VL '!L11+'E Balans VL '!N11)/100/3.6*1000000</f>
        <v>1125.3787887089748</v>
      </c>
      <c r="G11" s="34"/>
      <c r="H11" s="33"/>
      <c r="I11" s="33"/>
      <c r="J11" s="33">
        <f>$C$31*('E Balans VL '!D11+'E Balans VL '!E11)/100/3.6*1000000</f>
        <v>0</v>
      </c>
      <c r="K11" s="33"/>
      <c r="L11" s="33"/>
      <c r="M11" s="33"/>
      <c r="N11" s="33">
        <f>$C$31*'E Balans VL '!Y11/100/3.6*1000000</f>
        <v>4.5408578715437873</v>
      </c>
      <c r="O11" s="33"/>
      <c r="P11" s="33"/>
      <c r="R11" s="32"/>
    </row>
    <row r="12" spans="1:18">
      <c r="A12" s="32" t="s">
        <v>260</v>
      </c>
      <c r="B12" s="37">
        <f t="shared" si="0"/>
        <v>8256.8557968000005</v>
      </c>
      <c r="C12" s="33"/>
      <c r="D12" s="37">
        <f>IF(ISERROR(TER_rest_gas_kWh/1000),0,TER_rest_gas_kWh/1000)*0.902</f>
        <v>15025.478188160001</v>
      </c>
      <c r="E12" s="33">
        <f>$C$32*'E Balans VL '!I8/100/3.6*1000000</f>
        <v>145.37442743131993</v>
      </c>
      <c r="F12" s="33">
        <f>$C$32*('E Balans VL '!L8+'E Balans VL '!N8)/100/3.6*1000000</f>
        <v>2127.2246935472076</v>
      </c>
      <c r="G12" s="34"/>
      <c r="H12" s="33"/>
      <c r="I12" s="33"/>
      <c r="J12" s="33">
        <f>$C$32*('E Balans VL '!D8+'E Balans VL '!E8)/100/3.6*1000000</f>
        <v>0</v>
      </c>
      <c r="K12" s="33"/>
      <c r="L12" s="33"/>
      <c r="M12" s="33"/>
      <c r="N12" s="33">
        <f>$C$32*'E Balans VL '!Y8/100/3.6*1000000</f>
        <v>728.60111730186725</v>
      </c>
      <c r="O12" s="33"/>
      <c r="P12" s="33"/>
      <c r="R12" s="32"/>
    </row>
    <row r="13" spans="1:18">
      <c r="A13" s="16" t="s">
        <v>491</v>
      </c>
      <c r="B13" s="247">
        <f ca="1">'lokale energieproductie'!N91+'lokale energieproductie'!N60</f>
        <v>2380.5</v>
      </c>
      <c r="C13" s="247">
        <f ca="1">'lokale energieproductie'!O91+'lokale energieproductie'!O60</f>
        <v>3400.7142857142858</v>
      </c>
      <c r="D13" s="310">
        <f ca="1">('lokale energieproductie'!P60+'lokale energieproductie'!P91)*(-1)</f>
        <v>-6801.4285714285716</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88911.267315999998</v>
      </c>
      <c r="C16" s="21">
        <f t="shared" ca="1" si="1"/>
        <v>3400.7142857142858</v>
      </c>
      <c r="D16" s="21">
        <f t="shared" ca="1" si="1"/>
        <v>83160.386538349034</v>
      </c>
      <c r="E16" s="21">
        <f t="shared" si="1"/>
        <v>1316.3750259660278</v>
      </c>
      <c r="F16" s="21">
        <f t="shared" ca="1" si="1"/>
        <v>21507.016828626693</v>
      </c>
      <c r="G16" s="21">
        <f t="shared" si="1"/>
        <v>0</v>
      </c>
      <c r="H16" s="21">
        <f t="shared" si="1"/>
        <v>0</v>
      </c>
      <c r="I16" s="21">
        <f t="shared" si="1"/>
        <v>0</v>
      </c>
      <c r="J16" s="21">
        <f t="shared" si="1"/>
        <v>0</v>
      </c>
      <c r="K16" s="21">
        <f t="shared" si="1"/>
        <v>0</v>
      </c>
      <c r="L16" s="21">
        <f t="shared" ca="1" si="1"/>
        <v>0</v>
      </c>
      <c r="M16" s="21">
        <f t="shared" si="1"/>
        <v>0</v>
      </c>
      <c r="N16" s="21">
        <f t="shared" ca="1" si="1"/>
        <v>12671.318059698009</v>
      </c>
      <c r="O16" s="21">
        <f>O5</f>
        <v>4.6900000000000004</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0.16341591987640061</v>
      </c>
      <c r="C18" s="25">
        <f ca="1">'EF ele_warmte'!B22</f>
        <v>2.5173266743621761E-2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14529.516535820692</v>
      </c>
      <c r="C20" s="23">
        <f t="shared" ref="C20:P20" ca="1" si="2">C16*C18</f>
        <v>85.607087833130862</v>
      </c>
      <c r="D20" s="23">
        <f t="shared" ca="1" si="2"/>
        <v>16798.398080746505</v>
      </c>
      <c r="E20" s="23">
        <f t="shared" si="2"/>
        <v>298.81713089428831</v>
      </c>
      <c r="F20" s="23">
        <f t="shared" ca="1" si="2"/>
        <v>5742.3734932433272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25335.197272000001</v>
      </c>
      <c r="C26" s="39">
        <f>IF(ISERROR(B26*3.6/1000000/'E Balans VL '!Z12*100),0,B26*3.6/1000000/'E Balans VL '!Z12*100)</f>
        <v>0.54269960771458703</v>
      </c>
      <c r="D26" s="237" t="s">
        <v>660</v>
      </c>
      <c r="F26" s="6"/>
    </row>
    <row r="27" spans="1:18">
      <c r="A27" s="231" t="s">
        <v>53</v>
      </c>
      <c r="B27" s="33">
        <f>IF(ISERROR(TER_horeca_ele_kWh/1000),0,TER_horeca_ele_kWh/1000)</f>
        <v>5976.4427306000007</v>
      </c>
      <c r="C27" s="39">
        <f>IF(ISERROR(B27*3.6/1000000/'E Balans VL '!Z9*100),0,B27*3.6/1000000/'E Balans VL '!Z9*100)</f>
        <v>0.47958875522776112</v>
      </c>
      <c r="D27" s="237" t="s">
        <v>660</v>
      </c>
      <c r="F27" s="6"/>
    </row>
    <row r="28" spans="1:18">
      <c r="A28" s="171" t="s">
        <v>52</v>
      </c>
      <c r="B28" s="33">
        <f>IF(ISERROR(TER_handel_ele_kWh/1000),0,TER_handel_ele_kWh/1000)</f>
        <v>19438.167477000003</v>
      </c>
      <c r="C28" s="39">
        <f>IF(ISERROR(B28*3.6/1000000/'E Balans VL '!Z13*100),0,B28*3.6/1000000/'E Balans VL '!Z13*100)</f>
        <v>0.57331444768994189</v>
      </c>
      <c r="D28" s="237" t="s">
        <v>660</v>
      </c>
      <c r="F28" s="6"/>
    </row>
    <row r="29" spans="1:18">
      <c r="A29" s="231" t="s">
        <v>51</v>
      </c>
      <c r="B29" s="33">
        <f>IF(ISERROR(TER_gezond_ele_kWh/1000),0,TER_gezond_ele_kWh/1000)</f>
        <v>10152.729434000001</v>
      </c>
      <c r="C29" s="39">
        <f>IF(ISERROR(B29*3.6/1000000/'E Balans VL '!Z10*100),0,B29*3.6/1000000/'E Balans VL '!Z10*100)</f>
        <v>1.0840392986674756</v>
      </c>
      <c r="D29" s="237" t="s">
        <v>660</v>
      </c>
      <c r="F29" s="6"/>
    </row>
    <row r="30" spans="1:18">
      <c r="A30" s="231" t="s">
        <v>50</v>
      </c>
      <c r="B30" s="33">
        <f>IF(ISERROR(TER_ander_ele_kWh/1000),0,TER_ander_ele_kWh/1000)</f>
        <v>14934.002536</v>
      </c>
      <c r="C30" s="39">
        <f>IF(ISERROR(B30*3.6/1000000/'E Balans VL '!Z14*100),0,B30*3.6/1000000/'E Balans VL '!Z14*100)</f>
        <v>1.1280238550065567</v>
      </c>
      <c r="D30" s="237" t="s">
        <v>660</v>
      </c>
      <c r="F30" s="6"/>
    </row>
    <row r="31" spans="1:18">
      <c r="A31" s="231" t="s">
        <v>55</v>
      </c>
      <c r="B31" s="33">
        <f>IF(ISERROR(TER_onderwijs_ele_kWh/1000),0,TER_onderwijs_ele_kWh/1000)</f>
        <v>2437.3720696</v>
      </c>
      <c r="C31" s="39">
        <f>IF(ISERROR(B31*3.6/1000000/'E Balans VL '!Z11*100),0,B31*3.6/1000000/'E Balans VL '!Z11*100)</f>
        <v>0.49218678661777138</v>
      </c>
      <c r="D31" s="237" t="s">
        <v>660</v>
      </c>
    </row>
    <row r="32" spans="1:18">
      <c r="A32" s="231" t="s">
        <v>260</v>
      </c>
      <c r="B32" s="33">
        <f>IF(ISERROR(TER_rest_ele_kWh/1000),0,TER_rest_ele_kWh/1000)</f>
        <v>8256.8557968000005</v>
      </c>
      <c r="C32" s="39">
        <f>IF(ISERROR(B32*3.6/1000000/'E Balans VL '!Z8*100),0,B32*3.6/1000000/'E Balans VL '!Z8*100)</f>
        <v>6.8460832144224062E-2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6</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103342.33679215999</v>
      </c>
      <c r="C5" s="17">
        <f>IF(ISERROR('Eigen informatie GS &amp; warmtenet'!B59),0,'Eigen informatie GS &amp; warmtenet'!B59)</f>
        <v>0</v>
      </c>
      <c r="D5" s="30">
        <f>SUM(D6:D15)</f>
        <v>120802.58923569189</v>
      </c>
      <c r="E5" s="17">
        <f>SUM(E6:E15)</f>
        <v>3480.3370185271151</v>
      </c>
      <c r="F5" s="17">
        <f>SUM(F6:F15)</f>
        <v>13563.461038286565</v>
      </c>
      <c r="G5" s="18"/>
      <c r="H5" s="17"/>
      <c r="I5" s="17"/>
      <c r="J5" s="17">
        <f>SUM(J6:J15)</f>
        <v>266.9157845616466</v>
      </c>
      <c r="K5" s="17"/>
      <c r="L5" s="17"/>
      <c r="M5" s="17"/>
      <c r="N5" s="17">
        <f>SUM(N6:N15)</f>
        <v>10075.331629806009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34201.238755574006</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1741.8597438000002</v>
      </c>
      <c r="C8" s="33"/>
      <c r="D8" s="37">
        <f>IF( ISERROR(IND_metaal_Gas_kWH/1000),0,IND_metaal_Gas_kWH/1000)*0.902</f>
        <v>243.05795067048001</v>
      </c>
      <c r="E8" s="33">
        <f>C30*'E Balans VL '!I18/100/3.6*1000000</f>
        <v>62.677383064856727</v>
      </c>
      <c r="F8" s="33">
        <f>C30*'E Balans VL '!L18/100/3.6*1000000+C30*'E Balans VL '!N18/100/3.6*1000000</f>
        <v>760.61368509962995</v>
      </c>
      <c r="G8" s="34"/>
      <c r="H8" s="33"/>
      <c r="I8" s="33"/>
      <c r="J8" s="40">
        <f>C30*'E Balans VL '!D18/100/3.6*1000000+C30*'E Balans VL '!E18/100/3.6*1000000</f>
        <v>0</v>
      </c>
      <c r="K8" s="33"/>
      <c r="L8" s="33"/>
      <c r="M8" s="33"/>
      <c r="N8" s="33">
        <f>C30*'E Balans VL '!Y18/100/3.6*1000000</f>
        <v>87.300826640133678</v>
      </c>
      <c r="O8" s="33"/>
      <c r="P8" s="33"/>
      <c r="R8" s="32"/>
    </row>
    <row r="9" spans="1:18">
      <c r="A9" s="6" t="s">
        <v>33</v>
      </c>
      <c r="B9" s="37">
        <f t="shared" si="0"/>
        <v>5718.9270251999997</v>
      </c>
      <c r="C9" s="33"/>
      <c r="D9" s="37">
        <f>IF( ISERROR(IND_andere_gas_kWh/1000),0,IND_andere_gas_kWh/1000)*0.902</f>
        <v>3765.2846375847998</v>
      </c>
      <c r="E9" s="33">
        <f>C31*'E Balans VL '!I19/100/3.6*1000000</f>
        <v>1459.3407824828937</v>
      </c>
      <c r="F9" s="33">
        <f>C31*'E Balans VL '!L19/100/3.6*1000000+C31*'E Balans VL '!N19/100/3.6*1000000</f>
        <v>4923.5663174308047</v>
      </c>
      <c r="G9" s="34"/>
      <c r="H9" s="33"/>
      <c r="I9" s="33"/>
      <c r="J9" s="40">
        <f>C31*'E Balans VL '!D19/100/3.6*1000000+C31*'E Balans VL '!E19/100/3.6*1000000</f>
        <v>0</v>
      </c>
      <c r="K9" s="33"/>
      <c r="L9" s="33"/>
      <c r="M9" s="33"/>
      <c r="N9" s="33">
        <f>C31*'E Balans VL '!Y19/100/3.6*1000000</f>
        <v>1788.5043335760265</v>
      </c>
      <c r="O9" s="33"/>
      <c r="P9" s="33"/>
      <c r="R9" s="32"/>
    </row>
    <row r="10" spans="1:18">
      <c r="A10" s="6" t="s">
        <v>41</v>
      </c>
      <c r="B10" s="37">
        <f t="shared" si="0"/>
        <v>785.76187887999993</v>
      </c>
      <c r="C10" s="33"/>
      <c r="D10" s="37">
        <f>IF( ISERROR(IND_voed_gas_kWh/1000),0,IND_voed_gas_kWh/1000)*0.902</f>
        <v>3846.2358752311993</v>
      </c>
      <c r="E10" s="33">
        <f>C32*'E Balans VL '!I20/100/3.6*1000000</f>
        <v>19.975145900606567</v>
      </c>
      <c r="F10" s="33">
        <f>C32*'E Balans VL '!L20/100/3.6*1000000+C32*'E Balans VL '!N20/100/3.6*1000000</f>
        <v>177.80611788751438</v>
      </c>
      <c r="G10" s="34"/>
      <c r="H10" s="33"/>
      <c r="I10" s="33"/>
      <c r="J10" s="40">
        <f>C32*'E Balans VL '!D20/100/3.6*1000000+C32*'E Balans VL '!E20/100/3.6*1000000</f>
        <v>0</v>
      </c>
      <c r="K10" s="33"/>
      <c r="L10" s="33"/>
      <c r="M10" s="33"/>
      <c r="N10" s="33">
        <f>C32*'E Balans VL '!Y20/100/3.6*1000000</f>
        <v>294.68200349349127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213.64064428</v>
      </c>
      <c r="C12" s="33"/>
      <c r="D12" s="37">
        <f>IF( ISERROR(IND_min_gas_kWh/1000),0,IND_min_gas_kWh/1000)*0.902</f>
        <v>0</v>
      </c>
      <c r="E12" s="33">
        <f>C34*'E Balans VL '!I22/100/3.6*1000000</f>
        <v>4.5393282600212839</v>
      </c>
      <c r="F12" s="33">
        <f>C34*'E Balans VL '!L22/100/3.6*1000000+C34*'E Balans VL '!N22/100/3.6*1000000</f>
        <v>34.857291780920839</v>
      </c>
      <c r="G12" s="34"/>
      <c r="H12" s="33"/>
      <c r="I12" s="33"/>
      <c r="J12" s="40">
        <f>C34*'E Balans VL '!D22/100/3.6*1000000+C34*'E Balans VL '!E22/100/3.6*1000000</f>
        <v>0.24891128764049761</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61989.206527999995</v>
      </c>
      <c r="C14" s="33"/>
      <c r="D14" s="37">
        <f>IF( ISERROR(IND_chemie_gas_kWh/1000),0,IND_chemie_gas_kWh/1000)*0.902</f>
        <v>75054.824264178009</v>
      </c>
      <c r="E14" s="33">
        <f>C36*'E Balans VL '!I24/100/3.6*1000000</f>
        <v>148.60941285861929</v>
      </c>
      <c r="F14" s="33">
        <f>C36*'E Balans VL '!L24/100/3.6*1000000+C36*'E Balans VL '!N24/100/3.6*1000000</f>
        <v>497.47740460786957</v>
      </c>
      <c r="G14" s="34"/>
      <c r="H14" s="33"/>
      <c r="I14" s="33"/>
      <c r="J14" s="40">
        <f>C36*'E Balans VL '!D24/100/3.6*1000000+C36*'E Balans VL '!E24/100/3.6*1000000</f>
        <v>0</v>
      </c>
      <c r="K14" s="33"/>
      <c r="L14" s="33"/>
      <c r="M14" s="33"/>
      <c r="N14" s="33">
        <f>C36*'E Balans VL '!Y24/100/3.6*1000000</f>
        <v>1281.2688411333006</v>
      </c>
      <c r="O14" s="33"/>
      <c r="P14" s="33"/>
      <c r="R14" s="32"/>
    </row>
    <row r="15" spans="1:18">
      <c r="A15" s="6" t="s">
        <v>270</v>
      </c>
      <c r="B15" s="37">
        <f t="shared" si="0"/>
        <v>32892.940971999997</v>
      </c>
      <c r="C15" s="33"/>
      <c r="D15" s="37">
        <f>IF( ISERROR(IND_rest_gas_kWh/1000),0,IND_rest_gas_kWh/1000)*0.902</f>
        <v>3691.9477524534</v>
      </c>
      <c r="E15" s="33">
        <f>C37*'E Balans VL '!I15/100/3.6*1000000</f>
        <v>1785.1949659601178</v>
      </c>
      <c r="F15" s="33">
        <f>C37*'E Balans VL '!L15/100/3.6*1000000+C37*'E Balans VL '!N15/100/3.6*1000000</f>
        <v>7169.1402214798272</v>
      </c>
      <c r="G15" s="34"/>
      <c r="H15" s="33"/>
      <c r="I15" s="33"/>
      <c r="J15" s="40">
        <f>C37*'E Balans VL '!D15/100/3.6*1000000+C37*'E Balans VL '!E15/100/3.6*1000000</f>
        <v>266.66687327400609</v>
      </c>
      <c r="K15" s="33"/>
      <c r="L15" s="33"/>
      <c r="M15" s="33"/>
      <c r="N15" s="33">
        <f>C37*'E Balans VL '!Y15/100/3.6*1000000</f>
        <v>6623.5756249630576</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103342.33679215999</v>
      </c>
      <c r="C18" s="21">
        <f>C5+C16</f>
        <v>0</v>
      </c>
      <c r="D18" s="21">
        <f>MAX((D5+D16),0)</f>
        <v>120802.58923569189</v>
      </c>
      <c r="E18" s="21">
        <f>MAX((E5+E16),0)</f>
        <v>3480.3370185271151</v>
      </c>
      <c r="F18" s="21">
        <f>MAX((F5+F16),0)</f>
        <v>13563.461038286565</v>
      </c>
      <c r="G18" s="21"/>
      <c r="H18" s="21"/>
      <c r="I18" s="21"/>
      <c r="J18" s="21">
        <f>MAX((J5+J16),0)</f>
        <v>266.9157845616466</v>
      </c>
      <c r="K18" s="21"/>
      <c r="L18" s="21">
        <f>MAX((L5+L16),0)</f>
        <v>0</v>
      </c>
      <c r="M18" s="21"/>
      <c r="N18" s="21">
        <f>MAX((N5+N16),0)</f>
        <v>10075.331629806009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0.16341591987640061</v>
      </c>
      <c r="C20" s="25">
        <f ca="1">'EF ele_warmte'!B22</f>
        <v>2.5173266743621761E-2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16887.783029067625</v>
      </c>
      <c r="C22" s="23">
        <f ca="1">C18*C20</f>
        <v>0</v>
      </c>
      <c r="D22" s="23">
        <f>D18*D20</f>
        <v>24402.123025609762</v>
      </c>
      <c r="E22" s="23">
        <f>E18*E20</f>
        <v>790.03650320565521</v>
      </c>
      <c r="F22" s="23">
        <f>F18*F20</f>
        <v>3621.4440972225129</v>
      </c>
      <c r="G22" s="23"/>
      <c r="H22" s="23"/>
      <c r="I22" s="23"/>
      <c r="J22" s="23">
        <f>J18*J20</f>
        <v>94.488187734822887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1741.8597438000002</v>
      </c>
      <c r="C30" s="39">
        <f>IF(ISERROR(B30*3.6/1000000/'E Balans VL '!Z18*100),0,B30*3.6/1000000/'E Balans VL '!Z18*100)</f>
        <v>0.36906273522254718</v>
      </c>
      <c r="D30" s="237" t="s">
        <v>660</v>
      </c>
    </row>
    <row r="31" spans="1:18">
      <c r="A31" s="6" t="s">
        <v>33</v>
      </c>
      <c r="B31" s="37">
        <f>IF( ISERROR(IND_ander_ele_kWh/1000),0,IND_ander_ele_kWh/1000)</f>
        <v>5718.9270251999997</v>
      </c>
      <c r="C31" s="39">
        <f>IF(ISERROR(B31*3.6/1000000/'E Balans VL '!Z19*100),0,B31*3.6/1000000/'E Balans VL '!Z19*100)</f>
        <v>0.24072262425888061</v>
      </c>
      <c r="D31" s="237" t="s">
        <v>660</v>
      </c>
    </row>
    <row r="32" spans="1:18">
      <c r="A32" s="171" t="s">
        <v>41</v>
      </c>
      <c r="B32" s="37">
        <f>IF( ISERROR(IND_voed_ele_kWh/1000),0,IND_voed_ele_kWh/1000)</f>
        <v>785.76187887999993</v>
      </c>
      <c r="C32" s="39">
        <f>IF(ISERROR(B32*3.6/1000000/'E Balans VL '!Z20*100),0,B32*3.6/1000000/'E Balans VL '!Z20*100)</f>
        <v>0.13127041215111934</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213.64064428</v>
      </c>
      <c r="C34" s="39">
        <f>IF(ISERROR(B34*3.6/1000000/'E Balans VL '!Z22*100),0,B34*3.6/1000000/'E Balans VL '!Z22*100)</f>
        <v>2.7080103823081736E-2</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61989.206527999995</v>
      </c>
      <c r="C36" s="39">
        <f>IF(ISERROR(B36*3.6/1000000/'E Balans VL '!Z24*100),0,B36*3.6/1000000/'E Balans VL '!Z24*100)</f>
        <v>2.0134114270398995</v>
      </c>
      <c r="D36" s="237" t="s">
        <v>660</v>
      </c>
    </row>
    <row r="37" spans="1:5">
      <c r="A37" s="171" t="s">
        <v>270</v>
      </c>
      <c r="B37" s="37">
        <f>IF( ISERROR(IND_rest_ele_kWh/1000),0,IND_rest_ele_kWh/1000)</f>
        <v>32892.940971999997</v>
      </c>
      <c r="C37" s="39">
        <f>IF(ISERROR(B37*3.6/1000000/'E Balans VL '!Z15*100),0,B37*3.6/1000000/'E Balans VL '!Z15*100)</f>
        <v>0.26555744919747237</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3803.2512382270002</v>
      </c>
      <c r="C5" s="17">
        <f>'Eigen informatie GS &amp; warmtenet'!B60</f>
        <v>0</v>
      </c>
      <c r="D5" s="30">
        <f>IF(ISERROR(SUM(LB_lb_gas_kWh,LB_rest_gas_kWh)/1000),0,SUM(LB_lb_gas_kWh,LB_rest_gas_kWh)/1000)*0.902</f>
        <v>493.10972444426005</v>
      </c>
      <c r="E5" s="17">
        <f>B17*'E Balans VL '!I25/3.6*1000000/100</f>
        <v>98.071246637418298</v>
      </c>
      <c r="F5" s="17">
        <f>B17*('E Balans VL '!L25/3.6*1000000+'E Balans VL '!N25/3.6*1000000)/100</f>
        <v>13901.607569733875</v>
      </c>
      <c r="G5" s="18"/>
      <c r="H5" s="17"/>
      <c r="I5" s="17"/>
      <c r="J5" s="17">
        <f>('E Balans VL '!D25+'E Balans VL '!E25)/3.6*1000000*landbouw!B17/100</f>
        <v>547.52826940562079</v>
      </c>
      <c r="K5" s="17"/>
      <c r="L5" s="17">
        <f>L6*(-1)</f>
        <v>0</v>
      </c>
      <c r="M5" s="17"/>
      <c r="N5" s="17">
        <f>N6*(-1)</f>
        <v>57407.142857142862</v>
      </c>
      <c r="O5" s="17"/>
      <c r="P5" s="17"/>
      <c r="R5" s="32"/>
    </row>
    <row r="6" spans="1:18">
      <c r="A6" s="16" t="s">
        <v>491</v>
      </c>
      <c r="B6" s="17" t="s">
        <v>211</v>
      </c>
      <c r="C6" s="17">
        <f>'lokale energieproductie'!O92+'lokale energieproductie'!O61</f>
        <v>28703.571428571428</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-57407.142857142862</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3803.2512382270002</v>
      </c>
      <c r="C8" s="21">
        <f>C5+C6</f>
        <v>28703.571428571428</v>
      </c>
      <c r="D8" s="21">
        <f>MAX((D5+D6),0)</f>
        <v>493.10972444426005</v>
      </c>
      <c r="E8" s="21">
        <f>MAX((E5+E6),0)</f>
        <v>98.071246637418298</v>
      </c>
      <c r="F8" s="21">
        <f>MAX((F5+F6),0)</f>
        <v>13901.607569733875</v>
      </c>
      <c r="G8" s="21"/>
      <c r="H8" s="21"/>
      <c r="I8" s="21"/>
      <c r="J8" s="21">
        <f>MAX((J5+J6),0)</f>
        <v>547.52826940562079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0.16341591987640061</v>
      </c>
      <c r="C10" s="31">
        <f ca="1">'EF ele_warmte'!B22</f>
        <v>2.5173266743621761E-2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621.51179961592493</v>
      </c>
      <c r="C12" s="23">
        <f ca="1">C8*C10</f>
        <v>722.56266006602891</v>
      </c>
      <c r="D12" s="23">
        <f>D8*D10</f>
        <v>99.608164337740533</v>
      </c>
      <c r="E12" s="23">
        <f>E8*E10</f>
        <v>22.262172986693955</v>
      </c>
      <c r="F12" s="23">
        <f>F8*F10</f>
        <v>3711.7292211189447</v>
      </c>
      <c r="G12" s="23"/>
      <c r="H12" s="23"/>
      <c r="I12" s="23"/>
      <c r="J12" s="23">
        <f>J8*J10</f>
        <v>193.82500736958974</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0.53628361676132819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944.6699824441431</v>
      </c>
      <c r="C26" s="247">
        <f>B26*'GWP N2O_CH4'!B5</f>
        <v>19838.069631327005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294.90562941197311</v>
      </c>
      <c r="C27" s="247">
        <f>B27*'GWP N2O_CH4'!B5</f>
        <v>6193.0182176514354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19.157001754177848</v>
      </c>
      <c r="C28" s="247">
        <f>B28*'GWP N2O_CH4'!B4</f>
        <v>5938.6705437951332</v>
      </c>
      <c r="D28" s="50"/>
    </row>
    <row r="29" spans="1:4">
      <c r="A29" s="41" t="s">
        <v>277</v>
      </c>
      <c r="B29" s="247">
        <f>B34*'ha_N2O bodem landbouw'!B4</f>
        <v>35.29055498814057</v>
      </c>
      <c r="C29" s="247">
        <f>B29*'GWP N2O_CH4'!B4</f>
        <v>10940.072046323578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7.9422926168757121E-3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3.3588092863293876E-4</v>
      </c>
      <c r="C5" s="463" t="s">
        <v>211</v>
      </c>
      <c r="D5" s="448">
        <f>SUM(D6:D11)</f>
        <v>7.4669990084762824E-4</v>
      </c>
      <c r="E5" s="448">
        <f>SUM(E6:E11)</f>
        <v>3.0239187012523934E-3</v>
      </c>
      <c r="F5" s="461" t="s">
        <v>211</v>
      </c>
      <c r="G5" s="448">
        <f>SUM(G6:G11)</f>
        <v>1.1106621520033269</v>
      </c>
      <c r="H5" s="448">
        <f>SUM(H6:H11)</f>
        <v>0.20249485521862329</v>
      </c>
      <c r="I5" s="463" t="s">
        <v>211</v>
      </c>
      <c r="J5" s="463" t="s">
        <v>211</v>
      </c>
      <c r="K5" s="463" t="s">
        <v>211</v>
      </c>
      <c r="L5" s="463" t="s">
        <v>211</v>
      </c>
      <c r="M5" s="448">
        <f>SUM(M6:M11)</f>
        <v>4.1057977604323996E-2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2.2112533108689661E-4</v>
      </c>
      <c r="C6" s="449"/>
      <c r="D6" s="892">
        <f>vkm_2011_GW_PW*SUMIFS(TableVerdeelsleutelVkm[CNG],TableVerdeelsleutelVkm[Voertuigtype],"Lichte voertuigen")*SUMIFS(TableECFTransport[EnergieConsumptieFactor (PJ per km)],TableECFTransport[Index],CONCATENATE($A6,"_CNG_CNG"))</f>
        <v>4.3937990621914584E-4</v>
      </c>
      <c r="E6" s="892">
        <f>vkm_2011_GW_PW*SUMIFS(TableVerdeelsleutelVkm[LPG],TableVerdeelsleutelVkm[Voertuigtype],"Lichte voertuigen")*SUMIFS(TableECFTransport[EnergieConsumptieFactor (PJ per km)],TableECFTransport[Index],CONCATENATE($A6,"_LPG_LPG"))</f>
        <v>1.7291174368613733E-3</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0.41112479700677335</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0.11895335906576926</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1.6517724824546508E-2</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0.23981014822816457</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7.7468921010329821E-5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7.5560508429013129E-3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4.7711057346987948E-5</v>
      </c>
      <c r="C8" s="449"/>
      <c r="D8" s="451">
        <f>vkm_2011_NGW_PW*SUMIFS(TableVerdeelsleutelVkm[CNG],TableVerdeelsleutelVkm[Voertuigtype],"Lichte voertuigen")*SUMIFS(TableECFTransport[EnergieConsumptieFactor (PJ per km)],TableECFTransport[Index],CONCATENATE($A8,"_CNG_CNG"))</f>
        <v>1.6786101042346626E-4</v>
      </c>
      <c r="E8" s="451">
        <f>vkm_2011_NGW_PW*SUMIFS(TableVerdeelsleutelVkm[LPG],TableVerdeelsleutelVkm[Voertuigtype],"Lichte voertuigen")*SUMIFS(TableECFTransport[EnergieConsumptieFactor (PJ per km)],TableECFTransport[Index],CONCATENATE($A8,"_LPG_LPG"))</f>
        <v>6.1093205239218414E-4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0.13564408955632157</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4.4065973280512302E-2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5.5943041314376182E-3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1.2970915041141805E-2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3.9627245268239678E-6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4.0868686494848643E-4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6.7044540199054221E-5</v>
      </c>
      <c r="C10" s="449"/>
      <c r="D10" s="451">
        <f>vkm_2011_SW_PW*SUMIFS(TableVerdeelsleutelVkm[CNG],TableVerdeelsleutelVkm[Voertuigtype],"Lichte voertuigen")*SUMIFS(TableECFTransport[EnergieConsumptieFactor (PJ per km)],TableECFTransport[Index],CONCATENATE($A10,"_CNG_CNG"))</f>
        <v>1.3945898420501622E-4</v>
      </c>
      <c r="E10" s="451">
        <f>vkm_2011_SW_PW*SUMIFS(TableVerdeelsleutelVkm[LPG],TableVerdeelsleutelVkm[Voertuigtype],"Lichte voertuigen")*SUMIFS(TableECFTransport[EnergieConsumptieFactor (PJ per km)],TableECFTransport[Index],CONCATENATE($A10,"_LPG_LPG"))</f>
        <v>6.8386921199883627E-4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0.14565629022677204</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3.9336502891936534E-2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5.7678241730561445E-3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0.16545591194415354</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5.7588334868047345E-5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5.2133867674339198E-3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93.300257953594098</v>
      </c>
      <c r="C14" s="21"/>
      <c r="D14" s="21">
        <f t="shared" ref="D14:M14" si="0">((D5)*10^9/3600)+D12</f>
        <v>207.41663912434117</v>
      </c>
      <c r="E14" s="21">
        <f t="shared" si="0"/>
        <v>839.97741701455368</v>
      </c>
      <c r="F14" s="21"/>
      <c r="G14" s="21">
        <f t="shared" si="0"/>
        <v>308517.26444536861</v>
      </c>
      <c r="H14" s="21">
        <f t="shared" si="0"/>
        <v>56248.570894062024</v>
      </c>
      <c r="I14" s="21"/>
      <c r="J14" s="21"/>
      <c r="K14" s="21"/>
      <c r="L14" s="21"/>
      <c r="M14" s="21">
        <f t="shared" si="0"/>
        <v>11404.993778978889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0.16341591987640061</v>
      </c>
      <c r="C16" s="56">
        <f ca="1">'EF ele_warmte'!B22</f>
        <v>2.5173266743621761E-2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15.246747478192042</v>
      </c>
      <c r="C18" s="23"/>
      <c r="D18" s="23">
        <f t="shared" ref="D18:M18" si="1">D14*D16</f>
        <v>41.898161103116919</v>
      </c>
      <c r="E18" s="23">
        <f t="shared" si="1"/>
        <v>190.6748736623037</v>
      </c>
      <c r="F18" s="23"/>
      <c r="G18" s="23">
        <f t="shared" si="1"/>
        <v>82374.109606913422</v>
      </c>
      <c r="H18" s="23">
        <f t="shared" si="1"/>
        <v>14005.894152621444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1.294123992221034E-2</v>
      </c>
      <c r="H50" s="321">
        <f t="shared" si="2"/>
        <v>0</v>
      </c>
      <c r="I50" s="321">
        <f t="shared" si="2"/>
        <v>0</v>
      </c>
      <c r="J50" s="321">
        <f t="shared" si="2"/>
        <v>0</v>
      </c>
      <c r="K50" s="321">
        <f t="shared" si="2"/>
        <v>0</v>
      </c>
      <c r="L50" s="321">
        <f t="shared" si="2"/>
        <v>0</v>
      </c>
      <c r="M50" s="321">
        <f t="shared" si="2"/>
        <v>4.0140831047681252E-4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1.294123992221034E-2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4.0140831047681252E-4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3594.7888672806498</v>
      </c>
      <c r="H54" s="21">
        <f t="shared" si="3"/>
        <v>0</v>
      </c>
      <c r="I54" s="21">
        <f t="shared" si="3"/>
        <v>0</v>
      </c>
      <c r="J54" s="21">
        <f t="shared" si="3"/>
        <v>0</v>
      </c>
      <c r="K54" s="21">
        <f t="shared" si="3"/>
        <v>0</v>
      </c>
      <c r="L54" s="21">
        <f t="shared" si="3"/>
        <v>0</v>
      </c>
      <c r="M54" s="21">
        <f t="shared" si="3"/>
        <v>111.50230846578125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0.16341591987640061</v>
      </c>
      <c r="C56" s="56">
        <f ca="1">'EF ele_warmte'!B22</f>
        <v>2.5173266743621761E-2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959.80862756393356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90460.310316000003</v>
      </c>
      <c r="D10" s="1012">
        <f ca="1">tertiair!C16</f>
        <v>3400.7142857142858</v>
      </c>
      <c r="E10" s="1012">
        <f ca="1">tertiair!D16</f>
        <v>83160.386538349034</v>
      </c>
      <c r="F10" s="1012">
        <f>tertiair!E16</f>
        <v>1316.3750259660278</v>
      </c>
      <c r="G10" s="1012">
        <f ca="1">tertiair!F16</f>
        <v>21507.016828626693</v>
      </c>
      <c r="H10" s="1012">
        <f>tertiair!G16</f>
        <v>0</v>
      </c>
      <c r="I10" s="1012">
        <f>tertiair!H16</f>
        <v>0</v>
      </c>
      <c r="J10" s="1012">
        <f>tertiair!I16</f>
        <v>0</v>
      </c>
      <c r="K10" s="1012">
        <f>tertiair!J16</f>
        <v>0</v>
      </c>
      <c r="L10" s="1012">
        <f>tertiair!K16</f>
        <v>0</v>
      </c>
      <c r="M10" s="1012">
        <f ca="1">tertiair!L16</f>
        <v>0</v>
      </c>
      <c r="N10" s="1012">
        <f>tertiair!M16</f>
        <v>0</v>
      </c>
      <c r="O10" s="1012">
        <f ca="1">tertiair!N16</f>
        <v>12671.318059698009</v>
      </c>
      <c r="P10" s="1012">
        <f>tertiair!O16</f>
        <v>4.6900000000000004</v>
      </c>
      <c r="Q10" s="1013">
        <f>tertiair!P16</f>
        <v>114.4</v>
      </c>
      <c r="R10" s="700">
        <f ca="1">SUM(C10:Q10)</f>
        <v>212635.21105435403</v>
      </c>
      <c r="S10" s="67"/>
    </row>
    <row r="11" spans="1:19" s="473" customFormat="1">
      <c r="A11" s="809" t="s">
        <v>225</v>
      </c>
      <c r="B11" s="814"/>
      <c r="C11" s="1012">
        <f>huishoudens!B8</f>
        <v>65110.119914022274</v>
      </c>
      <c r="D11" s="1012">
        <f>huishoudens!C8</f>
        <v>0</v>
      </c>
      <c r="E11" s="1012">
        <f>huishoudens!D8</f>
        <v>145283.43447067431</v>
      </c>
      <c r="F11" s="1012">
        <f>huishoudens!E8</f>
        <v>15003.740008189663</v>
      </c>
      <c r="G11" s="1012">
        <f>huishoudens!F8</f>
        <v>39346.657949052606</v>
      </c>
      <c r="H11" s="1012">
        <f>huishoudens!G8</f>
        <v>0</v>
      </c>
      <c r="I11" s="1012">
        <f>huishoudens!H8</f>
        <v>0</v>
      </c>
      <c r="J11" s="1012">
        <f>huishoudens!I8</f>
        <v>0</v>
      </c>
      <c r="K11" s="1012">
        <f>huishoudens!J8</f>
        <v>0</v>
      </c>
      <c r="L11" s="1012">
        <f>huishoudens!K8</f>
        <v>0</v>
      </c>
      <c r="M11" s="1012">
        <f>huishoudens!L8</f>
        <v>0</v>
      </c>
      <c r="N11" s="1012">
        <f>huishoudens!M8</f>
        <v>0</v>
      </c>
      <c r="O11" s="1012">
        <f>huishoudens!N8</f>
        <v>48156.957948080948</v>
      </c>
      <c r="P11" s="1012">
        <f>huishoudens!O8</f>
        <v>772.28666666666675</v>
      </c>
      <c r="Q11" s="1013">
        <f>huishoudens!P8</f>
        <v>3165.0666666666666</v>
      </c>
      <c r="R11" s="700">
        <f>SUM(C11:Q11)</f>
        <v>316838.26362335315</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103342.33679215999</v>
      </c>
      <c r="D13" s="1012">
        <f>industrie!C18</f>
        <v>0</v>
      </c>
      <c r="E13" s="1012">
        <f>industrie!D18</f>
        <v>120802.58923569189</v>
      </c>
      <c r="F13" s="1012">
        <f>industrie!E18</f>
        <v>3480.3370185271151</v>
      </c>
      <c r="G13" s="1012">
        <f>industrie!F18</f>
        <v>13563.461038286565</v>
      </c>
      <c r="H13" s="1012">
        <f>industrie!G18</f>
        <v>0</v>
      </c>
      <c r="I13" s="1012">
        <f>industrie!H18</f>
        <v>0</v>
      </c>
      <c r="J13" s="1012">
        <f>industrie!I18</f>
        <v>0</v>
      </c>
      <c r="K13" s="1012">
        <f>industrie!J18</f>
        <v>266.9157845616466</v>
      </c>
      <c r="L13" s="1012">
        <f>industrie!K18</f>
        <v>0</v>
      </c>
      <c r="M13" s="1012">
        <f>industrie!L18</f>
        <v>0</v>
      </c>
      <c r="N13" s="1012">
        <f>industrie!M18</f>
        <v>0</v>
      </c>
      <c r="O13" s="1012">
        <f>industrie!N18</f>
        <v>10075.331629806009</v>
      </c>
      <c r="P13" s="1012">
        <f>industrie!O18</f>
        <v>0</v>
      </c>
      <c r="Q13" s="1013">
        <f>industrie!P18</f>
        <v>0</v>
      </c>
      <c r="R13" s="700">
        <f>SUM(C13:Q13)</f>
        <v>251530.97149903321</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258912.76702218229</v>
      </c>
      <c r="D16" s="732">
        <f t="shared" ref="D16:R16" ca="1" si="0">SUM(D9:D15)</f>
        <v>3400.7142857142858</v>
      </c>
      <c r="E16" s="732">
        <f t="shared" ca="1" si="0"/>
        <v>349246.41024471523</v>
      </c>
      <c r="F16" s="732">
        <f t="shared" si="0"/>
        <v>19800.452052682806</v>
      </c>
      <c r="G16" s="732">
        <f t="shared" ca="1" si="0"/>
        <v>74417.135815965856</v>
      </c>
      <c r="H16" s="732">
        <f t="shared" si="0"/>
        <v>0</v>
      </c>
      <c r="I16" s="732">
        <f t="shared" si="0"/>
        <v>0</v>
      </c>
      <c r="J16" s="732">
        <f t="shared" si="0"/>
        <v>0</v>
      </c>
      <c r="K16" s="732">
        <f t="shared" si="0"/>
        <v>266.9157845616466</v>
      </c>
      <c r="L16" s="732">
        <f t="shared" si="0"/>
        <v>0</v>
      </c>
      <c r="M16" s="732">
        <f t="shared" ca="1" si="0"/>
        <v>0</v>
      </c>
      <c r="N16" s="732">
        <f t="shared" si="0"/>
        <v>0</v>
      </c>
      <c r="O16" s="732">
        <f t="shared" ca="1" si="0"/>
        <v>70903.607637584966</v>
      </c>
      <c r="P16" s="732">
        <f t="shared" si="0"/>
        <v>776.9766666666668</v>
      </c>
      <c r="Q16" s="732">
        <f t="shared" si="0"/>
        <v>3279.4666666666667</v>
      </c>
      <c r="R16" s="732">
        <f t="shared" ca="1" si="0"/>
        <v>781004.44617674034</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3594.7888672806498</v>
      </c>
      <c r="I19" s="1012">
        <f>transport!H54</f>
        <v>0</v>
      </c>
      <c r="J19" s="1012">
        <f>transport!I54</f>
        <v>0</v>
      </c>
      <c r="K19" s="1012">
        <f>transport!J54</f>
        <v>0</v>
      </c>
      <c r="L19" s="1012">
        <f>transport!K54</f>
        <v>0</v>
      </c>
      <c r="M19" s="1012">
        <f>transport!L54</f>
        <v>0</v>
      </c>
      <c r="N19" s="1012">
        <f>transport!M54</f>
        <v>111.50230846578125</v>
      </c>
      <c r="O19" s="1012">
        <f>transport!N54</f>
        <v>0</v>
      </c>
      <c r="P19" s="1012">
        <f>transport!O54</f>
        <v>0</v>
      </c>
      <c r="Q19" s="1013">
        <f>transport!P54</f>
        <v>0</v>
      </c>
      <c r="R19" s="700">
        <f>SUM(C19:Q19)</f>
        <v>3706.2911757464312</v>
      </c>
      <c r="S19" s="67"/>
    </row>
    <row r="20" spans="1:19" s="473" customFormat="1">
      <c r="A20" s="809" t="s">
        <v>307</v>
      </c>
      <c r="B20" s="814"/>
      <c r="C20" s="1012">
        <f>transport!B14</f>
        <v>93.300257953594098</v>
      </c>
      <c r="D20" s="1012">
        <f>transport!C14</f>
        <v>0</v>
      </c>
      <c r="E20" s="1012">
        <f>transport!D14</f>
        <v>207.41663912434117</v>
      </c>
      <c r="F20" s="1012">
        <f>transport!E14</f>
        <v>839.97741701455368</v>
      </c>
      <c r="G20" s="1012">
        <f>transport!F14</f>
        <v>0</v>
      </c>
      <c r="H20" s="1012">
        <f>transport!G14</f>
        <v>308517.26444536861</v>
      </c>
      <c r="I20" s="1012">
        <f>transport!H14</f>
        <v>56248.570894062024</v>
      </c>
      <c r="J20" s="1012">
        <f>transport!I14</f>
        <v>0</v>
      </c>
      <c r="K20" s="1012">
        <f>transport!J14</f>
        <v>0</v>
      </c>
      <c r="L20" s="1012">
        <f>transport!K14</f>
        <v>0</v>
      </c>
      <c r="M20" s="1012">
        <f>transport!L14</f>
        <v>0</v>
      </c>
      <c r="N20" s="1012">
        <f>transport!M14</f>
        <v>11404.993778978889</v>
      </c>
      <c r="O20" s="1012">
        <f>transport!N14</f>
        <v>0</v>
      </c>
      <c r="P20" s="1012">
        <f>transport!O14</f>
        <v>0</v>
      </c>
      <c r="Q20" s="1013">
        <f>transport!P14</f>
        <v>0</v>
      </c>
      <c r="R20" s="700">
        <f>SUM(C20:Q20)</f>
        <v>377311.523432502</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93.300257953594098</v>
      </c>
      <c r="D22" s="812">
        <f t="shared" ref="D22:R22" si="1">SUM(D18:D21)</f>
        <v>0</v>
      </c>
      <c r="E22" s="812">
        <f t="shared" si="1"/>
        <v>207.41663912434117</v>
      </c>
      <c r="F22" s="812">
        <f t="shared" si="1"/>
        <v>839.97741701455368</v>
      </c>
      <c r="G22" s="812">
        <f t="shared" si="1"/>
        <v>0</v>
      </c>
      <c r="H22" s="812">
        <f t="shared" si="1"/>
        <v>312112.05331264925</v>
      </c>
      <c r="I22" s="812">
        <f t="shared" si="1"/>
        <v>56248.570894062024</v>
      </c>
      <c r="J22" s="812">
        <f t="shared" si="1"/>
        <v>0</v>
      </c>
      <c r="K22" s="812">
        <f t="shared" si="1"/>
        <v>0</v>
      </c>
      <c r="L22" s="812">
        <f t="shared" si="1"/>
        <v>0</v>
      </c>
      <c r="M22" s="812">
        <f t="shared" si="1"/>
        <v>0</v>
      </c>
      <c r="N22" s="812">
        <f t="shared" si="1"/>
        <v>11516.49608744467</v>
      </c>
      <c r="O22" s="812">
        <f t="shared" si="1"/>
        <v>0</v>
      </c>
      <c r="P22" s="812">
        <f t="shared" si="1"/>
        <v>0</v>
      </c>
      <c r="Q22" s="812">
        <f t="shared" si="1"/>
        <v>0</v>
      </c>
      <c r="R22" s="812">
        <f t="shared" si="1"/>
        <v>381017.81460824842</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3803.2512382270002</v>
      </c>
      <c r="D24" s="1012">
        <f>+landbouw!C8</f>
        <v>28703.571428571428</v>
      </c>
      <c r="E24" s="1012">
        <f>+landbouw!D8</f>
        <v>493.10972444426005</v>
      </c>
      <c r="F24" s="1012">
        <f>+landbouw!E8</f>
        <v>98.071246637418298</v>
      </c>
      <c r="G24" s="1012">
        <f>+landbouw!F8</f>
        <v>13901.607569733875</v>
      </c>
      <c r="H24" s="1012">
        <f>+landbouw!G8</f>
        <v>0</v>
      </c>
      <c r="I24" s="1012">
        <f>+landbouw!H8</f>
        <v>0</v>
      </c>
      <c r="J24" s="1012">
        <f>+landbouw!I8</f>
        <v>0</v>
      </c>
      <c r="K24" s="1012">
        <f>+landbouw!J8</f>
        <v>547.52826940562079</v>
      </c>
      <c r="L24" s="1012">
        <f>+landbouw!K8</f>
        <v>0</v>
      </c>
      <c r="M24" s="1012">
        <f>+landbouw!L8</f>
        <v>0</v>
      </c>
      <c r="N24" s="1012">
        <f>+landbouw!M8</f>
        <v>0</v>
      </c>
      <c r="O24" s="1012">
        <f>+landbouw!N8</f>
        <v>0</v>
      </c>
      <c r="P24" s="1012">
        <f>+landbouw!O8</f>
        <v>0</v>
      </c>
      <c r="Q24" s="1013">
        <f>+landbouw!P8</f>
        <v>0</v>
      </c>
      <c r="R24" s="700">
        <f>SUM(C24:Q24)</f>
        <v>47547.139477019598</v>
      </c>
      <c r="S24" s="67"/>
    </row>
    <row r="25" spans="1:19" s="473" customFormat="1" ht="15" thickBot="1">
      <c r="A25" s="831" t="s">
        <v>848</v>
      </c>
      <c r="B25" s="1015"/>
      <c r="C25" s="1016">
        <f>IF(Onbekend_ele_kWh="---",0,Onbekend_ele_kWh)/1000+IF(REST_rest_ele_kWh="---",0,REST_rest_ele_kWh)/1000</f>
        <v>3912.8477007000001</v>
      </c>
      <c r="D25" s="1016"/>
      <c r="E25" s="1016">
        <f>IF(onbekend_gas_kWh="---",0,onbekend_gas_kWh)/1000+IF(REST_rest_gas_kWh="---",0,REST_rest_gas_kWh)/1000</f>
        <v>6546.2862642</v>
      </c>
      <c r="F25" s="1016"/>
      <c r="G25" s="1016"/>
      <c r="H25" s="1016"/>
      <c r="I25" s="1016"/>
      <c r="J25" s="1016"/>
      <c r="K25" s="1016"/>
      <c r="L25" s="1016"/>
      <c r="M25" s="1016"/>
      <c r="N25" s="1016"/>
      <c r="O25" s="1016"/>
      <c r="P25" s="1016"/>
      <c r="Q25" s="1017"/>
      <c r="R25" s="700">
        <f>SUM(C25:Q25)</f>
        <v>10459.1339649</v>
      </c>
      <c r="S25" s="67"/>
    </row>
    <row r="26" spans="1:19" s="473" customFormat="1" ht="15.75" thickBot="1">
      <c r="A26" s="705" t="s">
        <v>849</v>
      </c>
      <c r="B26" s="817"/>
      <c r="C26" s="812">
        <f>SUM(C24:C25)</f>
        <v>7716.0989389269998</v>
      </c>
      <c r="D26" s="812">
        <f t="shared" ref="D26:R26" si="2">SUM(D24:D25)</f>
        <v>28703.571428571428</v>
      </c>
      <c r="E26" s="812">
        <f t="shared" si="2"/>
        <v>7039.3959886442599</v>
      </c>
      <c r="F26" s="812">
        <f t="shared" si="2"/>
        <v>98.071246637418298</v>
      </c>
      <c r="G26" s="812">
        <f t="shared" si="2"/>
        <v>13901.607569733875</v>
      </c>
      <c r="H26" s="812">
        <f t="shared" si="2"/>
        <v>0</v>
      </c>
      <c r="I26" s="812">
        <f t="shared" si="2"/>
        <v>0</v>
      </c>
      <c r="J26" s="812">
        <f t="shared" si="2"/>
        <v>0</v>
      </c>
      <c r="K26" s="812">
        <f t="shared" si="2"/>
        <v>547.52826940562079</v>
      </c>
      <c r="L26" s="812">
        <f t="shared" si="2"/>
        <v>0</v>
      </c>
      <c r="M26" s="812">
        <f t="shared" si="2"/>
        <v>0</v>
      </c>
      <c r="N26" s="812">
        <f t="shared" si="2"/>
        <v>0</v>
      </c>
      <c r="O26" s="812">
        <f t="shared" si="2"/>
        <v>0</v>
      </c>
      <c r="P26" s="812">
        <f t="shared" si="2"/>
        <v>0</v>
      </c>
      <c r="Q26" s="812">
        <f t="shared" si="2"/>
        <v>0</v>
      </c>
      <c r="R26" s="812">
        <f t="shared" si="2"/>
        <v>58006.273441919599</v>
      </c>
      <c r="S26" s="67"/>
    </row>
    <row r="27" spans="1:19" s="473" customFormat="1" ht="17.25" thickTop="1" thickBot="1">
      <c r="A27" s="706" t="s">
        <v>116</v>
      </c>
      <c r="B27" s="805"/>
      <c r="C27" s="707">
        <f ca="1">C22+C16+C26</f>
        <v>266722.16621906287</v>
      </c>
      <c r="D27" s="707">
        <f t="shared" ref="D27:R27" ca="1" si="3">D22+D16+D26</f>
        <v>32104.285714285714</v>
      </c>
      <c r="E27" s="707">
        <f t="shared" ca="1" si="3"/>
        <v>356493.22287248384</v>
      </c>
      <c r="F27" s="707">
        <f t="shared" si="3"/>
        <v>20738.500716334776</v>
      </c>
      <c r="G27" s="707">
        <f t="shared" ca="1" si="3"/>
        <v>88318.743385699723</v>
      </c>
      <c r="H27" s="707">
        <f t="shared" si="3"/>
        <v>312112.05331264925</v>
      </c>
      <c r="I27" s="707">
        <f t="shared" si="3"/>
        <v>56248.570894062024</v>
      </c>
      <c r="J27" s="707">
        <f t="shared" si="3"/>
        <v>0</v>
      </c>
      <c r="K27" s="707">
        <f t="shared" si="3"/>
        <v>814.44405396726734</v>
      </c>
      <c r="L27" s="707">
        <f t="shared" si="3"/>
        <v>0</v>
      </c>
      <c r="M27" s="707">
        <f t="shared" ca="1" si="3"/>
        <v>0</v>
      </c>
      <c r="N27" s="707">
        <f t="shared" si="3"/>
        <v>11516.49608744467</v>
      </c>
      <c r="O27" s="707">
        <f t="shared" ca="1" si="3"/>
        <v>70903.607637584966</v>
      </c>
      <c r="P27" s="707">
        <f t="shared" si="3"/>
        <v>776.9766666666668</v>
      </c>
      <c r="Q27" s="707">
        <f t="shared" si="3"/>
        <v>3279.4666666666667</v>
      </c>
      <c r="R27" s="707">
        <f t="shared" ca="1" si="3"/>
        <v>1220028.5342269083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14782.654822593791</v>
      </c>
      <c r="D40" s="1012">
        <f ca="1">tertiair!C20</f>
        <v>85.607087833130862</v>
      </c>
      <c r="E40" s="1012">
        <f ca="1">tertiair!D20</f>
        <v>16798.398080746505</v>
      </c>
      <c r="F40" s="1012">
        <f>tertiair!E20</f>
        <v>298.81713089428831</v>
      </c>
      <c r="G40" s="1012">
        <f ca="1">tertiair!F20</f>
        <v>5742.3734932433272</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37707.850615311043</v>
      </c>
    </row>
    <row r="41" spans="1:18">
      <c r="A41" s="822" t="s">
        <v>225</v>
      </c>
      <c r="B41" s="829"/>
      <c r="C41" s="1012">
        <f ca="1">huishoudens!B12</f>
        <v>10640.030139012701</v>
      </c>
      <c r="D41" s="1012">
        <f ca="1">huishoudens!C12</f>
        <v>0</v>
      </c>
      <c r="E41" s="1012">
        <f>huishoudens!D12</f>
        <v>29347.253763076213</v>
      </c>
      <c r="F41" s="1012">
        <f>huishoudens!E12</f>
        <v>3405.8489818590538</v>
      </c>
      <c r="G41" s="1012">
        <f>huishoudens!F12</f>
        <v>10505.557672397046</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53898.690556345013</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16887.783029067625</v>
      </c>
      <c r="D43" s="1012">
        <f ca="1">industrie!C22</f>
        <v>0</v>
      </c>
      <c r="E43" s="1012">
        <f>industrie!D22</f>
        <v>24402.123025609762</v>
      </c>
      <c r="F43" s="1012">
        <f>industrie!E22</f>
        <v>790.03650320565521</v>
      </c>
      <c r="G43" s="1012">
        <f>industrie!F22</f>
        <v>3621.4440972225129</v>
      </c>
      <c r="H43" s="1012">
        <f>industrie!G22</f>
        <v>0</v>
      </c>
      <c r="I43" s="1012">
        <f>industrie!H22</f>
        <v>0</v>
      </c>
      <c r="J43" s="1012">
        <f>industrie!I22</f>
        <v>0</v>
      </c>
      <c r="K43" s="1012">
        <f>industrie!J22</f>
        <v>94.488187734822887</v>
      </c>
      <c r="L43" s="1012">
        <f>industrie!K22</f>
        <v>0</v>
      </c>
      <c r="M43" s="1012">
        <f>industrie!L22</f>
        <v>0</v>
      </c>
      <c r="N43" s="1012">
        <f>industrie!M22</f>
        <v>0</v>
      </c>
      <c r="O43" s="1012">
        <f>industrie!N22</f>
        <v>0</v>
      </c>
      <c r="P43" s="1012">
        <f>industrie!O22</f>
        <v>0</v>
      </c>
      <c r="Q43" s="774">
        <f>industrie!P22</f>
        <v>0</v>
      </c>
      <c r="R43" s="849">
        <f t="shared" ca="1" si="4"/>
        <v>45795.874842840378</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42310.467990674122</v>
      </c>
      <c r="D46" s="732">
        <f t="shared" ref="D46:Q46" ca="1" si="5">SUM(D39:D45)</f>
        <v>85.607087833130862</v>
      </c>
      <c r="E46" s="732">
        <f t="shared" ca="1" si="5"/>
        <v>70547.774869432484</v>
      </c>
      <c r="F46" s="732">
        <f t="shared" si="5"/>
        <v>4494.7026159589968</v>
      </c>
      <c r="G46" s="732">
        <f t="shared" ca="1" si="5"/>
        <v>19869.375262862886</v>
      </c>
      <c r="H46" s="732">
        <f t="shared" si="5"/>
        <v>0</v>
      </c>
      <c r="I46" s="732">
        <f t="shared" si="5"/>
        <v>0</v>
      </c>
      <c r="J46" s="732">
        <f t="shared" si="5"/>
        <v>0</v>
      </c>
      <c r="K46" s="732">
        <f t="shared" si="5"/>
        <v>94.488187734822887</v>
      </c>
      <c r="L46" s="732">
        <f t="shared" si="5"/>
        <v>0</v>
      </c>
      <c r="M46" s="732">
        <f t="shared" ca="1" si="5"/>
        <v>0</v>
      </c>
      <c r="N46" s="732">
        <f t="shared" si="5"/>
        <v>0</v>
      </c>
      <c r="O46" s="732">
        <f t="shared" ca="1" si="5"/>
        <v>0</v>
      </c>
      <c r="P46" s="732">
        <f t="shared" si="5"/>
        <v>0</v>
      </c>
      <c r="Q46" s="732">
        <f t="shared" si="5"/>
        <v>0</v>
      </c>
      <c r="R46" s="732">
        <f ca="1">SUM(R39:R45)</f>
        <v>137402.41601449641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959.80862756393356</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959.80862756393356</v>
      </c>
    </row>
    <row r="50" spans="1:18">
      <c r="A50" s="825" t="s">
        <v>307</v>
      </c>
      <c r="B50" s="835"/>
      <c r="C50" s="703">
        <f ca="1">transport!B18</f>
        <v>15.246747478192042</v>
      </c>
      <c r="D50" s="703">
        <f>transport!C18</f>
        <v>0</v>
      </c>
      <c r="E50" s="703">
        <f>transport!D18</f>
        <v>41.898161103116919</v>
      </c>
      <c r="F50" s="703">
        <f>transport!E18</f>
        <v>190.6748736623037</v>
      </c>
      <c r="G50" s="703">
        <f>transport!F18</f>
        <v>0</v>
      </c>
      <c r="H50" s="703">
        <f>transport!G18</f>
        <v>82374.109606913422</v>
      </c>
      <c r="I50" s="703">
        <f>transport!H18</f>
        <v>14005.894152621444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96627.823541778489</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15.246747478192042</v>
      </c>
      <c r="D52" s="732">
        <f t="shared" ref="D52:Q52" ca="1" si="6">SUM(D48:D51)</f>
        <v>0</v>
      </c>
      <c r="E52" s="732">
        <f t="shared" si="6"/>
        <v>41.898161103116919</v>
      </c>
      <c r="F52" s="732">
        <f t="shared" si="6"/>
        <v>190.6748736623037</v>
      </c>
      <c r="G52" s="732">
        <f t="shared" si="6"/>
        <v>0</v>
      </c>
      <c r="H52" s="732">
        <f t="shared" si="6"/>
        <v>83333.918234477358</v>
      </c>
      <c r="I52" s="732">
        <f t="shared" si="6"/>
        <v>14005.894152621444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97587.632169342425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621.51179961592493</v>
      </c>
      <c r="D54" s="703">
        <f ca="1">+landbouw!C12</f>
        <v>722.56266006602891</v>
      </c>
      <c r="E54" s="703">
        <f>+landbouw!D12</f>
        <v>99.608164337740533</v>
      </c>
      <c r="F54" s="703">
        <f>+landbouw!E12</f>
        <v>22.262172986693955</v>
      </c>
      <c r="G54" s="703">
        <f>+landbouw!F12</f>
        <v>3711.7292211189447</v>
      </c>
      <c r="H54" s="703">
        <f>+landbouw!G12</f>
        <v>0</v>
      </c>
      <c r="I54" s="703">
        <f>+landbouw!H12</f>
        <v>0</v>
      </c>
      <c r="J54" s="703">
        <f>+landbouw!I12</f>
        <v>0</v>
      </c>
      <c r="K54" s="703">
        <f>+landbouw!J12</f>
        <v>193.82500736958974</v>
      </c>
      <c r="L54" s="703">
        <f>+landbouw!K12</f>
        <v>0</v>
      </c>
      <c r="M54" s="703">
        <f>+landbouw!L12</f>
        <v>0</v>
      </c>
      <c r="N54" s="703">
        <f>+landbouw!M12</f>
        <v>0</v>
      </c>
      <c r="O54" s="703">
        <f>+landbouw!N12</f>
        <v>0</v>
      </c>
      <c r="P54" s="703">
        <f>+landbouw!O12</f>
        <v>0</v>
      </c>
      <c r="Q54" s="704">
        <f>+landbouw!P12</f>
        <v>0</v>
      </c>
      <c r="R54" s="731">
        <f ca="1">SUM(C54:Q54)</f>
        <v>5371.4990254949234</v>
      </c>
    </row>
    <row r="55" spans="1:18" ht="15" thickBot="1">
      <c r="A55" s="825" t="s">
        <v>848</v>
      </c>
      <c r="B55" s="835"/>
      <c r="C55" s="703">
        <f ca="1">C25*'EF ele_warmte'!B12</f>
        <v>639.42160634614959</v>
      </c>
      <c r="D55" s="703"/>
      <c r="E55" s="703">
        <f>E25*EF_CO2_aardgas</f>
        <v>1322.3498253684002</v>
      </c>
      <c r="F55" s="703"/>
      <c r="G55" s="703"/>
      <c r="H55" s="703"/>
      <c r="I55" s="703"/>
      <c r="J55" s="703"/>
      <c r="K55" s="703"/>
      <c r="L55" s="703"/>
      <c r="M55" s="703"/>
      <c r="N55" s="703"/>
      <c r="O55" s="703"/>
      <c r="P55" s="703"/>
      <c r="Q55" s="704"/>
      <c r="R55" s="731">
        <f ca="1">SUM(C55:Q55)</f>
        <v>1961.7714317145496</v>
      </c>
    </row>
    <row r="56" spans="1:18" ht="15.75" thickBot="1">
      <c r="A56" s="823" t="s">
        <v>849</v>
      </c>
      <c r="B56" s="836"/>
      <c r="C56" s="732">
        <f ca="1">SUM(C54:C55)</f>
        <v>1260.9334059620746</v>
      </c>
      <c r="D56" s="732">
        <f t="shared" ref="D56:Q56" ca="1" si="7">SUM(D54:D55)</f>
        <v>722.56266006602891</v>
      </c>
      <c r="E56" s="732">
        <f t="shared" si="7"/>
        <v>1421.9579897061408</v>
      </c>
      <c r="F56" s="732">
        <f t="shared" si="7"/>
        <v>22.262172986693955</v>
      </c>
      <c r="G56" s="732">
        <f t="shared" si="7"/>
        <v>3711.7292211189447</v>
      </c>
      <c r="H56" s="732">
        <f t="shared" si="7"/>
        <v>0</v>
      </c>
      <c r="I56" s="732">
        <f t="shared" si="7"/>
        <v>0</v>
      </c>
      <c r="J56" s="732">
        <f t="shared" si="7"/>
        <v>0</v>
      </c>
      <c r="K56" s="732">
        <f t="shared" si="7"/>
        <v>193.82500736958974</v>
      </c>
      <c r="L56" s="732">
        <f t="shared" si="7"/>
        <v>0</v>
      </c>
      <c r="M56" s="732">
        <f t="shared" si="7"/>
        <v>0</v>
      </c>
      <c r="N56" s="732">
        <f t="shared" si="7"/>
        <v>0</v>
      </c>
      <c r="O56" s="732">
        <f t="shared" si="7"/>
        <v>0</v>
      </c>
      <c r="P56" s="732">
        <f t="shared" si="7"/>
        <v>0</v>
      </c>
      <c r="Q56" s="733">
        <f t="shared" si="7"/>
        <v>0</v>
      </c>
      <c r="R56" s="734">
        <f ca="1">SUM(R54:R55)</f>
        <v>7333.2704572094735</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43586.648144114391</v>
      </c>
      <c r="D61" s="740">
        <f t="shared" ref="D61:Q61" ca="1" si="8">D46+D52+D56</f>
        <v>808.1697478991598</v>
      </c>
      <c r="E61" s="740">
        <f t="shared" ca="1" si="8"/>
        <v>72011.631020241737</v>
      </c>
      <c r="F61" s="740">
        <f t="shared" si="8"/>
        <v>4707.639662607995</v>
      </c>
      <c r="G61" s="740">
        <f t="shared" ca="1" si="8"/>
        <v>23581.104483981831</v>
      </c>
      <c r="H61" s="740">
        <f t="shared" si="8"/>
        <v>83333.918234477358</v>
      </c>
      <c r="I61" s="740">
        <f t="shared" si="8"/>
        <v>14005.894152621444</v>
      </c>
      <c r="J61" s="740">
        <f t="shared" si="8"/>
        <v>0</v>
      </c>
      <c r="K61" s="740">
        <f t="shared" si="8"/>
        <v>288.31319510441261</v>
      </c>
      <c r="L61" s="740">
        <f t="shared" si="8"/>
        <v>0</v>
      </c>
      <c r="M61" s="740">
        <f t="shared" ca="1" si="8"/>
        <v>0</v>
      </c>
      <c r="N61" s="740">
        <f t="shared" si="8"/>
        <v>0</v>
      </c>
      <c r="O61" s="740">
        <f t="shared" ca="1" si="8"/>
        <v>0</v>
      </c>
      <c r="P61" s="740">
        <f t="shared" si="8"/>
        <v>0</v>
      </c>
      <c r="Q61" s="740">
        <f t="shared" si="8"/>
        <v>0</v>
      </c>
      <c r="R61" s="740">
        <f ca="1">R46+R52+R56</f>
        <v>242323.3186410483</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0.16341591987640064</v>
      </c>
      <c r="D63" s="781">
        <f t="shared" ca="1" si="9"/>
        <v>2.5173266743621761E-2</v>
      </c>
      <c r="E63" s="1023">
        <f t="shared" ca="1" si="9"/>
        <v>0.20200000000000001</v>
      </c>
      <c r="F63" s="781">
        <f t="shared" si="9"/>
        <v>0.22700000000000004</v>
      </c>
      <c r="G63" s="781">
        <f t="shared" ca="1" si="9"/>
        <v>0.26700000000000007</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26810.539684339295</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22773.787980040441</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20092.5</v>
      </c>
      <c r="C76" s="750">
        <f>'lokale energieproductie'!B8*IFERROR(SUM(D76:H76)/SUM(D76:O76),0)</f>
        <v>2380.5</v>
      </c>
      <c r="D76" s="1033">
        <f>'lokale energieproductie'!C8</f>
        <v>2800.588235294118</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23638.23529411765</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565.71882352941191</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69676.827664379729</v>
      </c>
      <c r="C78" s="755">
        <f>SUM(C72:C77)</f>
        <v>2380.5</v>
      </c>
      <c r="D78" s="756">
        <f t="shared" ref="D78:H78" si="10">SUM(D76:D77)</f>
        <v>2800.588235294118</v>
      </c>
      <c r="E78" s="756">
        <f t="shared" si="10"/>
        <v>0</v>
      </c>
      <c r="F78" s="756">
        <f t="shared" si="10"/>
        <v>0</v>
      </c>
      <c r="G78" s="756">
        <f t="shared" si="10"/>
        <v>0</v>
      </c>
      <c r="H78" s="756">
        <f t="shared" si="10"/>
        <v>0</v>
      </c>
      <c r="I78" s="756">
        <f>SUM(I76:I77)</f>
        <v>0</v>
      </c>
      <c r="J78" s="756">
        <f>SUM(J76:J77)</f>
        <v>23638.23529411765</v>
      </c>
      <c r="K78" s="756">
        <f t="shared" ref="K78:L78" si="11">SUM(K76:K77)</f>
        <v>0</v>
      </c>
      <c r="L78" s="756">
        <f t="shared" si="11"/>
        <v>0</v>
      </c>
      <c r="M78" s="756">
        <f>SUM(M76:M77)</f>
        <v>0</v>
      </c>
      <c r="N78" s="756">
        <f>SUM(N76:N77)</f>
        <v>0</v>
      </c>
      <c r="O78" s="860">
        <f>SUM(O76:O77)</f>
        <v>0</v>
      </c>
      <c r="P78" s="757">
        <v>0</v>
      </c>
      <c r="Q78" s="757">
        <f>SUM(Q76:Q77)</f>
        <v>565.71882352941191</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28703.571428571428</v>
      </c>
      <c r="C87" s="766">
        <f>'lokale energieproductie'!B17*IFERROR(SUM(D87:H87)/SUM(D87:O87),0)</f>
        <v>3400.7142857142858</v>
      </c>
      <c r="D87" s="777">
        <f>'lokale energieproductie'!C17</f>
        <v>4000.840336134454</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33768.907563025212</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808.1697478991598</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28703.571428571428</v>
      </c>
      <c r="C90" s="755">
        <f>SUM(C87:C89)</f>
        <v>3400.7142857142858</v>
      </c>
      <c r="D90" s="755">
        <f t="shared" ref="D90:H90" si="12">SUM(D87:D89)</f>
        <v>4000.840336134454</v>
      </c>
      <c r="E90" s="755">
        <f t="shared" si="12"/>
        <v>0</v>
      </c>
      <c r="F90" s="755">
        <f t="shared" si="12"/>
        <v>0</v>
      </c>
      <c r="G90" s="755">
        <f t="shared" si="12"/>
        <v>0</v>
      </c>
      <c r="H90" s="755">
        <f t="shared" si="12"/>
        <v>0</v>
      </c>
      <c r="I90" s="755">
        <f>SUM(I87:I89)</f>
        <v>0</v>
      </c>
      <c r="J90" s="755">
        <f>SUM(J87:J89)</f>
        <v>33768.907563025212</v>
      </c>
      <c r="K90" s="755">
        <f t="shared" ref="K90:L90" si="13">SUM(K87:K89)</f>
        <v>0</v>
      </c>
      <c r="L90" s="755">
        <f t="shared" si="13"/>
        <v>0</v>
      </c>
      <c r="M90" s="755">
        <f>SUM(M87:M89)</f>
        <v>0</v>
      </c>
      <c r="N90" s="755">
        <f>SUM(N87:N89)</f>
        <v>0</v>
      </c>
      <c r="O90" s="755">
        <f>SUM(O87:O89)</f>
        <v>0</v>
      </c>
      <c r="P90" s="755">
        <v>0</v>
      </c>
      <c r="Q90" s="755">
        <f>SUM(Q87:Q89)</f>
        <v>808.1697478991598</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26810.539684339295</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22773.787980040441</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22473</v>
      </c>
      <c r="C8" s="570">
        <f>B101</f>
        <v>2800.588235294118</v>
      </c>
      <c r="D8" s="1043"/>
      <c r="E8" s="1043">
        <f>E101</f>
        <v>0</v>
      </c>
      <c r="F8" s="1044"/>
      <c r="G8" s="571"/>
      <c r="H8" s="1043">
        <f>I101</f>
        <v>0</v>
      </c>
      <c r="I8" s="1043">
        <f>G101+F101</f>
        <v>0</v>
      </c>
      <c r="J8" s="1043">
        <f>H101+D101+C101</f>
        <v>23638.23529411765</v>
      </c>
      <c r="K8" s="1043"/>
      <c r="L8" s="1043"/>
      <c r="M8" s="1043"/>
      <c r="N8" s="572"/>
      <c r="O8" s="573">
        <f>C8*$C$12+D8*$D$12+E8*$E$12+F8*$F$12+G8*$G$12+H8*$H$12+I8*$I$12+J8*$J$12</f>
        <v>565.71882352941191</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72057.327664379729</v>
      </c>
      <c r="C10" s="583">
        <f t="shared" ref="C10:L10" si="0">SUM(C8:C9)</f>
        <v>2800.588235294118</v>
      </c>
      <c r="D10" s="583">
        <f t="shared" si="0"/>
        <v>0</v>
      </c>
      <c r="E10" s="583">
        <f t="shared" si="0"/>
        <v>0</v>
      </c>
      <c r="F10" s="583">
        <f t="shared" si="0"/>
        <v>0</v>
      </c>
      <c r="G10" s="583">
        <f t="shared" si="0"/>
        <v>0</v>
      </c>
      <c r="H10" s="583">
        <f t="shared" si="0"/>
        <v>0</v>
      </c>
      <c r="I10" s="583">
        <f t="shared" si="0"/>
        <v>0</v>
      </c>
      <c r="J10" s="583">
        <f t="shared" si="0"/>
        <v>23638.23529411765</v>
      </c>
      <c r="K10" s="583">
        <f t="shared" si="0"/>
        <v>0</v>
      </c>
      <c r="L10" s="583">
        <f t="shared" si="0"/>
        <v>0</v>
      </c>
      <c r="M10" s="1046"/>
      <c r="N10" s="1046"/>
      <c r="O10" s="584">
        <f>SUM(O4:O9)</f>
        <v>565.71882352941191</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32104.285714285714</v>
      </c>
      <c r="C17" s="595">
        <f>B102</f>
        <v>4000.840336134454</v>
      </c>
      <c r="D17" s="596"/>
      <c r="E17" s="596">
        <f>E102</f>
        <v>0</v>
      </c>
      <c r="F17" s="1049"/>
      <c r="G17" s="597"/>
      <c r="H17" s="595">
        <f>I102</f>
        <v>0</v>
      </c>
      <c r="I17" s="596">
        <f>G102+F102</f>
        <v>0</v>
      </c>
      <c r="J17" s="596">
        <f>H102+D102+C102</f>
        <v>33768.907563025212</v>
      </c>
      <c r="K17" s="596"/>
      <c r="L17" s="596"/>
      <c r="M17" s="596"/>
      <c r="N17" s="1050"/>
      <c r="O17" s="598">
        <f>C17*$C$22+E17*$E$22+H17*$H$22+I17*$I$22+J17*$J$22+D17*$D$22+F17*$F$22+G17*$G$22+K17*$K$22+L17*$L$22</f>
        <v>808.1697478991598</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32104.285714285714</v>
      </c>
      <c r="C20" s="582">
        <f>SUM(C17:C19)</f>
        <v>4000.840336134454</v>
      </c>
      <c r="D20" s="582">
        <f t="shared" ref="D20:L20" si="1">SUM(D17:D19)</f>
        <v>0</v>
      </c>
      <c r="E20" s="582">
        <f t="shared" si="1"/>
        <v>0</v>
      </c>
      <c r="F20" s="582">
        <f t="shared" si="1"/>
        <v>0</v>
      </c>
      <c r="G20" s="582">
        <f t="shared" si="1"/>
        <v>0</v>
      </c>
      <c r="H20" s="582">
        <f t="shared" si="1"/>
        <v>0</v>
      </c>
      <c r="I20" s="582">
        <f t="shared" si="1"/>
        <v>0</v>
      </c>
      <c r="J20" s="582">
        <f t="shared" si="1"/>
        <v>33768.907563025212</v>
      </c>
      <c r="K20" s="582">
        <f t="shared" si="1"/>
        <v>0</v>
      </c>
      <c r="L20" s="582">
        <f t="shared" si="1"/>
        <v>0</v>
      </c>
      <c r="M20" s="582"/>
      <c r="N20" s="582"/>
      <c r="O20" s="601">
        <f>SUM(O17:O19)</f>
        <v>808.1697478991598</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13008</v>
      </c>
      <c r="C28" s="796">
        <v>2440</v>
      </c>
      <c r="D28" s="653" t="s">
        <v>890</v>
      </c>
      <c r="E28" s="652" t="s">
        <v>891</v>
      </c>
      <c r="F28" s="652" t="s">
        <v>892</v>
      </c>
      <c r="G28" s="652" t="s">
        <v>893</v>
      </c>
      <c r="H28" s="652" t="s">
        <v>894</v>
      </c>
      <c r="I28" s="652" t="s">
        <v>891</v>
      </c>
      <c r="J28" s="795">
        <v>41249</v>
      </c>
      <c r="K28" s="795">
        <v>41249</v>
      </c>
      <c r="L28" s="652" t="s">
        <v>895</v>
      </c>
      <c r="M28" s="652">
        <v>4465</v>
      </c>
      <c r="N28" s="652">
        <v>20092.5</v>
      </c>
      <c r="O28" s="652">
        <v>28703.571428571428</v>
      </c>
      <c r="P28" s="652">
        <v>0</v>
      </c>
      <c r="Q28" s="652">
        <v>57407.142857142862</v>
      </c>
      <c r="R28" s="652">
        <v>0</v>
      </c>
      <c r="S28" s="652">
        <v>0</v>
      </c>
      <c r="T28" s="652">
        <v>0</v>
      </c>
      <c r="U28" s="652">
        <v>0</v>
      </c>
      <c r="V28" s="652">
        <v>0</v>
      </c>
      <c r="W28" s="652">
        <v>0</v>
      </c>
      <c r="X28" s="652">
        <v>10</v>
      </c>
      <c r="Y28" s="652" t="s">
        <v>112</v>
      </c>
      <c r="Z28" s="654" t="s">
        <v>112</v>
      </c>
    </row>
    <row r="29" spans="1:26" s="606" customFormat="1" ht="51">
      <c r="A29" s="605"/>
      <c r="B29" s="796">
        <v>13008</v>
      </c>
      <c r="C29" s="796">
        <v>2440</v>
      </c>
      <c r="D29" s="653" t="s">
        <v>896</v>
      </c>
      <c r="E29" s="652" t="s">
        <v>897</v>
      </c>
      <c r="F29" s="652" t="s">
        <v>898</v>
      </c>
      <c r="G29" s="652" t="s">
        <v>893</v>
      </c>
      <c r="H29" s="652" t="s">
        <v>894</v>
      </c>
      <c r="I29" s="652" t="s">
        <v>897</v>
      </c>
      <c r="J29" s="795">
        <v>41263</v>
      </c>
      <c r="K29" s="795">
        <v>41985</v>
      </c>
      <c r="L29" s="652" t="s">
        <v>895</v>
      </c>
      <c r="M29" s="652">
        <v>509</v>
      </c>
      <c r="N29" s="652">
        <v>2290.5</v>
      </c>
      <c r="O29" s="652">
        <v>3272.1428571428573</v>
      </c>
      <c r="P29" s="652">
        <v>6544.2857142857147</v>
      </c>
      <c r="Q29" s="652">
        <v>0</v>
      </c>
      <c r="R29" s="652">
        <v>0</v>
      </c>
      <c r="S29" s="652">
        <v>0</v>
      </c>
      <c r="T29" s="652">
        <v>0</v>
      </c>
      <c r="U29" s="652">
        <v>0</v>
      </c>
      <c r="V29" s="652">
        <v>0</v>
      </c>
      <c r="W29" s="652">
        <v>0</v>
      </c>
      <c r="X29" s="652">
        <v>1500</v>
      </c>
      <c r="Y29" s="652" t="s">
        <v>51</v>
      </c>
      <c r="Z29" s="654" t="s">
        <v>156</v>
      </c>
    </row>
    <row r="30" spans="1:26" s="606" customFormat="1" ht="63.75">
      <c r="A30" s="605"/>
      <c r="B30" s="796">
        <v>13008</v>
      </c>
      <c r="C30" s="796">
        <v>2440</v>
      </c>
      <c r="D30" s="653"/>
      <c r="E30" s="652"/>
      <c r="F30" s="652" t="s">
        <v>899</v>
      </c>
      <c r="G30" s="652" t="s">
        <v>893</v>
      </c>
      <c r="H30" s="652" t="s">
        <v>894</v>
      </c>
      <c r="I30" s="652" t="s">
        <v>900</v>
      </c>
      <c r="J30" s="795">
        <v>41704</v>
      </c>
      <c r="K30" s="795">
        <v>41597</v>
      </c>
      <c r="L30" s="652" t="s">
        <v>895</v>
      </c>
      <c r="M30" s="652">
        <v>20</v>
      </c>
      <c r="N30" s="652">
        <v>90</v>
      </c>
      <c r="O30" s="652">
        <v>128.57142857142858</v>
      </c>
      <c r="P30" s="652">
        <v>257.14285714285717</v>
      </c>
      <c r="Q30" s="652">
        <v>0</v>
      </c>
      <c r="R30" s="652">
        <v>0</v>
      </c>
      <c r="S30" s="652">
        <v>0</v>
      </c>
      <c r="T30" s="652">
        <v>0</v>
      </c>
      <c r="U30" s="652">
        <v>0</v>
      </c>
      <c r="V30" s="652">
        <v>0</v>
      </c>
      <c r="W30" s="652">
        <v>0</v>
      </c>
      <c r="X30" s="652">
        <v>1600</v>
      </c>
      <c r="Y30" s="652" t="s">
        <v>50</v>
      </c>
      <c r="Z30" s="654" t="s">
        <v>156</v>
      </c>
    </row>
    <row r="31" spans="1:26" s="606" customFormat="1" ht="25.5">
      <c r="A31" s="605"/>
      <c r="B31" s="796">
        <v>13008</v>
      </c>
      <c r="C31" s="796">
        <v>2440</v>
      </c>
      <c r="D31" s="653"/>
      <c r="E31" s="652"/>
      <c r="F31" s="652" t="s">
        <v>901</v>
      </c>
      <c r="G31" s="652" t="s">
        <v>902</v>
      </c>
      <c r="H31" s="652" t="s">
        <v>902</v>
      </c>
      <c r="I31" s="652" t="s">
        <v>903</v>
      </c>
      <c r="J31" s="795">
        <v>42365</v>
      </c>
      <c r="K31" s="795">
        <v>42365</v>
      </c>
      <c r="L31" s="652" t="s">
        <v>895</v>
      </c>
      <c r="M31" s="652">
        <v>1.7</v>
      </c>
      <c r="N31" s="652">
        <v>0</v>
      </c>
      <c r="O31" s="652">
        <v>0</v>
      </c>
      <c r="P31" s="652">
        <v>0</v>
      </c>
      <c r="Q31" s="652">
        <v>0</v>
      </c>
      <c r="R31" s="652">
        <v>0</v>
      </c>
      <c r="S31" s="652">
        <v>0</v>
      </c>
      <c r="T31" s="652">
        <v>0</v>
      </c>
      <c r="U31" s="652">
        <v>0</v>
      </c>
      <c r="V31" s="652">
        <v>0</v>
      </c>
      <c r="W31" s="652">
        <v>0</v>
      </c>
      <c r="X31" s="652">
        <v>10</v>
      </c>
      <c r="Y31" s="652" t="s">
        <v>112</v>
      </c>
      <c r="Z31" s="654" t="s">
        <v>112</v>
      </c>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4995.7</v>
      </c>
      <c r="N58" s="610">
        <f>SUM(N28:N57)</f>
        <v>22473</v>
      </c>
      <c r="O58" s="610">
        <f t="shared" ref="O58:W58" si="2">SUM(O28:O57)</f>
        <v>32104.285714285714</v>
      </c>
      <c r="P58" s="610">
        <f t="shared" si="2"/>
        <v>6801.4285714285716</v>
      </c>
      <c r="Q58" s="610">
        <f t="shared" si="2"/>
        <v>57407.142857142862</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529</v>
      </c>
      <c r="N60" s="610">
        <f ca="1">SUMIF($Z$28:AD57,"tertiair",N28:N57)</f>
        <v>2380.5</v>
      </c>
      <c r="O60" s="610">
        <f ca="1">SUMIF($Z$28:AE57,"tertiair",O28:O57)</f>
        <v>3400.7142857142858</v>
      </c>
      <c r="P60" s="610">
        <f ca="1">SUMIF($Z$28:AF57,"tertiair",P28:P57)</f>
        <v>6801.4285714285716</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4466.7</v>
      </c>
      <c r="N61" s="615">
        <f t="shared" si="4"/>
        <v>20092.5</v>
      </c>
      <c r="O61" s="615">
        <f t="shared" si="4"/>
        <v>28703.571428571428</v>
      </c>
      <c r="P61" s="615">
        <f t="shared" si="4"/>
        <v>0</v>
      </c>
      <c r="Q61" s="615">
        <f t="shared" si="4"/>
        <v>57407.142857142862</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2800.588235294118</v>
      </c>
      <c r="C101" s="644">
        <f t="shared" si="9"/>
        <v>23638.23529411765</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4000.840336134454</v>
      </c>
      <c r="C102" s="647">
        <f t="shared" si="10"/>
        <v>33768.907563025212</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65110.119914022274</v>
      </c>
      <c r="C4" s="477">
        <f>huishoudens!C8</f>
        <v>0</v>
      </c>
      <c r="D4" s="477">
        <f>huishoudens!D8</f>
        <v>145283.43447067431</v>
      </c>
      <c r="E4" s="477">
        <f>huishoudens!E8</f>
        <v>15003.740008189663</v>
      </c>
      <c r="F4" s="477">
        <f>huishoudens!F8</f>
        <v>39346.657949052606</v>
      </c>
      <c r="G4" s="477">
        <f>huishoudens!G8</f>
        <v>0</v>
      </c>
      <c r="H4" s="477">
        <f>huishoudens!H8</f>
        <v>0</v>
      </c>
      <c r="I4" s="477">
        <f>huishoudens!I8</f>
        <v>0</v>
      </c>
      <c r="J4" s="477">
        <f>huishoudens!J8</f>
        <v>0</v>
      </c>
      <c r="K4" s="477">
        <f>huishoudens!K8</f>
        <v>0</v>
      </c>
      <c r="L4" s="477">
        <f>huishoudens!L8</f>
        <v>0</v>
      </c>
      <c r="M4" s="477">
        <f>huishoudens!M8</f>
        <v>0</v>
      </c>
      <c r="N4" s="477">
        <f>huishoudens!N8</f>
        <v>48156.957948080948</v>
      </c>
      <c r="O4" s="477">
        <f>huishoudens!O8</f>
        <v>772.28666666666675</v>
      </c>
      <c r="P4" s="478">
        <f>huishoudens!P8</f>
        <v>3165.0666666666666</v>
      </c>
      <c r="Q4" s="479">
        <f>SUM(B4:P4)</f>
        <v>316838.26362335315</v>
      </c>
    </row>
    <row r="5" spans="1:17">
      <c r="A5" s="476" t="s">
        <v>156</v>
      </c>
      <c r="B5" s="477">
        <f ca="1">tertiair!B16</f>
        <v>88911.267315999998</v>
      </c>
      <c r="C5" s="477">
        <f ca="1">tertiair!C16</f>
        <v>3400.7142857142858</v>
      </c>
      <c r="D5" s="477">
        <f ca="1">tertiair!D16</f>
        <v>83160.386538349034</v>
      </c>
      <c r="E5" s="477">
        <f>tertiair!E16</f>
        <v>1316.3750259660278</v>
      </c>
      <c r="F5" s="477">
        <f ca="1">tertiair!F16</f>
        <v>21507.016828626693</v>
      </c>
      <c r="G5" s="477">
        <f>tertiair!G16</f>
        <v>0</v>
      </c>
      <c r="H5" s="477">
        <f>tertiair!H16</f>
        <v>0</v>
      </c>
      <c r="I5" s="477">
        <f>tertiair!I16</f>
        <v>0</v>
      </c>
      <c r="J5" s="477">
        <f>tertiair!J16</f>
        <v>0</v>
      </c>
      <c r="K5" s="477">
        <f>tertiair!K16</f>
        <v>0</v>
      </c>
      <c r="L5" s="477">
        <f ca="1">tertiair!L16</f>
        <v>0</v>
      </c>
      <c r="M5" s="477">
        <f>tertiair!M16</f>
        <v>0</v>
      </c>
      <c r="N5" s="477">
        <f ca="1">tertiair!N16</f>
        <v>12671.318059698009</v>
      </c>
      <c r="O5" s="477">
        <f>tertiair!O16</f>
        <v>4.6900000000000004</v>
      </c>
      <c r="P5" s="478">
        <f>tertiair!P16</f>
        <v>114.4</v>
      </c>
      <c r="Q5" s="476">
        <f t="shared" ref="Q5:Q14" ca="1" si="0">SUM(B5:P5)</f>
        <v>211086.16805435403</v>
      </c>
    </row>
    <row r="6" spans="1:17">
      <c r="A6" s="476" t="s">
        <v>194</v>
      </c>
      <c r="B6" s="477">
        <f>'openbare verlichting'!B8</f>
        <v>1549.0429999999999</v>
      </c>
      <c r="C6" s="477"/>
      <c r="D6" s="477"/>
      <c r="E6" s="477"/>
      <c r="F6" s="477"/>
      <c r="G6" s="477"/>
      <c r="H6" s="477"/>
      <c r="I6" s="477"/>
      <c r="J6" s="477"/>
      <c r="K6" s="477"/>
      <c r="L6" s="477"/>
      <c r="M6" s="477"/>
      <c r="N6" s="477"/>
      <c r="O6" s="477"/>
      <c r="P6" s="478"/>
      <c r="Q6" s="476">
        <f t="shared" si="0"/>
        <v>1549.0429999999999</v>
      </c>
    </row>
    <row r="7" spans="1:17">
      <c r="A7" s="476" t="s">
        <v>112</v>
      </c>
      <c r="B7" s="477">
        <f>landbouw!B8</f>
        <v>3803.2512382270002</v>
      </c>
      <c r="C7" s="477">
        <f>landbouw!C8</f>
        <v>28703.571428571428</v>
      </c>
      <c r="D7" s="477">
        <f>landbouw!D8</f>
        <v>493.10972444426005</v>
      </c>
      <c r="E7" s="477">
        <f>landbouw!E8</f>
        <v>98.071246637418298</v>
      </c>
      <c r="F7" s="477">
        <f>landbouw!F8</f>
        <v>13901.607569733875</v>
      </c>
      <c r="G7" s="477">
        <f>landbouw!G8</f>
        <v>0</v>
      </c>
      <c r="H7" s="477">
        <f>landbouw!H8</f>
        <v>0</v>
      </c>
      <c r="I7" s="477">
        <f>landbouw!I8</f>
        <v>0</v>
      </c>
      <c r="J7" s="477">
        <f>landbouw!J8</f>
        <v>547.52826940562079</v>
      </c>
      <c r="K7" s="477">
        <f>landbouw!K8</f>
        <v>0</v>
      </c>
      <c r="L7" s="477">
        <f>landbouw!L8</f>
        <v>0</v>
      </c>
      <c r="M7" s="477">
        <f>landbouw!M8</f>
        <v>0</v>
      </c>
      <c r="N7" s="477">
        <f>landbouw!N8</f>
        <v>0</v>
      </c>
      <c r="O7" s="477">
        <f>landbouw!O8</f>
        <v>0</v>
      </c>
      <c r="P7" s="478">
        <f>landbouw!P8</f>
        <v>0</v>
      </c>
      <c r="Q7" s="476">
        <f t="shared" si="0"/>
        <v>47547.139477019598</v>
      </c>
    </row>
    <row r="8" spans="1:17">
      <c r="A8" s="476" t="s">
        <v>638</v>
      </c>
      <c r="B8" s="477">
        <f>industrie!B18</f>
        <v>103342.33679215999</v>
      </c>
      <c r="C8" s="477">
        <f>industrie!C18</f>
        <v>0</v>
      </c>
      <c r="D8" s="477">
        <f>industrie!D18</f>
        <v>120802.58923569189</v>
      </c>
      <c r="E8" s="477">
        <f>industrie!E18</f>
        <v>3480.3370185271151</v>
      </c>
      <c r="F8" s="477">
        <f>industrie!F18</f>
        <v>13563.461038286565</v>
      </c>
      <c r="G8" s="477">
        <f>industrie!G18</f>
        <v>0</v>
      </c>
      <c r="H8" s="477">
        <f>industrie!H18</f>
        <v>0</v>
      </c>
      <c r="I8" s="477">
        <f>industrie!I18</f>
        <v>0</v>
      </c>
      <c r="J8" s="477">
        <f>industrie!J18</f>
        <v>266.9157845616466</v>
      </c>
      <c r="K8" s="477">
        <f>industrie!K18</f>
        <v>0</v>
      </c>
      <c r="L8" s="477">
        <f>industrie!L18</f>
        <v>0</v>
      </c>
      <c r="M8" s="477">
        <f>industrie!M18</f>
        <v>0</v>
      </c>
      <c r="N8" s="477">
        <f>industrie!N18</f>
        <v>10075.331629806009</v>
      </c>
      <c r="O8" s="477">
        <f>industrie!O18</f>
        <v>0</v>
      </c>
      <c r="P8" s="478">
        <f>industrie!P18</f>
        <v>0</v>
      </c>
      <c r="Q8" s="476">
        <f t="shared" si="0"/>
        <v>251530.97149903321</v>
      </c>
    </row>
    <row r="9" spans="1:17" s="482" customFormat="1">
      <c r="A9" s="480" t="s">
        <v>564</v>
      </c>
      <c r="B9" s="481">
        <f>transport!B14</f>
        <v>93.300257953594098</v>
      </c>
      <c r="C9" s="481">
        <f>transport!C14</f>
        <v>0</v>
      </c>
      <c r="D9" s="481">
        <f>transport!D14</f>
        <v>207.41663912434117</v>
      </c>
      <c r="E9" s="481">
        <f>transport!E14</f>
        <v>839.97741701455368</v>
      </c>
      <c r="F9" s="481">
        <f>transport!F14</f>
        <v>0</v>
      </c>
      <c r="G9" s="481">
        <f>transport!G14</f>
        <v>308517.26444536861</v>
      </c>
      <c r="H9" s="481">
        <f>transport!H14</f>
        <v>56248.570894062024</v>
      </c>
      <c r="I9" s="481">
        <f>transport!I14</f>
        <v>0</v>
      </c>
      <c r="J9" s="481">
        <f>transport!J14</f>
        <v>0</v>
      </c>
      <c r="K9" s="481">
        <f>transport!K14</f>
        <v>0</v>
      </c>
      <c r="L9" s="481">
        <f>transport!L14</f>
        <v>0</v>
      </c>
      <c r="M9" s="481">
        <f>transport!M14</f>
        <v>11404.993778978889</v>
      </c>
      <c r="N9" s="481">
        <f>transport!N14</f>
        <v>0</v>
      </c>
      <c r="O9" s="481">
        <f>transport!O14</f>
        <v>0</v>
      </c>
      <c r="P9" s="481">
        <f>transport!P14</f>
        <v>0</v>
      </c>
      <c r="Q9" s="480">
        <f>SUM(B9:P9)</f>
        <v>377311.523432502</v>
      </c>
    </row>
    <row r="10" spans="1:17">
      <c r="A10" s="476" t="s">
        <v>554</v>
      </c>
      <c r="B10" s="477">
        <f>transport!B54</f>
        <v>0</v>
      </c>
      <c r="C10" s="477">
        <f>transport!C54</f>
        <v>0</v>
      </c>
      <c r="D10" s="477">
        <f>transport!D54</f>
        <v>0</v>
      </c>
      <c r="E10" s="477">
        <f>transport!E54</f>
        <v>0</v>
      </c>
      <c r="F10" s="477">
        <f>transport!F54</f>
        <v>0</v>
      </c>
      <c r="G10" s="477">
        <f>transport!G54</f>
        <v>3594.7888672806498</v>
      </c>
      <c r="H10" s="477">
        <f>transport!H54</f>
        <v>0</v>
      </c>
      <c r="I10" s="477">
        <f>transport!I54</f>
        <v>0</v>
      </c>
      <c r="J10" s="477">
        <f>transport!J54</f>
        <v>0</v>
      </c>
      <c r="K10" s="477">
        <f>transport!K54</f>
        <v>0</v>
      </c>
      <c r="L10" s="477">
        <f>transport!L54</f>
        <v>0</v>
      </c>
      <c r="M10" s="477">
        <f>transport!M54</f>
        <v>111.50230846578125</v>
      </c>
      <c r="N10" s="477">
        <f>transport!N54</f>
        <v>0</v>
      </c>
      <c r="O10" s="477">
        <f>transport!O54</f>
        <v>0</v>
      </c>
      <c r="P10" s="478">
        <f>transport!P54</f>
        <v>0</v>
      </c>
      <c r="Q10" s="476">
        <f t="shared" si="0"/>
        <v>3706.2911757464312</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3912.8477007000001</v>
      </c>
      <c r="C14" s="484"/>
      <c r="D14" s="484">
        <f>'SEAP template'!E25</f>
        <v>6546.2862642</v>
      </c>
      <c r="E14" s="484"/>
      <c r="F14" s="484"/>
      <c r="G14" s="484"/>
      <c r="H14" s="484"/>
      <c r="I14" s="484"/>
      <c r="J14" s="484"/>
      <c r="K14" s="484"/>
      <c r="L14" s="484"/>
      <c r="M14" s="484"/>
      <c r="N14" s="484"/>
      <c r="O14" s="484"/>
      <c r="P14" s="485"/>
      <c r="Q14" s="476">
        <f t="shared" si="0"/>
        <v>10459.1339649</v>
      </c>
    </row>
    <row r="15" spans="1:17" s="486" customFormat="1">
      <c r="A15" s="1038" t="s">
        <v>558</v>
      </c>
      <c r="B15" s="978">
        <f ca="1">SUM(B4:B14)</f>
        <v>266722.16621906287</v>
      </c>
      <c r="C15" s="978">
        <f t="shared" ref="C15:Q15" ca="1" si="1">SUM(C4:C14)</f>
        <v>32104.285714285714</v>
      </c>
      <c r="D15" s="978">
        <f t="shared" ca="1" si="1"/>
        <v>356493.22287248384</v>
      </c>
      <c r="E15" s="978">
        <f t="shared" si="1"/>
        <v>20738.50071633478</v>
      </c>
      <c r="F15" s="978">
        <f t="shared" ca="1" si="1"/>
        <v>88318.743385699738</v>
      </c>
      <c r="G15" s="978">
        <f t="shared" si="1"/>
        <v>312112.05331264925</v>
      </c>
      <c r="H15" s="978">
        <f t="shared" si="1"/>
        <v>56248.570894062024</v>
      </c>
      <c r="I15" s="978">
        <f t="shared" si="1"/>
        <v>0</v>
      </c>
      <c r="J15" s="978">
        <f t="shared" si="1"/>
        <v>814.44405396726734</v>
      </c>
      <c r="K15" s="978">
        <f t="shared" si="1"/>
        <v>0</v>
      </c>
      <c r="L15" s="978">
        <f t="shared" ca="1" si="1"/>
        <v>0</v>
      </c>
      <c r="M15" s="978">
        <f t="shared" si="1"/>
        <v>11516.49608744467</v>
      </c>
      <c r="N15" s="978">
        <f t="shared" ca="1" si="1"/>
        <v>70903.607637584966</v>
      </c>
      <c r="O15" s="978">
        <f t="shared" si="1"/>
        <v>776.9766666666668</v>
      </c>
      <c r="P15" s="978">
        <f t="shared" si="1"/>
        <v>3279.4666666666667</v>
      </c>
      <c r="Q15" s="978">
        <f t="shared" ca="1" si="1"/>
        <v>1220028.5342269083</v>
      </c>
    </row>
    <row r="17" spans="1:17">
      <c r="A17" s="487" t="s">
        <v>559</v>
      </c>
      <c r="B17" s="786">
        <f ca="1">huishoudens!B10</f>
        <v>0.16341591987640061</v>
      </c>
      <c r="C17" s="786">
        <f ca="1">huishoudens!C10</f>
        <v>2.5173266743621761E-2</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10640.030139012701</v>
      </c>
      <c r="C22" s="477">
        <f t="shared" ref="C22:C32" ca="1" si="3">C4*$C$17</f>
        <v>0</v>
      </c>
      <c r="D22" s="477">
        <f t="shared" ref="D22:D32" si="4">D4*$D$17</f>
        <v>29347.253763076213</v>
      </c>
      <c r="E22" s="477">
        <f t="shared" ref="E22:E32" si="5">E4*$E$17</f>
        <v>3405.8489818590538</v>
      </c>
      <c r="F22" s="477">
        <f t="shared" ref="F22:F32" si="6">F4*$F$17</f>
        <v>10505.557672397046</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53898.690556345013</v>
      </c>
    </row>
    <row r="23" spans="1:17">
      <c r="A23" s="476" t="s">
        <v>156</v>
      </c>
      <c r="B23" s="477">
        <f t="shared" ca="1" si="2"/>
        <v>14529.516535820692</v>
      </c>
      <c r="C23" s="477">
        <f t="shared" ca="1" si="3"/>
        <v>85.607087833130862</v>
      </c>
      <c r="D23" s="477">
        <f t="shared" ca="1" si="4"/>
        <v>16798.398080746505</v>
      </c>
      <c r="E23" s="477">
        <f t="shared" si="5"/>
        <v>298.81713089428831</v>
      </c>
      <c r="F23" s="477">
        <f t="shared" ca="1" si="6"/>
        <v>5742.3734932433272</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37454.712328537942</v>
      </c>
    </row>
    <row r="24" spans="1:17">
      <c r="A24" s="476" t="s">
        <v>194</v>
      </c>
      <c r="B24" s="477">
        <f t="shared" ca="1" si="2"/>
        <v>253.13828677309922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253.13828677309922</v>
      </c>
    </row>
    <row r="25" spans="1:17">
      <c r="A25" s="476" t="s">
        <v>112</v>
      </c>
      <c r="B25" s="477">
        <f t="shared" ca="1" si="2"/>
        <v>621.51179961592493</v>
      </c>
      <c r="C25" s="477">
        <f t="shared" ca="1" si="3"/>
        <v>722.56266006602891</v>
      </c>
      <c r="D25" s="477">
        <f t="shared" si="4"/>
        <v>99.608164337740533</v>
      </c>
      <c r="E25" s="477">
        <f t="shared" si="5"/>
        <v>22.262172986693955</v>
      </c>
      <c r="F25" s="477">
        <f t="shared" si="6"/>
        <v>3711.7292211189447</v>
      </c>
      <c r="G25" s="477">
        <f t="shared" si="7"/>
        <v>0</v>
      </c>
      <c r="H25" s="477">
        <f t="shared" si="8"/>
        <v>0</v>
      </c>
      <c r="I25" s="477">
        <f t="shared" si="9"/>
        <v>0</v>
      </c>
      <c r="J25" s="477">
        <f t="shared" si="10"/>
        <v>193.82500736958974</v>
      </c>
      <c r="K25" s="477">
        <f t="shared" si="11"/>
        <v>0</v>
      </c>
      <c r="L25" s="477">
        <f t="shared" si="12"/>
        <v>0</v>
      </c>
      <c r="M25" s="477">
        <f t="shared" si="13"/>
        <v>0</v>
      </c>
      <c r="N25" s="477">
        <f t="shared" si="14"/>
        <v>0</v>
      </c>
      <c r="O25" s="477">
        <f t="shared" si="15"/>
        <v>0</v>
      </c>
      <c r="P25" s="478">
        <f t="shared" si="16"/>
        <v>0</v>
      </c>
      <c r="Q25" s="476">
        <f t="shared" ca="1" si="17"/>
        <v>5371.4990254949234</v>
      </c>
    </row>
    <row r="26" spans="1:17">
      <c r="A26" s="476" t="s">
        <v>638</v>
      </c>
      <c r="B26" s="477">
        <f t="shared" ca="1" si="2"/>
        <v>16887.783029067625</v>
      </c>
      <c r="C26" s="477">
        <f t="shared" ca="1" si="3"/>
        <v>0</v>
      </c>
      <c r="D26" s="477">
        <f t="shared" si="4"/>
        <v>24402.123025609762</v>
      </c>
      <c r="E26" s="477">
        <f t="shared" si="5"/>
        <v>790.03650320565521</v>
      </c>
      <c r="F26" s="477">
        <f t="shared" si="6"/>
        <v>3621.4440972225129</v>
      </c>
      <c r="G26" s="477">
        <f t="shared" si="7"/>
        <v>0</v>
      </c>
      <c r="H26" s="477">
        <f t="shared" si="8"/>
        <v>0</v>
      </c>
      <c r="I26" s="477">
        <f t="shared" si="9"/>
        <v>0</v>
      </c>
      <c r="J26" s="477">
        <f t="shared" si="10"/>
        <v>94.488187734822887</v>
      </c>
      <c r="K26" s="477">
        <f t="shared" si="11"/>
        <v>0</v>
      </c>
      <c r="L26" s="477">
        <f t="shared" si="12"/>
        <v>0</v>
      </c>
      <c r="M26" s="477">
        <f t="shared" si="13"/>
        <v>0</v>
      </c>
      <c r="N26" s="477">
        <f t="shared" si="14"/>
        <v>0</v>
      </c>
      <c r="O26" s="477">
        <f t="shared" si="15"/>
        <v>0</v>
      </c>
      <c r="P26" s="478">
        <f t="shared" si="16"/>
        <v>0</v>
      </c>
      <c r="Q26" s="476">
        <f t="shared" ca="1" si="17"/>
        <v>45795.874842840378</v>
      </c>
    </row>
    <row r="27" spans="1:17" s="482" customFormat="1">
      <c r="A27" s="480" t="s">
        <v>564</v>
      </c>
      <c r="B27" s="780">
        <f t="shared" ca="1" si="2"/>
        <v>15.246747478192042</v>
      </c>
      <c r="C27" s="481">
        <f t="shared" ca="1" si="3"/>
        <v>0</v>
      </c>
      <c r="D27" s="481">
        <f t="shared" si="4"/>
        <v>41.898161103116919</v>
      </c>
      <c r="E27" s="481">
        <f t="shared" si="5"/>
        <v>190.6748736623037</v>
      </c>
      <c r="F27" s="481">
        <f t="shared" si="6"/>
        <v>0</v>
      </c>
      <c r="G27" s="481">
        <f t="shared" si="7"/>
        <v>82374.109606913422</v>
      </c>
      <c r="H27" s="481">
        <f t="shared" si="8"/>
        <v>14005.894152621444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96627.823541778489</v>
      </c>
    </row>
    <row r="28" spans="1:17">
      <c r="A28" s="476" t="s">
        <v>554</v>
      </c>
      <c r="B28" s="477">
        <f t="shared" ca="1" si="2"/>
        <v>0</v>
      </c>
      <c r="C28" s="477">
        <f t="shared" ca="1" si="3"/>
        <v>0</v>
      </c>
      <c r="D28" s="477">
        <f t="shared" si="4"/>
        <v>0</v>
      </c>
      <c r="E28" s="477">
        <f t="shared" si="5"/>
        <v>0</v>
      </c>
      <c r="F28" s="477">
        <f t="shared" si="6"/>
        <v>0</v>
      </c>
      <c r="G28" s="477">
        <f t="shared" si="7"/>
        <v>959.80862756393356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959.80862756393356</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639.42160634614959</v>
      </c>
      <c r="C32" s="477">
        <f t="shared" ca="1" si="3"/>
        <v>0</v>
      </c>
      <c r="D32" s="477">
        <f t="shared" si="4"/>
        <v>1322.3498253684002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1961.7714317145496</v>
      </c>
    </row>
    <row r="33" spans="1:17" s="486" customFormat="1">
      <c r="A33" s="1038" t="s">
        <v>558</v>
      </c>
      <c r="B33" s="978">
        <f ca="1">SUM(B22:B32)</f>
        <v>43586.648144114391</v>
      </c>
      <c r="C33" s="978">
        <f t="shared" ref="C33:Q33" ca="1" si="18">SUM(C22:C32)</f>
        <v>808.1697478991598</v>
      </c>
      <c r="D33" s="978">
        <f t="shared" ca="1" si="18"/>
        <v>72011.631020241737</v>
      </c>
      <c r="E33" s="978">
        <f t="shared" si="18"/>
        <v>4707.6396626079959</v>
      </c>
      <c r="F33" s="978">
        <f t="shared" ca="1" si="18"/>
        <v>23581.104483981831</v>
      </c>
      <c r="G33" s="978">
        <f t="shared" si="18"/>
        <v>83333.918234477358</v>
      </c>
      <c r="H33" s="978">
        <f t="shared" si="18"/>
        <v>14005.894152621444</v>
      </c>
      <c r="I33" s="978">
        <f t="shared" si="18"/>
        <v>0</v>
      </c>
      <c r="J33" s="978">
        <f t="shared" si="18"/>
        <v>288.31319510441261</v>
      </c>
      <c r="K33" s="978">
        <f t="shared" si="18"/>
        <v>0</v>
      </c>
      <c r="L33" s="978">
        <f t="shared" ca="1" si="18"/>
        <v>0</v>
      </c>
      <c r="M33" s="978">
        <f t="shared" si="18"/>
        <v>0</v>
      </c>
      <c r="N33" s="978">
        <f t="shared" ca="1" si="18"/>
        <v>0</v>
      </c>
      <c r="O33" s="978">
        <f t="shared" si="18"/>
        <v>0</v>
      </c>
      <c r="P33" s="978">
        <f t="shared" si="18"/>
        <v>0</v>
      </c>
      <c r="Q33" s="978">
        <f t="shared" ca="1" si="18"/>
        <v>242323.31864104836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26810.539684339295</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22773.787980040441</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20092.5</v>
      </c>
      <c r="C8" s="1055">
        <f>'SEAP template'!C76</f>
        <v>2380.5</v>
      </c>
      <c r="D8" s="1055">
        <f>'SEAP template'!D76</f>
        <v>2800.588235294118</v>
      </c>
      <c r="E8" s="1055">
        <f>'SEAP template'!E76</f>
        <v>0</v>
      </c>
      <c r="F8" s="1055">
        <f>'SEAP template'!F76</f>
        <v>0</v>
      </c>
      <c r="G8" s="1055">
        <f>'SEAP template'!G76</f>
        <v>0</v>
      </c>
      <c r="H8" s="1055">
        <f>'SEAP template'!H76</f>
        <v>0</v>
      </c>
      <c r="I8" s="1055">
        <f>'SEAP template'!I76</f>
        <v>0</v>
      </c>
      <c r="J8" s="1055">
        <f>'SEAP template'!J76</f>
        <v>23638.23529411765</v>
      </c>
      <c r="K8" s="1055">
        <f>'SEAP template'!K76</f>
        <v>0</v>
      </c>
      <c r="L8" s="1055">
        <f>'SEAP template'!L76</f>
        <v>0</v>
      </c>
      <c r="M8" s="1055">
        <f>'SEAP template'!M76</f>
        <v>0</v>
      </c>
      <c r="N8" s="1055">
        <f>'SEAP template'!N76</f>
        <v>0</v>
      </c>
      <c r="O8" s="1055">
        <f>'SEAP template'!O76</f>
        <v>0</v>
      </c>
      <c r="P8" s="1056">
        <f>'SEAP template'!Q76</f>
        <v>565.71882352941191</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69676.827664379729</v>
      </c>
      <c r="C10" s="1059">
        <f>SUM(C4:C9)</f>
        <v>2380.5</v>
      </c>
      <c r="D10" s="1059">
        <f t="shared" ref="D10:H10" si="0">SUM(D8:D9)</f>
        <v>2800.588235294118</v>
      </c>
      <c r="E10" s="1059">
        <f t="shared" si="0"/>
        <v>0</v>
      </c>
      <c r="F10" s="1059">
        <f t="shared" si="0"/>
        <v>0</v>
      </c>
      <c r="G10" s="1059">
        <f t="shared" si="0"/>
        <v>0</v>
      </c>
      <c r="H10" s="1059">
        <f t="shared" si="0"/>
        <v>0</v>
      </c>
      <c r="I10" s="1059">
        <f>SUM(I8:I9)</f>
        <v>0</v>
      </c>
      <c r="J10" s="1059">
        <f>SUM(J8:J9)</f>
        <v>23638.23529411765</v>
      </c>
      <c r="K10" s="1059">
        <f t="shared" ref="K10:L10" si="1">SUM(K8:K9)</f>
        <v>0</v>
      </c>
      <c r="L10" s="1059">
        <f t="shared" si="1"/>
        <v>0</v>
      </c>
      <c r="M10" s="1059">
        <f>SUM(M8:M9)</f>
        <v>0</v>
      </c>
      <c r="N10" s="1059">
        <f>SUM(N8:N9)</f>
        <v>0</v>
      </c>
      <c r="O10" s="1059">
        <f>SUM(O8:O9)</f>
        <v>0</v>
      </c>
      <c r="P10" s="1059">
        <f>SUM(P8:P9)</f>
        <v>565.71882352941191</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0.16341591987640061</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28703.571428571428</v>
      </c>
      <c r="C17" s="1061">
        <f>'SEAP template'!C87</f>
        <v>3400.7142857142858</v>
      </c>
      <c r="D17" s="1056">
        <f>'SEAP template'!D87</f>
        <v>4000.840336134454</v>
      </c>
      <c r="E17" s="1056">
        <f>'SEAP template'!E87</f>
        <v>0</v>
      </c>
      <c r="F17" s="1056">
        <f>'SEAP template'!F87</f>
        <v>0</v>
      </c>
      <c r="G17" s="1056">
        <f>'SEAP template'!G87</f>
        <v>0</v>
      </c>
      <c r="H17" s="1056">
        <f>'SEAP template'!H87</f>
        <v>0</v>
      </c>
      <c r="I17" s="1056">
        <f>'SEAP template'!I87</f>
        <v>0</v>
      </c>
      <c r="J17" s="1056">
        <f>'SEAP template'!J87</f>
        <v>33768.907563025212</v>
      </c>
      <c r="K17" s="1056">
        <f>'SEAP template'!K87</f>
        <v>0</v>
      </c>
      <c r="L17" s="1056">
        <f>'SEAP template'!L87</f>
        <v>0</v>
      </c>
      <c r="M17" s="1056">
        <f>'SEAP template'!M87</f>
        <v>0</v>
      </c>
      <c r="N17" s="1056">
        <f>'SEAP template'!N87</f>
        <v>0</v>
      </c>
      <c r="O17" s="1056">
        <f>'SEAP template'!O87</f>
        <v>0</v>
      </c>
      <c r="P17" s="1056">
        <f>'SEAP template'!Q87</f>
        <v>808.1697478991598</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28703.571428571428</v>
      </c>
      <c r="C20" s="1059">
        <f>SUM(C17:C19)</f>
        <v>3400.7142857142858</v>
      </c>
      <c r="D20" s="1059">
        <f t="shared" ref="D20:H20" si="2">SUM(D17:D19)</f>
        <v>4000.840336134454</v>
      </c>
      <c r="E20" s="1059">
        <f t="shared" si="2"/>
        <v>0</v>
      </c>
      <c r="F20" s="1059">
        <f t="shared" si="2"/>
        <v>0</v>
      </c>
      <c r="G20" s="1059">
        <f t="shared" si="2"/>
        <v>0</v>
      </c>
      <c r="H20" s="1059">
        <f t="shared" si="2"/>
        <v>0</v>
      </c>
      <c r="I20" s="1059">
        <f>SUM(I17:I19)</f>
        <v>0</v>
      </c>
      <c r="J20" s="1059">
        <f>SUM(J17:J19)</f>
        <v>33768.907563025212</v>
      </c>
      <c r="K20" s="1059">
        <f t="shared" ref="K20:L20" si="3">SUM(K17:K19)</f>
        <v>0</v>
      </c>
      <c r="L20" s="1059">
        <f t="shared" si="3"/>
        <v>0</v>
      </c>
      <c r="M20" s="1059">
        <f>SUM(M17:M19)</f>
        <v>0</v>
      </c>
      <c r="N20" s="1059">
        <f>SUM(N17:N19)</f>
        <v>0</v>
      </c>
      <c r="O20" s="1059">
        <f>SUM(O17:O19)</f>
        <v>0</v>
      </c>
      <c r="P20" s="1059">
        <f>SUM(P17:P19)</f>
        <v>808.1697478991598</v>
      </c>
    </row>
    <row r="22" spans="1:16">
      <c r="A22" s="487" t="s">
        <v>871</v>
      </c>
      <c r="B22" s="786" t="s">
        <v>865</v>
      </c>
      <c r="C22" s="786">
        <f ca="1">'EF ele_warmte'!B22</f>
        <v>2.5173266743621761E-2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0.16341591987640061</v>
      </c>
      <c r="C17" s="524">
        <f ca="1">'EF ele_warmte'!B22</f>
        <v>2.5173266743621761E-2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1</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19.066666666666666</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2019-08-12T08:22:47Z</dcterms:modified>
</cp:coreProperties>
</file>