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D20" s="1"/>
  <c r="C19"/>
  <c r="D89" i="14" s="1"/>
  <c r="D19" i="59" s="1"/>
  <c r="B19" i="18"/>
  <c r="N18"/>
  <c r="L88" i="14" s="1"/>
  <c r="M18" i="18"/>
  <c r="L18"/>
  <c r="K18"/>
  <c r="J18"/>
  <c r="J88" i="14" s="1"/>
  <c r="J18" i="59" s="1"/>
  <c r="I18" i="18"/>
  <c r="H18"/>
  <c r="M88" i="14" s="1"/>
  <c r="M18" i="59" s="1"/>
  <c r="G18" i="18"/>
  <c r="F18"/>
  <c r="F20" s="1"/>
  <c r="E18"/>
  <c r="D18"/>
  <c r="C18"/>
  <c r="B18"/>
  <c r="L9"/>
  <c r="O77" i="14" s="1"/>
  <c r="K9" i="18"/>
  <c r="N77" i="14" s="1"/>
  <c r="N9" i="59" s="1"/>
  <c r="I9" i="18"/>
  <c r="I77" i="14" s="1"/>
  <c r="I9" i="59" s="1"/>
  <c r="G9" i="18"/>
  <c r="G10" s="1"/>
  <c r="F9"/>
  <c r="D9"/>
  <c r="D10" s="1"/>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29" s="1"/>
  <c r="M4"/>
  <c r="L4"/>
  <c r="K4"/>
  <c r="I4"/>
  <c r="H4"/>
  <c r="G4"/>
  <c r="P11"/>
  <c r="O11"/>
  <c r="N11"/>
  <c r="M11"/>
  <c r="L11"/>
  <c r="K11"/>
  <c r="J11"/>
  <c r="I11"/>
  <c r="H11"/>
  <c r="G11"/>
  <c r="F11"/>
  <c r="E11"/>
  <c r="D11"/>
  <c r="C11"/>
  <c r="Q11" s="1"/>
  <c r="B11"/>
  <c r="Q12"/>
  <c r="P28"/>
  <c r="O28"/>
  <c r="M89" i="14"/>
  <c r="M19" i="59" s="1"/>
  <c r="L89" i="14"/>
  <c r="L19" i="59" s="1"/>
  <c r="K89" i="14"/>
  <c r="K19" i="59" s="1"/>
  <c r="G89" i="14"/>
  <c r="G19" i="59" s="1"/>
  <c r="O88" i="14"/>
  <c r="O18" i="59" s="1"/>
  <c r="N88" i="14"/>
  <c r="N18" i="59" s="1"/>
  <c r="K88" i="14"/>
  <c r="K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J22" s="1"/>
  <c r="G20"/>
  <c r="D20"/>
  <c r="Q19"/>
  <c r="P19"/>
  <c r="O19"/>
  <c r="M19"/>
  <c r="L19"/>
  <c r="K19"/>
  <c r="J19"/>
  <c r="I19"/>
  <c r="G19"/>
  <c r="G22" s="1"/>
  <c r="F19"/>
  <c r="E19"/>
  <c r="D19"/>
  <c r="Q48"/>
  <c r="P48"/>
  <c r="P52" s="1"/>
  <c r="O48"/>
  <c r="M48"/>
  <c r="L48"/>
  <c r="K48"/>
  <c r="J48"/>
  <c r="G48"/>
  <c r="D48"/>
  <c r="Q18"/>
  <c r="Q22" s="1"/>
  <c r="P18"/>
  <c r="O18"/>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R12"/>
  <c r="N19" i="59" l="1"/>
  <c r="N90" i="14"/>
  <c r="O78"/>
  <c r="O9" i="59"/>
  <c r="O10" s="1"/>
  <c r="O19"/>
  <c r="O20" s="1"/>
  <c r="O90" i="14"/>
  <c r="L18" i="59"/>
  <c r="L90" i="14"/>
  <c r="H90"/>
  <c r="H18" i="59"/>
  <c r="H20" s="1"/>
  <c r="K10"/>
  <c r="C98" i="18"/>
  <c r="B101" s="1"/>
  <c r="C8" s="1"/>
  <c r="H10" i="59"/>
  <c r="L10" i="18"/>
  <c r="E20" i="59"/>
  <c r="K10" i="18"/>
  <c r="E10" i="59"/>
  <c r="E77" i="14"/>
  <c r="E9" i="59" s="1"/>
  <c r="N20"/>
  <c r="B17" i="18"/>
  <c r="B20" s="1"/>
  <c r="E89" i="14"/>
  <c r="E19" i="59" s="1"/>
  <c r="P31" i="48"/>
  <c r="K20" i="59"/>
  <c r="R25" i="14"/>
  <c r="O32" i="48"/>
  <c r="F13" i="15"/>
  <c r="L78" i="14"/>
  <c r="L8" i="59"/>
  <c r="L10" s="1"/>
  <c r="H78" i="14"/>
  <c r="H8" i="59"/>
  <c r="P29" i="48"/>
  <c r="K90" i="14"/>
  <c r="P25" i="48"/>
  <c r="G78" i="14"/>
  <c r="N10" i="59"/>
  <c r="L20"/>
  <c r="B8" i="18"/>
  <c r="B10" s="1"/>
  <c r="O19"/>
  <c r="L13" i="15"/>
  <c r="N13"/>
  <c r="Q77" i="14"/>
  <c r="P9" i="59" s="1"/>
  <c r="O9" i="18"/>
  <c r="O18"/>
  <c r="B89" i="14"/>
  <c r="B19" i="59" s="1"/>
  <c r="G88" i="14"/>
  <c r="F89"/>
  <c r="I102" i="18"/>
  <c r="H17" s="1"/>
  <c r="E102"/>
  <c r="E17" s="1"/>
  <c r="H102"/>
  <c r="D102"/>
  <c r="G102"/>
  <c r="C102"/>
  <c r="F102"/>
  <c r="B102"/>
  <c r="C17" s="1"/>
  <c r="Q88" i="14"/>
  <c r="P18" i="59" s="1"/>
  <c r="B88" i="14"/>
  <c r="B18" i="59" s="1"/>
  <c r="B77" i="14"/>
  <c r="B9" i="59" s="1"/>
  <c r="Q14" i="48"/>
  <c r="O24"/>
  <c r="O30"/>
  <c r="P24"/>
  <c r="P30"/>
  <c r="C77" i="14"/>
  <c r="C9" i="59" s="1"/>
  <c r="C88" i="14"/>
  <c r="C18" i="59" s="1"/>
  <c r="E78" i="14"/>
  <c r="E90"/>
  <c r="N78"/>
  <c r="H101" i="18" l="1"/>
  <c r="J8" s="1"/>
  <c r="G90" i="14"/>
  <c r="G18" i="59"/>
  <c r="G20" s="1"/>
  <c r="I101" i="18"/>
  <c r="H8" s="1"/>
  <c r="H10" s="1"/>
  <c r="D101"/>
  <c r="G101"/>
  <c r="C101"/>
  <c r="F101"/>
  <c r="I8" s="1"/>
  <c r="C89" i="14"/>
  <c r="C19" i="59" s="1"/>
  <c r="F19"/>
  <c r="E101" i="18"/>
  <c r="E8" s="1"/>
  <c r="F76" i="14" s="1"/>
  <c r="F8" i="59" s="1"/>
  <c r="F10" s="1"/>
  <c r="Q89" i="14"/>
  <c r="P19" i="59" s="1"/>
  <c r="C20" i="18"/>
  <c r="D87" i="14"/>
  <c r="D17" i="59" s="1"/>
  <c r="D20" s="1"/>
  <c r="D76" i="14"/>
  <c r="D8" i="59" s="1"/>
  <c r="D10" s="1"/>
  <c r="C10" i="18"/>
  <c r="J17"/>
  <c r="F87" i="14"/>
  <c r="E20" i="18"/>
  <c r="I17"/>
  <c r="O17" s="1"/>
  <c r="O20" s="1"/>
  <c r="H20"/>
  <c r="M87" i="14"/>
  <c r="M76"/>
  <c r="H14" i="15"/>
  <c r="H16" s="1"/>
  <c r="G14"/>
  <c r="G16" s="1"/>
  <c r="O8" i="18" l="1"/>
  <c r="O10" s="1"/>
  <c r="I10" i="14"/>
  <c r="I16" s="1"/>
  <c r="H5" i="48"/>
  <c r="H10" i="14"/>
  <c r="H16" s="1"/>
  <c r="G5" i="48"/>
  <c r="M78" i="14"/>
  <c r="M8" i="59"/>
  <c r="M10" s="1"/>
  <c r="F90" i="14"/>
  <c r="F17" i="59"/>
  <c r="F20" s="1"/>
  <c r="E10" i="18"/>
  <c r="M90" i="14"/>
  <c r="M17" i="59"/>
  <c r="M20" s="1"/>
  <c r="I76" i="14"/>
  <c r="I8" i="59" s="1"/>
  <c r="I10" s="1"/>
  <c r="I10" i="18"/>
  <c r="Q87" i="14"/>
  <c r="D90"/>
  <c r="F78"/>
  <c r="J87"/>
  <c r="J20" i="18"/>
  <c r="J10"/>
  <c r="J76" i="14"/>
  <c r="I87"/>
  <c r="I17" i="59" s="1"/>
  <c r="I20" s="1"/>
  <c r="I20" i="18"/>
  <c r="Q76" i="14"/>
  <c r="D78"/>
  <c r="B24" i="44"/>
  <c r="B23"/>
  <c r="J90" i="14" l="1"/>
  <c r="J17" i="59"/>
  <c r="J20" s="1"/>
  <c r="Q90" i="14"/>
  <c r="B17" i="6" s="1"/>
  <c r="P17" i="59"/>
  <c r="P20" s="1"/>
  <c r="J78" i="14"/>
  <c r="J8" i="59"/>
  <c r="J10" s="1"/>
  <c r="Q78" i="14"/>
  <c r="B9" i="6" s="1"/>
  <c r="P8" i="59"/>
  <c r="P10" s="1"/>
  <c r="B87" i="14"/>
  <c r="I90"/>
  <c r="C87"/>
  <c r="C76"/>
  <c r="B76"/>
  <c r="I78"/>
  <c r="A31" i="23"/>
  <c r="A32"/>
  <c r="A33"/>
  <c r="B90" i="14" l="1"/>
  <c r="B17" i="59"/>
  <c r="B20" s="1"/>
  <c r="B78" i="14"/>
  <c r="B4" i="6" s="1"/>
  <c r="B8" i="59"/>
  <c r="B1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2" i="48" l="1"/>
  <c r="J28"/>
  <c r="J31"/>
  <c r="J27"/>
  <c r="J29"/>
  <c r="J30"/>
  <c r="J24"/>
  <c r="P4"/>
  <c r="Q11" i="14"/>
  <c r="H32" i="48"/>
  <c r="H29"/>
  <c r="H26"/>
  <c r="H25"/>
  <c r="H28"/>
  <c r="H24"/>
  <c r="H22"/>
  <c r="H30"/>
  <c r="H23"/>
  <c r="G26"/>
  <c r="G32"/>
  <c r="G25"/>
  <c r="G29"/>
  <c r="G30"/>
  <c r="G24"/>
  <c r="G22"/>
  <c r="G23"/>
  <c r="B4"/>
  <c r="C11" i="14"/>
  <c r="F32" i="48"/>
  <c r="F27"/>
  <c r="F28"/>
  <c r="F29"/>
  <c r="F30"/>
  <c r="F24"/>
  <c r="F31"/>
  <c r="N32"/>
  <c r="N28"/>
  <c r="N27"/>
  <c r="N30"/>
  <c r="N29"/>
  <c r="N31"/>
  <c r="N24"/>
  <c r="B10"/>
  <c r="C19" i="14"/>
  <c r="N46"/>
  <c r="I27" i="48"/>
  <c r="I22"/>
  <c r="I25"/>
  <c r="I31"/>
  <c r="I29"/>
  <c r="I32"/>
  <c r="I26"/>
  <c r="I28"/>
  <c r="I24"/>
  <c r="I30"/>
  <c r="D4"/>
  <c r="D22" s="1"/>
  <c r="E11" i="14"/>
  <c r="E28" i="48"/>
  <c r="E32"/>
  <c r="E29"/>
  <c r="E24"/>
  <c r="E30"/>
  <c r="E31"/>
  <c r="M32"/>
  <c r="M24"/>
  <c r="M26"/>
  <c r="M25"/>
  <c r="M29"/>
  <c r="M22"/>
  <c r="M30"/>
  <c r="M23"/>
  <c r="L10" i="14"/>
  <c r="L16" s="1"/>
  <c r="L27" s="1"/>
  <c r="K5" i="48"/>
  <c r="D32"/>
  <c r="D30"/>
  <c r="D28"/>
  <c r="D31"/>
  <c r="D24"/>
  <c r="D29"/>
  <c r="L27"/>
  <c r="L32"/>
  <c r="L31"/>
  <c r="L29"/>
  <c r="L28"/>
  <c r="L22"/>
  <c r="L30"/>
  <c r="L24"/>
  <c r="P5"/>
  <c r="P23" s="1"/>
  <c r="Q10" i="14"/>
  <c r="O4" i="48"/>
  <c r="P11" i="14"/>
  <c r="D11"/>
  <c r="C4" i="48"/>
  <c r="K28"/>
  <c r="K25"/>
  <c r="K32"/>
  <c r="K31"/>
  <c r="K27"/>
  <c r="K29"/>
  <c r="K30"/>
  <c r="K24"/>
  <c r="K26"/>
  <c r="K22"/>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O22" i="48" l="1"/>
  <c r="E9"/>
  <c r="E27" s="1"/>
  <c r="F20" i="14"/>
  <c r="F22" s="1"/>
  <c r="E20"/>
  <c r="E22" s="1"/>
  <c r="D9" i="48"/>
  <c r="D27" s="1"/>
  <c r="C20" i="14"/>
  <c r="B9" i="48"/>
  <c r="F4"/>
  <c r="F22" s="1"/>
  <c r="G11" i="14"/>
  <c r="I5" i="48"/>
  <c r="J10" i="14"/>
  <c r="J16" s="1"/>
  <c r="J27" s="1"/>
  <c r="L61"/>
  <c r="L63" s="1"/>
  <c r="J46"/>
  <c r="J61" s="1"/>
  <c r="K23" i="48"/>
  <c r="K15"/>
  <c r="H18" i="14"/>
  <c r="G13" i="48"/>
  <c r="P8"/>
  <c r="P26" s="1"/>
  <c r="Q13" i="14"/>
  <c r="Q16" s="1"/>
  <c r="Q27" s="1"/>
  <c r="Q63" s="1"/>
  <c r="C22"/>
  <c r="M12" i="22"/>
  <c r="M13" i="48"/>
  <c r="M31" s="1"/>
  <c r="N18" i="14"/>
  <c r="H13" i="48"/>
  <c r="H31" s="1"/>
  <c r="I18" i="14"/>
  <c r="P10"/>
  <c r="O5" i="48"/>
  <c r="O23" s="1"/>
  <c r="K24" i="14"/>
  <c r="K26" s="1"/>
  <c r="J7" i="48"/>
  <c r="J25" s="1"/>
  <c r="P22"/>
  <c r="P33" s="1"/>
  <c r="K33"/>
  <c r="G24" i="1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I23" i="48" l="1"/>
  <c r="I33" s="1"/>
  <c r="I15"/>
  <c r="E12" i="13"/>
  <c r="F41" i="14" s="1"/>
  <c r="F11"/>
  <c r="E4" i="48"/>
  <c r="N4"/>
  <c r="N22" s="1"/>
  <c r="O11" i="14"/>
  <c r="J63"/>
  <c r="G14" i="22"/>
  <c r="K11" i="14"/>
  <c r="J4" i="48"/>
  <c r="E7"/>
  <c r="E25" s="1"/>
  <c r="F24" i="14"/>
  <c r="F26" s="1"/>
  <c r="N20"/>
  <c r="M9" i="48"/>
  <c r="O22" i="16"/>
  <c r="P43" i="14" s="1"/>
  <c r="P46" s="1"/>
  <c r="P61" s="1"/>
  <c r="O8" i="48"/>
  <c r="P13" i="14"/>
  <c r="P16" s="1"/>
  <c r="P27" s="1"/>
  <c r="I20"/>
  <c r="H9" i="48"/>
  <c r="N19" i="14"/>
  <c r="N22" s="1"/>
  <c r="N27" s="1"/>
  <c r="M10" i="48"/>
  <c r="M28" s="1"/>
  <c r="R18" i="14"/>
  <c r="I22"/>
  <c r="I27" s="1"/>
  <c r="G10" i="48"/>
  <c r="H19" i="14"/>
  <c r="R19" s="1"/>
  <c r="Q13" i="48"/>
  <c r="G31"/>
  <c r="P15"/>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P63"/>
  <c r="K10"/>
  <c r="J5" i="48"/>
  <c r="J23" s="1"/>
  <c r="G28"/>
  <c r="Q10"/>
  <c r="G9"/>
  <c r="H20" i="14"/>
  <c r="O26" i="48"/>
  <c r="O33" s="1"/>
  <c r="O15"/>
  <c r="R24" i="14"/>
  <c r="R26" s="1"/>
  <c r="R11"/>
  <c r="E22" i="48"/>
  <c r="Q4"/>
  <c r="J22"/>
  <c r="J20" i="15"/>
  <c r="K40" i="14" s="1"/>
  <c r="M27" i="48"/>
  <c r="M33" s="1"/>
  <c r="M15"/>
  <c r="E5"/>
  <c r="E23" s="1"/>
  <c r="F10" i="14"/>
  <c r="H27" i="48"/>
  <c r="H33" s="1"/>
  <c r="H15"/>
  <c r="Q7"/>
  <c r="E20" i="15"/>
  <c r="F40" i="14" s="1"/>
  <c r="J18" i="16"/>
  <c r="E18"/>
  <c r="F18"/>
  <c r="F22" s="1"/>
  <c r="G43" i="14" s="1"/>
  <c r="N18" i="16"/>
  <c r="G18" i="22"/>
  <c r="H50" i="14" s="1"/>
  <c r="H52" s="1"/>
  <c r="H61" s="1"/>
  <c r="E22" i="16"/>
  <c r="F43" i="14" s="1"/>
  <c r="H18" i="22"/>
  <c r="I50" i="14" s="1"/>
  <c r="I52" s="1"/>
  <c r="I61" s="1"/>
  <c r="I63" s="1"/>
  <c r="H63" l="1"/>
  <c r="G27" i="48"/>
  <c r="G33" s="1"/>
  <c r="G15"/>
  <c r="Q9"/>
  <c r="J22" i="16"/>
  <c r="K43" i="14" s="1"/>
  <c r="J8" i="48"/>
  <c r="K13" i="14"/>
  <c r="K16" s="1"/>
  <c r="K27" s="1"/>
  <c r="E8" i="48"/>
  <c r="E26" s="1"/>
  <c r="E33" s="1"/>
  <c r="F13" i="14"/>
  <c r="F16" s="1"/>
  <c r="F27" s="1"/>
  <c r="F46"/>
  <c r="F61" s="1"/>
  <c r="K46"/>
  <c r="K61" s="1"/>
  <c r="H22"/>
  <c r="H27" s="1"/>
  <c r="R20"/>
  <c r="R22" s="1"/>
  <c r="E15" i="48"/>
  <c r="N8"/>
  <c r="N26" s="1"/>
  <c r="O13" i="14"/>
  <c r="N22" i="16"/>
  <c r="O43" i="14" s="1"/>
  <c r="G13"/>
  <c r="F8" i="48"/>
  <c r="F63" i="14" l="1"/>
  <c r="R13"/>
  <c r="J26" i="48"/>
  <c r="J33" s="1"/>
  <c r="J15"/>
  <c r="K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<sst xmlns="http://schemas.openxmlformats.org/spreadsheetml/2006/main" count="2392" uniqueCount="890">
  <si>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</si>
  <si>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</si>
  <si>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</si>
  <si>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</si>
  <si>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</si>
  <si>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</si>
  <si>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</si>
  <si>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</si>
  <si>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</si>
  <si>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</si>
  <si>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</si>
  <si>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</si>
  <si>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</si>
  <si>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</si>
  <si>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</si>
  <si>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</si>
  <si>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</si>
  <si>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</si>
  <si>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</si>
  <si>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</si>
  <si>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</si>
  <si>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</si>
  <si>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</si>
  <si>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</si>
  <si>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</si>
  <si>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</si>
  <si>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</si>
  <si>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</si>
  <si>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</si>
  <si>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</si>
  <si>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</si>
  <si>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</si>
  <si>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</si>
  <si>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</si>
  <si>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</si>
  <si>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</si>
  <si>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</si>
  <si>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</si>
  <si>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</si>
  <si>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</si>
  <si>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</si>
  <si>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</si>
  <si>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</si>
  <si>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</si>
  <si>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</si>
  <si>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</si>
  <si>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</si>
  <si>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</si>
  <si>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</si>
  <si>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</si>
  <si>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</si>
  <si>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</si>
  <si>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</si>
  <si>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</si>
  <si>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</si>
  <si>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</si>
  <si>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</si>
  <si>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</si>
  <si>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</si>
  <si>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</si>
  <si>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</si>
  <si>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</si>
  <si>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</si>
  <si>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</si>
  <si>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</si>
  <si>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</si>
  <si>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</si>
  <si>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</si>
  <si>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</si>
  <si>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</si>
  <si>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</si>
  <si>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</si>
  <si>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</si>
  <si>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</si>
  <si>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</si>
  <si>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</si>
  <si>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</si>
  <si>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</si>
  <si>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</si>
  <si>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</si>
  <si>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</si>
  <si>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</si>
  <si>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</si>
  <si>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</si>
  <si>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</si>
  <si>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</si>
  <si>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</si>
  <si>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</si>
  <si>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</si>
  <si>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</si>
  <si>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</si>
  <si>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</si>
  <si>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</si>
  <si>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</si>
  <si>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</si>
  <si>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</si>
  <si>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</si>
  <si>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</si>
  <si>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</si>
  <si>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</si>
  <si>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</si>
  <si>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</si>
  <si>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</si>
  <si>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</si>
  <si>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</si>
  <si>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</si>
  <si>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</si>
  <si>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</si>
  <si>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</si>
  <si>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</si>
  <si>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</si>
  <si>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</si>
  <si>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</si>
  <si>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</si>
  <si>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</si>
  <si>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</si>
  <si>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</si>
  <si>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</si>
  <si>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</si>
  <si>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</si>
  <si>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</si>
  <si>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</si>
  <si>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</si>
  <si>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</si>
  <si>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</si>
  <si>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</si>
  <si>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</si>
  <si>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</si>
  <si>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</si>
  <si>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</si>
  <si>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</si>
  <si>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</si>
  <si>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</si>
  <si>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</si>
  <si>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</si>
  <si>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</si>
  <si>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</si>
  <si>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</si>
  <si>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</si>
  <si>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</si>
  <si>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</si>
  <si>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</si>
  <si>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</si>
  <si>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</si>
  <si>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</si>
  <si>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</si>
  <si>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</si>
  <si>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</si>
  <si>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</si>
  <si>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</si>
  <si>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</si>
  <si>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</si>
  <si>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</si>
  <si>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</si>
  <si>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</si>
  <si>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</si>
  <si>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</si>
  <si>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</si>
  <si>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</si>
  <si>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</si>
  <si>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</si>
  <si>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</si>
  <si>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</si>
  <si>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</si>
  <si>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</si>
  <si>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</si>
  <si>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</si>
  <si>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</si>
  <si>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</si>
  <si>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</si>
  <si>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</si>
  <si>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</si>
  <si>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</si>
  <si>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</si>
  <si>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</si>
  <si>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</si>
  <si>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</si>
  <si>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</si>
  <si>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</si>
  <si>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</si>
  <si>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</si>
  <si>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</si>
  <si>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</si>
  <si>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</si>
  <si>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</si>
  <si>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</si>
  <si>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</si>
  <si>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</si>
  <si>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</si>
  <si>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</si>
  <si>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</si>
  <si>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</si>
  <si>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</si>
  <si>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</si>
  <si>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</si>
  <si>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</si>
  <si>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</si>
  <si>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</si>
  <si>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</si>
  <si>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</si>
  <si>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</si>
  <si>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</si>
  <si>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</si>
  <si>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</si>
  <si>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</si>
  <si>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</si>
  <si>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</si>
  <si>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</si>
  <si>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</si>
  <si>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</si>
  <si>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</si>
  <si>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</si>
  <si>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</si>
  <si>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</si>
  <si>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</si>
  <si>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</si>
  <si>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</si>
  <si>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</si>
  <si>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</si>
  <si>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</si>
  <si>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</si>
  <si>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</si>
  <si>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</si>
  <si>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</si>
  <si>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</si>
  <si>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</si>
  <si>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</si>
  <si>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</si>
  <si>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</si>
  <si>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</si>
  <si>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</si>
  <si>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</si>
  <si>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</si>
  <si>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</si>
  <si>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</si>
  <si>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</si>
  <si>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</si>
  <si>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</si>
  <si>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</si>
  <si>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</si>
  <si>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</si>
  <si>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</si>
  <si>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</si>
  <si>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</si>
  <si>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</si>
  <si>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</si>
  <si>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</si>
  <si>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</si>
  <si>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</si>
  <si>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</si>
  <si>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</si>
  <si>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</si>
  <si>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</si>
  <si>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</si>
  <si>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</si>
  <si>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</si>
  <si>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</si>
  <si>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</si>
  <si>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</si>
  <si>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</si>
  <si>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</si>
  <si>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</si>
  <si>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</si>
  <si>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</si>
  <si>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</si>
  <si>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</si>
  <si>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</si>
  <si>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</si>
  <si>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</si>
  <si>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</si>
  <si>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</si>
  <si>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</si>
  <si>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</si>
  <si>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</si>
  <si>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</si>
  <si>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</si>
  <si>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</si>
  <si>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</si>
  <si>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</si>
  <si>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</si>
  <si>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</si>
  <si>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</si>
  <si>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</si>
  <si>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</si>
  <si>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</si>
  <si>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</si>
  <si>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</si>
  <si>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</si>
  <si>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</si>
  <si>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</si>
  <si>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</si>
  <si>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</si>
  <si>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</si>
  <si>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</si>
  <si>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</si>
  <si>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</si>
  <si>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</si>
  <si>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</si>
  <si>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</si>
  <si>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</si>
  <si>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</si>
  <si>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</si>
  <si>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</si>
  <si>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</si>
  <si>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</si>
  <si>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</si>
  <si>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</si>
  <si>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</si>
  <si>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</si>
  <si>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</si>
  <si>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</si>
  <si>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</si>
  <si>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</si>
  <si>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</si>
  <si>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</si>
  <si>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</si>
  <si>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</si>
  <si>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</si>
  <si>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</si>
  <si>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</si>
  <si>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</si>
  <si>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</si>
  <si>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</si>
  <si>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</si>
  <si>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</si>
  <si>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</si>
  <si>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</si>
  <si>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</si>
  <si>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</si>
  <si>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</si>
  <si>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</si>
  <si>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</si>
  <si>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</si>
  <si>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</si>
  <si>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</si>
  <si>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</si>
  <si>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</si>
  <si>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</si>
  <si>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</si>
  <si>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</si>
  <si>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</si>
  <si>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</si>
  <si>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</si>
  <si>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</si>
  <si>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</si>
  <si>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</si>
  <si>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</si>
  <si>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</si>
  <si>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</si>
  <si>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</si>
  <si>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</si>
  <si>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</si>
  <si>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</si>
  <si>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</si>
  <si>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</si>
  <si>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</si>
  <si>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</si>
  <si>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</si>
  <si>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</si>
  <si>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</si>
  <si>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</si>
  <si>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</si>
  <si>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</si>
  <si>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</si>
  <si>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</si>
  <si>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</si>
  <si>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</si>
  <si>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</si>
  <si>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</si>
  <si>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</si>
  <si>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</si>
  <si>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</si>
  <si>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</si>
  <si>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</si>
  <si>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</si>
  <si>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</si>
  <si>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</si>
  <si>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</si>
  <si>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</si>
  <si>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</si>
  <si>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</si>
  <si>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</si>
  <si>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</si>
  <si>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</si>
  <si>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</si>
  <si>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</si>
  <si>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</si>
  <si>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</si>
  <si>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</si>
  <si>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</si>
  <si>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</si>
  <si>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</si>
  <si>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</si>
  <si>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</si>
  <si>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</si>
  <si>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</si>
  <si>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</si>
  <si>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</si>
  <si>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</si>
  <si>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</si>
  <si>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</si>
  <si>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</si>
  <si>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</si>
  <si>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</si>
  <si>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</si>
  <si>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</si>
  <si>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</si>
  <si>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</si>
  <si>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</si>
  <si>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</si>
  <si>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</si>
  <si>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</si>
  <si>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</si>
  <si>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</si>
  <si>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</si>
  <si>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</si>
  <si>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</si>
  <si>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</si>
  <si>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</si>
  <si>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</si>
  <si>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</si>
  <si>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</si>
  <si>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</si>
  <si>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</si>
  <si>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</si>
  <si>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</si>
  <si>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</si>
  <si>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</si>
  <si>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</si>
  <si>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</si>
  <si>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</si>
  <si>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</si>
  <si>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</si>
  <si>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</si>
  <si>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</si>
  <si>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</si>
  <si>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</si>
  <si>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</si>
  <si>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</si>
  <si>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</si>
  <si>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</si>
  <si>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</si>
  <si>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</si>
  <si>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</si>
  <si>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</si>
  <si>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</si>
  <si>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</si>
  <si>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</si>
  <si>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</si>
  <si>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</si>
  <si>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</si>
  <si>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</si>
  <si>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</si>
  <si>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</si>
  <si>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</si>
  <si>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</si>
  <si>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</si>
  <si>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</si>
  <si>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</si>
  <si>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</si>
  <si>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</si>
  <si>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</si>
  <si>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</si>
  <si>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</si>
  <si>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</si>
  <si>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</si>
  <si>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</si>
  <si>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</si>
  <si>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</si>
  <si>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</si>
  <si>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</si>
  <si>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</si>
  <si>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</si>
  <si>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</si>
  <si>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</si>
  <si>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</si>
  <si>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</si>
  <si>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</si>
  <si>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</si>
  <si>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</si>
  <si>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</si>
  <si>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</si>
  <si>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</si>
  <si>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</si>
  <si>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</si>
  <si>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</si>
  <si>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</si>
  <si>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</si>
  <si>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</si>
  <si>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</si>
  <si>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</si>
  <si>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</si>
  <si>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</si>
  <si>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</si>
  <si>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</si>
  <si>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</si>
  <si>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</si>
  <si>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</si>
  <si>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</si>
  <si>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</si>
  <si>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</si>
  <si>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</si>
  <si>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</si>
  <si>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</si>
  <si>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</si>
  <si>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</si>
  <si>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</si>
  <si>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</si>
  <si>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</si>
  <si>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</si>
  <si>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</si>
  <si>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</si>
  <si>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</si>
  <si>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</si>
  <si>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</si>
  <si>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</si>
  <si>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</si>
  <si>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</si>
  <si>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</si>
  <si>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</si>
  <si>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</si>
  <si>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</si>
  <si>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</si>
  <si>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</si>
  <si>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</si>
  <si>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</si>
  <si>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</si>
  <si>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</si>
  <si>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</si>
  <si>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</si>
  <si>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</si>
  <si>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</si>
  <si>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</si>
  <si>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</si>
  <si>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</si>
  <si>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</si>
  <si>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</si>
  <si>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</si>
  <si>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</si>
  <si>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</si>
  <si>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</si>
  <si>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</si>
  <si>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</si>
  <si>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</si>
  <si>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</si>
  <si>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</si>
  <si>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</si>
  <si>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</si>
  <si>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</si>
  <si>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</si>
  <si>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</si>
  <si>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</si>
  <si>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</si>
  <si>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</si>
  <si>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</si>
  <si>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</si>
  <si>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</si>
  <si>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</si>
  <si>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</si>
  <si>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</si>
  <si>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</si>
  <si>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</si>
  <si>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</si>
  <si>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</si>
  <si>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</si>
  <si>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</si>
  <si>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</si>
  <si>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</si>
  <si>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</si>
  <si>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</si>
  <si>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</si>
  <si>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</si>
  <si>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</si>
  <si>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</si>
  <si>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</si>
  <si>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</si>
  <si>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</si>
  <si>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</si>
  <si>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</si>
  <si>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</si>
  <si>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</si>
  <si>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</si>
  <si>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</si>
  <si>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</si>
  <si>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</si>
  <si>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</si>
  <si>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</si>
  <si>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</si>
  <si>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</si>
  <si>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</si>
  <si>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</si>
  <si>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</si>
  <si>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</si>
  <si>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</si>
  <si>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</si>
  <si>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</si>
  <si>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</si>
  <si>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</si>
  <si>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</si>
  <si>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</si>
  <si>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</si>
  <si>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</si>
  <si>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</si>
  <si>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</si>
  <si>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</si>
  <si>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</si>
  <si>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</si>
  <si>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</si>
  <si>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</si>
  <si>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</si>
  <si>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</si>
  <si>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</si>
  <si>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</si>
  <si>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</si>
  <si>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</si>
  <si>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</si>
  <si>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</si>
  <si>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</si>
  <si>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</si>
  <si>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</si>
  <si>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</si>
  <si>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</si>
  <si>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</si>
  <si>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</si>
  <si>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</si>
  <si>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</si>
  <si>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</si>
  <si>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</si>
  <si>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</si>
  <si>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</si>
  <si>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</si>
  <si>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</si>
  <si>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</si>
  <si>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</si>
  <si>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</si>
  <si>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</si>
  <si>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</si>
  <si>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</si>
  <si>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</si>
  <si>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</si>
  <si>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</si>
  <si>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</si>
  <si>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</si>
  <si>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</si>
  <si>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</si>
  <si>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</si>
  <si>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</si>
  <si>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</si>
  <si>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</si>
  <si>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</si>
  <si>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</si>
  <si>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</si>
  <si>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</si>
  <si>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</si>
  <si>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</si>
  <si>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</si>
  <si>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</si>
  <si>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</si>
  <si>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</si>
  <si>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</si>
  <si>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</si>
  <si>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</si>
  <si>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</si>
  <si>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</si>
  <si>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</si>
  <si>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</si>
  <si>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</si>
  <si>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</si>
  <si>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</si>
  <si>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</si>
  <si>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</si>
  <si>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</si>
  <si>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</si>
  <si>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</si>
  <si>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</si>
  <si>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</si>
  <si>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</si>
  <si>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</si>
  <si>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</si>
  <si>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</si>
  <si>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</si>
  <si>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</si>
  <si>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</si>
  <si>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</si>
  <si>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</si>
  <si>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</si>
  <si>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</si>
  <si>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</si>
  <si>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</si>
  <si>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</si>
  <si>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</si>
  <si>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</si>
  <si>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</si>
  <si>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</si>
  <si>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</si>
  <si>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</si>
  <si>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</si>
  <si>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</si>
  <si>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</si>
  <si>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</si>
  <si>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</si>
  <si>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</si>
  <si>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</si>
  <si>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</si>
  <si>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</si>
  <si>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</si>
  <si>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</si>
  <si>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</si>
  <si>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</si>
  <si>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</si>
  <si>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</si>
  <si>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</si>
  <si>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</si>
  <si>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</si>
  <si>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</si>
  <si>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</si>
  <si>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</si>
  <si>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</si>
  <si>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</si>
  <si>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</si>
  <si>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</si>
  <si>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</si>
  <si>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</si>
  <si>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</si>
  <si>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</si>
  <si>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</si>
  <si>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</si>
  <si>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</si>
  <si>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</si>
  <si>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</si>
  <si>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</si>
  <si>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</si>
  <si>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</si>
  <si>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</si>
  <si>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</si>
  <si>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</si>
  <si>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</si>
  <si>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</si>
  <si>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</si>
  <si>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</si>
  <si>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</si>
  <si>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</si>
  <si>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</si>
  <si>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</si>
  <si>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</si>
  <si>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</si>
  <si>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</si>
  <si>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</si>
  <si>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</si>
  <si>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</si>
  <si>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</si>
  <si>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</si>
  <si>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</si>
  <si>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</si>
  <si>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</si>
  <si>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</si>
  <si>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</si>
  <si>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</si>
  <si>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</si>
  <si>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</si>
  <si>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</si>
  <si>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</si>
  <si>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</si>
  <si>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</si>
  <si>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</si>
  <si>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</si>
  <si>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</si>
  <si>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</si>
  <si>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</si>
  <si>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</si>
  <si>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</si>
  <si>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</si>
  <si>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</si>
  <si>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</si>
  <si>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</si>
  <si>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</si>
  <si>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</si>
  <si>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</si>
  <si>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</si>
  <si>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</si>
  <si>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</si>
  <si>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</si>
  <si>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</si>
  <si>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</si>
  <si>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</si>
  <si>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</si>
  <si>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</si>
  <si>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</si>
  <si>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</si>
  <si>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</si>
  <si>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</si>
  <si>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</si>
  <si>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</si>
  <si>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</si>
  <si>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</si>
  <si>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</si>
  <si>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</si>
  <si>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</si>
  <si>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</si>
  <si>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</si>
  <si>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</si>
  <si>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</si>
  <si>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</si>
  <si>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</si>
  <si>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</si>
  <si>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</si>
  <si>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</si>
  <si>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</si>
  <si>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</si>
  <si>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</si>
  <si>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</si>
  <si>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</si>
  <si>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</si>
  <si>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</si>
  <si>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</si>
  <si>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</si>
  <si>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</si>
  <si>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</si>
  <si>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</si>
  <si>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</si>
  <si>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</si>
  <si>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</si>
  <si>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</si>
  <si>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</si>
  <si>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</si>
  <si>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</si>
  <si>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</si>
  <si>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</si>
  <si>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</si>
  <si>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</si>
  <si>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</si>
  <si>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</si>
  <si>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</si>
  <si>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</si>
  <si>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</si>
  <si>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</si>
  <si>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</si>
  <si>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</si>
  <si>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</si>
  <si>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</si>
  <si>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</si>
  <si>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</si>
  <si>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</si>
  <si>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</si>
  <si>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</si>
  <si>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</si>
  <si>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</si>
  <si>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</si>
  <si>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</si>
  <si>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</si>
  <si>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</si>
  <si>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</si>
  <si>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</si>
  <si>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</si>
  <si>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</si>
  <si>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</si>
  <si>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</si>
  <si>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</si>
  <si>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</si>
  <si>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</si>
  <si>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</si>
  <si>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</si>
  <si>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</si>
  <si>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</si>
  <si>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</si>
  <si>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</si>
  <si>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</si>
  <si>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</si>
  <si>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</si>
  <si>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</si>
  <si>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</si>
  <si>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</si>
  <si>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</si>
  <si>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</si>
  <si>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</si>
  <si>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</si>
  <si>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</si>
  <si>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</si>
  <si>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</si>
  <si>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</si>
  <si>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</si>
  <si>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</si>
  <si>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13006</t>
  </si>
  <si>
    <t>DESSEL</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</si>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</sst>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88570.050070066354</c:v>
                </c:pt>
                <c:pt idx="1">
                  <c:v>24773.35368121502</c:v>
                </c:pt>
                <c:pt idx="2">
                  <c:v>448.74200000000002</c:v>
                </c:pt>
                <c:pt idx="3">
                  <c:v>4329.4727391970164</c:v>
                </c:pt>
                <c:pt idx="4">
                  <c:v>102002.64677076622</c:v>
                </c:pt>
                <c:pt idx="5">
                  <c:v>34302.814558017883</c:v>
                </c:pt>
                <c:pt idx="6">
                  <c:v>449.0850982887427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88570.050070066354</c:v>
                </c:pt>
                <c:pt idx="1">
                  <c:v>24773.35368121502</c:v>
                </c:pt>
                <c:pt idx="2">
                  <c:v>448.74200000000002</c:v>
                </c:pt>
                <c:pt idx="3">
                  <c:v>4329.4727391970164</c:v>
                </c:pt>
                <c:pt idx="4">
                  <c:v>102002.64677076622</c:v>
                </c:pt>
                <c:pt idx="5">
                  <c:v>34302.814558017883</c:v>
                </c:pt>
                <c:pt idx="6">
                  <c:v>449.0850982887427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16011.004836122631</c:v>
                </c:pt>
                <c:pt idx="2">
                  <c:v>4834.0384791060924</c:v>
                </c:pt>
                <c:pt idx="3">
                  <c:v>92.654325381697376</c:v>
                </c:pt>
                <c:pt idx="4">
                  <c:v>1107.648006113724</c:v>
                </c:pt>
                <c:pt idx="5">
                  <c:v>17131.623218143301</c:v>
                </c:pt>
                <c:pt idx="6">
                  <c:v>8764.5522022166024</c:v>
                </c:pt>
                <c:pt idx="7">
                  <c:v>116.29840490369017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91296"/>
        <c:axId val="184062720"/>
      </c:barChart>
      <c:catAx>
        <c:axId val="183991296"/>
        <c:scaling>
          <c:orientation val="minMax"/>
        </c:scaling>
        <c:axPos val="b"/>
        <c:numFmt formatCode="General" sourceLinked="0"/>
        <c:tickLblPos val="nextTo"/>
        <c:crossAx val="184062720"/>
        <c:crosses val="autoZero"/>
        <c:auto val="1"/>
        <c:lblAlgn val="ctr"/>
        <c:lblOffset val="100"/>
      </c:catAx>
      <c:valAx>
        <c:axId val="184062720"/>
        <c:scaling>
          <c:orientation val="minMax"/>
        </c:scaling>
        <c:axPos val="l"/>
        <c:majorGridlines/>
        <c:numFmt formatCode="#,##0" sourceLinked="1"/>
        <c:tickLblPos val="nextTo"/>
        <c:crossAx val="183991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16011.004836122631</c:v>
                </c:pt>
                <c:pt idx="2">
                  <c:v>4834.0384791060924</c:v>
                </c:pt>
                <c:pt idx="3">
                  <c:v>92.654325381697376</c:v>
                </c:pt>
                <c:pt idx="4">
                  <c:v>1107.648006113724</c:v>
                </c:pt>
                <c:pt idx="5">
                  <c:v>17131.623218143301</c:v>
                </c:pt>
                <c:pt idx="6">
                  <c:v>8764.5522022166024</c:v>
                </c:pt>
                <c:pt idx="7">
                  <c:v>116.29840490369017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13006</v>
      </c>
      <c r="B6" s="415"/>
      <c r="C6" s="416"/>
    </row>
    <row r="7" spans="1:7" s="413" customFormat="1" ht="15.75" customHeight="1">
      <c r="A7" s="417" t="str">
        <f>txtMunicipality</f>
        <v>DESSEL</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0.20647571518087759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0.20647571518087759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13006</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3858</v>
      </c>
      <c r="C9" s="342">
        <v>3959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909.48</v>
      </c>
    </row>
    <row r="15" spans="1:6">
      <c r="A15" s="348" t="s">
        <v>184</v>
      </c>
      <c r="B15" s="334">
        <v>1954</v>
      </c>
    </row>
    <row r="16" spans="1:6">
      <c r="A16" s="348" t="s">
        <v>6</v>
      </c>
      <c r="B16" s="334">
        <v>569</v>
      </c>
    </row>
    <row r="17" spans="1:6">
      <c r="A17" s="348" t="s">
        <v>7</v>
      </c>
      <c r="B17" s="334">
        <v>34</v>
      </c>
    </row>
    <row r="18" spans="1:6">
      <c r="A18" s="348" t="s">
        <v>8</v>
      </c>
      <c r="B18" s="334">
        <v>290</v>
      </c>
    </row>
    <row r="19" spans="1:6">
      <c r="A19" s="348" t="s">
        <v>9</v>
      </c>
      <c r="B19" s="334">
        <v>232</v>
      </c>
    </row>
    <row r="20" spans="1:6">
      <c r="A20" s="348" t="s">
        <v>10</v>
      </c>
      <c r="B20" s="334">
        <v>101</v>
      </c>
    </row>
    <row r="21" spans="1:6">
      <c r="A21" s="348" t="s">
        <v>11</v>
      </c>
      <c r="B21" s="334">
        <v>493</v>
      </c>
    </row>
    <row r="22" spans="1:6">
      <c r="A22" s="348" t="s">
        <v>12</v>
      </c>
      <c r="B22" s="334">
        <v>4193</v>
      </c>
    </row>
    <row r="23" spans="1:6">
      <c r="A23" s="348" t="s">
        <v>13</v>
      </c>
      <c r="B23" s="334">
        <v>45</v>
      </c>
    </row>
    <row r="24" spans="1:6">
      <c r="A24" s="348" t="s">
        <v>14</v>
      </c>
      <c r="B24" s="334">
        <v>2</v>
      </c>
    </row>
    <row r="25" spans="1:6">
      <c r="A25" s="348" t="s">
        <v>15</v>
      </c>
      <c r="B25" s="334">
        <v>188</v>
      </c>
    </row>
    <row r="26" spans="1:6">
      <c r="A26" s="348" t="s">
        <v>16</v>
      </c>
      <c r="B26" s="334">
        <v>0</v>
      </c>
    </row>
    <row r="27" spans="1:6">
      <c r="A27" s="348" t="s">
        <v>17</v>
      </c>
      <c r="B27" s="334">
        <v>0</v>
      </c>
    </row>
    <row r="28" spans="1:6" s="356" customFormat="1">
      <c r="A28" s="355" t="s">
        <v>18</v>
      </c>
      <c r="B28" s="355">
        <v>68470</v>
      </c>
    </row>
    <row r="29" spans="1:6">
      <c r="A29" s="355" t="s">
        <v>884</v>
      </c>
      <c r="B29" s="355">
        <v>30</v>
      </c>
      <c r="C29" s="356"/>
      <c r="D29" s="356"/>
      <c r="E29" s="356"/>
      <c r="F29" s="356"/>
    </row>
    <row r="30" spans="1:6">
      <c r="A30" s="355" t="s">
        <v>885</v>
      </c>
      <c r="B30" s="341">
        <v>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2101</v>
      </c>
      <c r="D39" s="334">
        <v>34850908.984999999</v>
      </c>
      <c r="E39" s="334">
        <v>3754</v>
      </c>
      <c r="F39" s="334">
        <v>13719021.197000001</v>
      </c>
    </row>
    <row r="40" spans="1:6">
      <c r="A40" s="348" t="s">
        <v>30</v>
      </c>
      <c r="B40" s="348" t="s">
        <v>29</v>
      </c>
      <c r="C40" s="334">
        <v>0</v>
      </c>
      <c r="D40" s="334">
        <v>0</v>
      </c>
      <c r="E40" s="334">
        <v>0</v>
      </c>
      <c r="F40" s="334">
        <v>0</v>
      </c>
    </row>
    <row r="41" spans="1:6">
      <c r="A41" s="348" t="s">
        <v>32</v>
      </c>
      <c r="B41" s="348" t="s">
        <v>33</v>
      </c>
      <c r="C41" s="334">
        <v>36</v>
      </c>
      <c r="D41" s="334">
        <v>943932.04584999999</v>
      </c>
      <c r="E41" s="334">
        <v>96</v>
      </c>
      <c r="F41" s="334">
        <v>1901651.2080000001</v>
      </c>
    </row>
    <row r="42" spans="1:6">
      <c r="A42" s="348" t="s">
        <v>32</v>
      </c>
      <c r="B42" s="348" t="s">
        <v>34</v>
      </c>
      <c r="C42" s="334">
        <v>0</v>
      </c>
      <c r="D42" s="334">
        <v>0</v>
      </c>
      <c r="E42" s="334">
        <v>5</v>
      </c>
      <c r="F42" s="334">
        <v>13640149.913000001</v>
      </c>
    </row>
    <row r="43" spans="1:6">
      <c r="A43" s="348" t="s">
        <v>32</v>
      </c>
      <c r="B43" s="348" t="s">
        <v>35</v>
      </c>
      <c r="C43" s="334">
        <v>0</v>
      </c>
      <c r="D43" s="334">
        <v>0</v>
      </c>
      <c r="E43" s="334">
        <v>0</v>
      </c>
      <c r="F43" s="334">
        <v>0</v>
      </c>
    </row>
    <row r="44" spans="1:6">
      <c r="A44" s="348" t="s">
        <v>32</v>
      </c>
      <c r="B44" s="348" t="s">
        <v>36</v>
      </c>
      <c r="C44" s="334">
        <v>0</v>
      </c>
      <c r="D44" s="334">
        <v>0</v>
      </c>
      <c r="E44" s="334">
        <v>3</v>
      </c>
      <c r="F44" s="334">
        <v>107588.1642</v>
      </c>
    </row>
    <row r="45" spans="1:6">
      <c r="A45" s="348" t="s">
        <v>32</v>
      </c>
      <c r="B45" s="348" t="s">
        <v>37</v>
      </c>
      <c r="C45" s="334">
        <v>0</v>
      </c>
      <c r="D45" s="334">
        <v>0</v>
      </c>
      <c r="E45" s="334">
        <v>3</v>
      </c>
      <c r="F45" s="334">
        <v>659980.36906000006</v>
      </c>
    </row>
    <row r="46" spans="1:6">
      <c r="A46" s="348" t="s">
        <v>32</v>
      </c>
      <c r="B46" s="348" t="s">
        <v>38</v>
      </c>
      <c r="C46" s="334">
        <v>0</v>
      </c>
      <c r="D46" s="334">
        <v>0</v>
      </c>
      <c r="E46" s="334">
        <v>0</v>
      </c>
      <c r="F46" s="334">
        <v>0</v>
      </c>
    </row>
    <row r="47" spans="1:6">
      <c r="A47" s="348" t="s">
        <v>32</v>
      </c>
      <c r="B47" s="348" t="s">
        <v>39</v>
      </c>
      <c r="C47" s="334">
        <v>4</v>
      </c>
      <c r="D47" s="334">
        <v>9536633.1995999999</v>
      </c>
      <c r="E47" s="334">
        <v>4</v>
      </c>
      <c r="F47" s="334">
        <v>8299893.1075999998</v>
      </c>
    </row>
    <row r="48" spans="1:6">
      <c r="A48" s="348" t="s">
        <v>32</v>
      </c>
      <c r="B48" s="348" t="s">
        <v>29</v>
      </c>
      <c r="C48" s="334">
        <v>24</v>
      </c>
      <c r="D48" s="334">
        <v>5237475.2740000002</v>
      </c>
      <c r="E48" s="334">
        <v>20</v>
      </c>
      <c r="F48" s="334">
        <v>29311220.546</v>
      </c>
    </row>
    <row r="49" spans="1:6">
      <c r="A49" s="348" t="s">
        <v>32</v>
      </c>
      <c r="B49" s="348" t="s">
        <v>40</v>
      </c>
      <c r="C49" s="334">
        <v>0</v>
      </c>
      <c r="D49" s="334">
        <v>0</v>
      </c>
      <c r="E49" s="334">
        <v>0</v>
      </c>
      <c r="F49" s="334">
        <v>0</v>
      </c>
    </row>
    <row r="50" spans="1:6">
      <c r="A50" s="348" t="s">
        <v>32</v>
      </c>
      <c r="B50" s="348" t="s">
        <v>41</v>
      </c>
      <c r="C50" s="334">
        <v>0</v>
      </c>
      <c r="D50" s="334">
        <v>0</v>
      </c>
      <c r="E50" s="334">
        <v>3</v>
      </c>
      <c r="F50" s="334">
        <v>342810.46766000002</v>
      </c>
    </row>
    <row r="51" spans="1:6">
      <c r="A51" s="348" t="s">
        <v>42</v>
      </c>
      <c r="B51" s="348" t="s">
        <v>43</v>
      </c>
      <c r="C51" s="334">
        <v>0</v>
      </c>
      <c r="D51" s="334">
        <v>0</v>
      </c>
      <c r="E51" s="334">
        <v>33</v>
      </c>
      <c r="F51" s="334">
        <v>824419.64856999996</v>
      </c>
    </row>
    <row r="52" spans="1:6">
      <c r="A52" s="348" t="s">
        <v>42</v>
      </c>
      <c r="B52" s="348" t="s">
        <v>29</v>
      </c>
      <c r="C52" s="334">
        <v>4</v>
      </c>
      <c r="D52" s="334">
        <v>87441.738129000005</v>
      </c>
      <c r="E52" s="334">
        <v>7</v>
      </c>
      <c r="F52" s="334">
        <v>56544.768560999997</v>
      </c>
    </row>
    <row r="53" spans="1:6">
      <c r="A53" s="348" t="s">
        <v>44</v>
      </c>
      <c r="B53" s="348" t="s">
        <v>45</v>
      </c>
      <c r="C53" s="334">
        <v>39</v>
      </c>
      <c r="D53" s="334">
        <v>795605.32571</v>
      </c>
      <c r="E53" s="334">
        <v>132</v>
      </c>
      <c r="F53" s="334">
        <v>514837.81037999998</v>
      </c>
    </row>
    <row r="54" spans="1:6">
      <c r="A54" s="348" t="s">
        <v>46</v>
      </c>
      <c r="B54" s="348" t="s">
        <v>47</v>
      </c>
      <c r="C54" s="334">
        <v>0</v>
      </c>
      <c r="D54" s="334">
        <v>0</v>
      </c>
      <c r="E54" s="334">
        <v>1</v>
      </c>
      <c r="F54" s="334">
        <v>448742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30</v>
      </c>
      <c r="D57" s="334">
        <v>2292709.8525999999</v>
      </c>
      <c r="E57" s="334">
        <v>87</v>
      </c>
      <c r="F57" s="334">
        <v>1965927.9336000001</v>
      </c>
    </row>
    <row r="58" spans="1:6">
      <c r="A58" s="348" t="s">
        <v>49</v>
      </c>
      <c r="B58" s="348" t="s">
        <v>51</v>
      </c>
      <c r="C58" s="334">
        <v>7</v>
      </c>
      <c r="D58" s="334">
        <v>139186.69149</v>
      </c>
      <c r="E58" s="334">
        <v>11</v>
      </c>
      <c r="F58" s="334">
        <v>63699.020859999997</v>
      </c>
    </row>
    <row r="59" spans="1:6">
      <c r="A59" s="348" t="s">
        <v>49</v>
      </c>
      <c r="B59" s="348" t="s">
        <v>52</v>
      </c>
      <c r="C59" s="334">
        <v>22</v>
      </c>
      <c r="D59" s="334">
        <v>576799.17793000001</v>
      </c>
      <c r="E59" s="334">
        <v>76</v>
      </c>
      <c r="F59" s="334">
        <v>2411023.8552999999</v>
      </c>
    </row>
    <row r="60" spans="1:6">
      <c r="A60" s="348" t="s">
        <v>49</v>
      </c>
      <c r="B60" s="348" t="s">
        <v>53</v>
      </c>
      <c r="C60" s="334">
        <v>20</v>
      </c>
      <c r="D60" s="334">
        <v>783406.18828999996</v>
      </c>
      <c r="E60" s="334">
        <v>39</v>
      </c>
      <c r="F60" s="334">
        <v>732381.29883999994</v>
      </c>
    </row>
    <row r="61" spans="1:6">
      <c r="A61" s="348" t="s">
        <v>49</v>
      </c>
      <c r="B61" s="348" t="s">
        <v>54</v>
      </c>
      <c r="C61" s="334">
        <v>37</v>
      </c>
      <c r="D61" s="334">
        <v>773365.02590999997</v>
      </c>
      <c r="E61" s="334">
        <v>79</v>
      </c>
      <c r="F61" s="334">
        <v>1857768.5404000001</v>
      </c>
    </row>
    <row r="62" spans="1:6">
      <c r="A62" s="348" t="s">
        <v>49</v>
      </c>
      <c r="B62" s="348" t="s">
        <v>55</v>
      </c>
      <c r="C62" s="334">
        <v>0</v>
      </c>
      <c r="D62" s="334">
        <v>0</v>
      </c>
      <c r="E62" s="334">
        <v>0</v>
      </c>
      <c r="F62" s="334">
        <v>0</v>
      </c>
    </row>
    <row r="63" spans="1:6">
      <c r="A63" s="348" t="s">
        <v>49</v>
      </c>
      <c r="B63" s="348" t="s">
        <v>29</v>
      </c>
      <c r="C63" s="334">
        <v>71</v>
      </c>
      <c r="D63" s="334">
        <v>7064405.4764999999</v>
      </c>
      <c r="E63" s="334">
        <v>72</v>
      </c>
      <c r="F63" s="334">
        <v>2786403.5543</v>
      </c>
    </row>
    <row r="64" spans="1:6">
      <c r="A64" s="348" t="s">
        <v>56</v>
      </c>
      <c r="B64" s="348" t="s">
        <v>57</v>
      </c>
      <c r="C64" s="334">
        <v>0</v>
      </c>
      <c r="D64" s="334">
        <v>0</v>
      </c>
      <c r="E64" s="334">
        <v>0</v>
      </c>
      <c r="F64" s="334">
        <v>0</v>
      </c>
    </row>
    <row r="65" spans="1:6">
      <c r="A65" s="348" t="s">
        <v>56</v>
      </c>
      <c r="B65" s="348" t="s">
        <v>29</v>
      </c>
      <c r="C65" s="334">
        <v>2</v>
      </c>
      <c r="D65" s="334">
        <v>37860.313897</v>
      </c>
      <c r="E65" s="334">
        <v>1</v>
      </c>
      <c r="F65" s="334">
        <v>1791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9</v>
      </c>
      <c r="F68" s="334">
        <v>237476.14350999999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34205596</v>
      </c>
      <c r="E73" s="475">
        <v>35132416.646801271</v>
      </c>
    </row>
    <row r="74" spans="1:6">
      <c r="A74" s="348" t="s">
        <v>64</v>
      </c>
      <c r="B74" s="348" t="s">
        <v>667</v>
      </c>
      <c r="C74" s="1294" t="s">
        <v>669</v>
      </c>
      <c r="D74" s="475">
        <v>1755535.9325081371</v>
      </c>
      <c r="E74" s="475">
        <v>1800532.5342483041</v>
      </c>
    </row>
    <row r="75" spans="1:6">
      <c r="A75" s="348" t="s">
        <v>65</v>
      </c>
      <c r="B75" s="348" t="s">
        <v>666</v>
      </c>
      <c r="C75" s="1294" t="s">
        <v>670</v>
      </c>
      <c r="D75" s="475">
        <v>8906998</v>
      </c>
      <c r="E75" s="475">
        <v>9151571.8174995258</v>
      </c>
    </row>
    <row r="76" spans="1:6">
      <c r="A76" s="348" t="s">
        <v>65</v>
      </c>
      <c r="B76" s="348" t="s">
        <v>667</v>
      </c>
      <c r="C76" s="1294" t="s">
        <v>671</v>
      </c>
      <c r="D76" s="475">
        <v>410336.93250813702</v>
      </c>
      <c r="E76" s="475">
        <v>421683.24329652125</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120618.13498372601</v>
      </c>
      <c r="C83" s="475">
        <v>120618.13498372601</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3322.8148065490927</v>
      </c>
    </row>
    <row r="92" spans="1:6">
      <c r="A92" s="341" t="s">
        <v>69</v>
      </c>
      <c r="B92" s="342">
        <v>2130.4942686590716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1006</v>
      </c>
    </row>
    <row r="98" spans="1:6">
      <c r="A98" s="348" t="s">
        <v>72</v>
      </c>
      <c r="B98" s="334">
        <v>2</v>
      </c>
    </row>
    <row r="99" spans="1:6">
      <c r="A99" s="348" t="s">
        <v>73</v>
      </c>
      <c r="B99" s="334">
        <v>19</v>
      </c>
    </row>
    <row r="100" spans="1:6">
      <c r="A100" s="348" t="s">
        <v>74</v>
      </c>
      <c r="B100" s="334">
        <v>162</v>
      </c>
    </row>
    <row r="101" spans="1:6">
      <c r="A101" s="348" t="s">
        <v>75</v>
      </c>
      <c r="B101" s="334">
        <v>78</v>
      </c>
    </row>
    <row r="102" spans="1:6">
      <c r="A102" s="348" t="s">
        <v>76</v>
      </c>
      <c r="B102" s="334">
        <v>34</v>
      </c>
    </row>
    <row r="103" spans="1:6">
      <c r="A103" s="348" t="s">
        <v>77</v>
      </c>
      <c r="B103" s="334">
        <v>59</v>
      </c>
    </row>
    <row r="104" spans="1:6">
      <c r="A104" s="348" t="s">
        <v>78</v>
      </c>
      <c r="B104" s="334">
        <v>1884</v>
      </c>
    </row>
    <row r="105" spans="1:6">
      <c r="A105" s="341" t="s">
        <v>79</v>
      </c>
      <c r="B105" s="341">
        <v>11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2</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181</v>
      </c>
    </row>
    <row r="130" spans="1:6">
      <c r="A130" s="348" t="s">
        <v>295</v>
      </c>
      <c r="B130" s="334">
        <v>3</v>
      </c>
    </row>
    <row r="131" spans="1:6">
      <c r="A131" s="348" t="s">
        <v>296</v>
      </c>
      <c r="B131" s="334">
        <v>3</v>
      </c>
    </row>
    <row r="132" spans="1:6">
      <c r="A132" s="341" t="s">
        <v>297</v>
      </c>
      <c r="B132" s="342">
        <v>30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82976.981010058807</v>
      </c>
      <c r="C3" s="43" t="s">
        <v>170</v>
      </c>
      <c r="D3" s="43"/>
      <c r="E3" s="154"/>
      <c r="F3" s="43"/>
      <c r="G3" s="43"/>
      <c r="H3" s="43"/>
      <c r="I3" s="43"/>
      <c r="J3" s="43"/>
      <c r="K3" s="96"/>
    </row>
    <row r="4" spans="1:11">
      <c r="A4" s="383" t="s">
        <v>171</v>
      </c>
      <c r="B4" s="49">
        <f>IF(ISERROR('SEAP template'!B78+'SEAP template'!C78),0,'SEAP template'!B78+'SEAP template'!C78)</f>
        <v>5453.3090752081644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0.20647571518087759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448.74200000000002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448.74200000000002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0.20647571518087759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92.654325381697376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13719.021197</v>
      </c>
      <c r="C5" s="17">
        <f>IF(ISERROR('Eigen informatie GS &amp; warmtenet'!B57),0,'Eigen informatie GS &amp; warmtenet'!B57)</f>
        <v>0</v>
      </c>
      <c r="D5" s="30">
        <f>(SUM(HH_hh_gas_kWh,HH_rest_gas_kWh)/1000)*0.902</f>
        <v>31435.519904470002</v>
      </c>
      <c r="E5" s="17">
        <f>B46*B57</f>
        <v>1333.1891273336416</v>
      </c>
      <c r="F5" s="17">
        <f>B51*B62</f>
        <v>21871.425493209463</v>
      </c>
      <c r="G5" s="18"/>
      <c r="H5" s="17"/>
      <c r="I5" s="17"/>
      <c r="J5" s="17">
        <f>B50*B61+C50*C61</f>
        <v>0</v>
      </c>
      <c r="K5" s="17"/>
      <c r="L5" s="17"/>
      <c r="M5" s="17"/>
      <c r="N5" s="17">
        <f>B48*B59+C48*C59</f>
        <v>15543.942874837476</v>
      </c>
      <c r="O5" s="17">
        <f>B69*B70*B71</f>
        <v>295.47000000000003</v>
      </c>
      <c r="P5" s="17">
        <f>B77*B78*B79/1000-B77*B78*B79/1000/B80</f>
        <v>1048.6666666666667</v>
      </c>
    </row>
    <row r="6" spans="1:16">
      <c r="A6" s="16" t="s">
        <v>624</v>
      </c>
      <c r="B6" s="788">
        <f>kWh_PV_kleiner_dan_10kW</f>
        <v>3322.8148065490927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17041.836003549091</v>
      </c>
      <c r="C8" s="21">
        <f>C5</f>
        <v>0</v>
      </c>
      <c r="D8" s="21">
        <f>D5</f>
        <v>31435.519904470002</v>
      </c>
      <c r="E8" s="21">
        <f>E5</f>
        <v>1333.1891273336416</v>
      </c>
      <c r="F8" s="21">
        <f>F5</f>
        <v>21871.425493209463</v>
      </c>
      <c r="G8" s="21"/>
      <c r="H8" s="21"/>
      <c r="I8" s="21"/>
      <c r="J8" s="21">
        <f>J5</f>
        <v>0</v>
      </c>
      <c r="K8" s="21"/>
      <c r="L8" s="21">
        <f>L5</f>
        <v>0</v>
      </c>
      <c r="M8" s="21">
        <f>M5</f>
        <v>0</v>
      </c>
      <c r="N8" s="21">
        <f>N5</f>
        <v>15543.942874837476</v>
      </c>
      <c r="O8" s="21">
        <f>O5</f>
        <v>295.47000000000003</v>
      </c>
      <c r="P8" s="21">
        <f>P5</f>
        <v>1048.6666666666667</v>
      </c>
    </row>
    <row r="9" spans="1:16">
      <c r="B9" s="19"/>
      <c r="C9" s="19"/>
      <c r="D9" s="258"/>
      <c r="E9" s="19"/>
      <c r="F9" s="19"/>
      <c r="G9" s="19"/>
      <c r="H9" s="19"/>
      <c r="I9" s="19"/>
      <c r="J9" s="19"/>
      <c r="K9" s="19"/>
      <c r="L9" s="19"/>
      <c r="M9" s="19"/>
      <c r="N9" s="19"/>
      <c r="O9" s="19"/>
      <c r="P9" s="19"/>
    </row>
    <row r="10" spans="1:16">
      <c r="A10" s="24" t="s">
        <v>214</v>
      </c>
      <c r="B10" s="25">
        <f ca="1">'EF ele_warmte'!B12</f>
        <v>0.20647571518087759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3518.7252768280273</v>
      </c>
      <c r="C12" s="23">
        <f ca="1">C10*C8</f>
        <v>0</v>
      </c>
      <c r="D12" s="23">
        <f>D8*D10</f>
        <v>6349.975020702941</v>
      </c>
      <c r="E12" s="23">
        <f>E10*E8</f>
        <v>302.63393190473664</v>
      </c>
      <c r="F12" s="23">
        <f>F10*F8</f>
        <v>5839.6706066869265</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1006</v>
      </c>
      <c r="C18" s="166" t="s">
        <v>111</v>
      </c>
      <c r="D18" s="228"/>
      <c r="E18" s="15"/>
    </row>
    <row r="19" spans="1:7">
      <c r="A19" s="171" t="s">
        <v>72</v>
      </c>
      <c r="B19" s="37">
        <f>aantalw2001_ander</f>
        <v>2</v>
      </c>
      <c r="C19" s="166" t="s">
        <v>111</v>
      </c>
      <c r="D19" s="229"/>
      <c r="E19" s="15"/>
    </row>
    <row r="20" spans="1:7">
      <c r="A20" s="171" t="s">
        <v>73</v>
      </c>
      <c r="B20" s="37">
        <f>aantalw2001_propaan</f>
        <v>19</v>
      </c>
      <c r="C20" s="167">
        <f>IF(ISERROR(B20/SUM($B$20,$B$21,$B$22)*100),0,B20/SUM($B$20,$B$21,$B$22)*100)</f>
        <v>7.3359073359073363</v>
      </c>
      <c r="D20" s="229"/>
      <c r="E20" s="15"/>
    </row>
    <row r="21" spans="1:7">
      <c r="A21" s="171" t="s">
        <v>74</v>
      </c>
      <c r="B21" s="37">
        <f>aantalw2001_elektriciteit</f>
        <v>162</v>
      </c>
      <c r="C21" s="167">
        <f>IF(ISERROR(B21/SUM($B$20,$B$21,$B$22)*100),0,B21/SUM($B$20,$B$21,$B$22)*100)</f>
        <v>62.548262548262542</v>
      </c>
      <c r="D21" s="229"/>
      <c r="E21" s="15"/>
    </row>
    <row r="22" spans="1:7">
      <c r="A22" s="171" t="s">
        <v>75</v>
      </c>
      <c r="B22" s="37">
        <f>aantalw2001_hout</f>
        <v>78</v>
      </c>
      <c r="C22" s="167">
        <f>IF(ISERROR(B22/SUM($B$20,$B$21,$B$22)*100),0,B22/SUM($B$20,$B$21,$B$22)*100)</f>
        <v>30.115830115830118</v>
      </c>
      <c r="D22" s="229"/>
      <c r="E22" s="15"/>
    </row>
    <row r="23" spans="1:7">
      <c r="A23" s="171" t="s">
        <v>76</v>
      </c>
      <c r="B23" s="37">
        <f>aantalw2001_niet_gespec</f>
        <v>34</v>
      </c>
      <c r="C23" s="166" t="s">
        <v>111</v>
      </c>
      <c r="D23" s="228"/>
      <c r="E23" s="15"/>
    </row>
    <row r="24" spans="1:7">
      <c r="A24" s="171" t="s">
        <v>77</v>
      </c>
      <c r="B24" s="37">
        <f>aantalw2001_steenkool</f>
        <v>59</v>
      </c>
      <c r="C24" s="166" t="s">
        <v>111</v>
      </c>
      <c r="D24" s="229"/>
      <c r="E24" s="15"/>
    </row>
    <row r="25" spans="1:7">
      <c r="A25" s="171" t="s">
        <v>78</v>
      </c>
      <c r="B25" s="37">
        <f>aantalw2001_stookolie</f>
        <v>1884</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698</v>
      </c>
      <c r="B28" s="37">
        <f>aantalHuishoudens2011</f>
        <v>3858</v>
      </c>
      <c r="C28" s="36"/>
      <c r="D28" s="228"/>
    </row>
    <row r="29" spans="1:7" s="15" customFormat="1">
      <c r="A29" s="230" t="s">
        <v>699</v>
      </c>
      <c r="B29" s="37">
        <f>SUM(HH_hh_gas_aantal,HH_rest_gas_aantal)</f>
        <v>2101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2101</v>
      </c>
      <c r="C32" s="167">
        <f>IF(ISERROR(B32/SUM($B$32,$B$34,$B$35,$B$36,$B$38,$B$39)*100),0,B32/SUM($B$32,$B$34,$B$35,$B$36,$B$38,$B$39)*100)</f>
        <v>55.245858532737323</v>
      </c>
      <c r="D32" s="233"/>
      <c r="G32" s="15"/>
    </row>
    <row r="33" spans="1:7">
      <c r="A33" s="171" t="s">
        <v>72</v>
      </c>
      <c r="B33" s="34" t="s">
        <v>111</v>
      </c>
      <c r="C33" s="167"/>
      <c r="D33" s="233"/>
      <c r="G33" s="15"/>
    </row>
    <row r="34" spans="1:7">
      <c r="A34" s="171" t="s">
        <v>73</v>
      </c>
      <c r="B34" s="33">
        <f>IF((($B$28-$B$32-$B$39-$B$77-$B$38)*C20/100)&lt;0,0,($B$28-$B$32-$B$39-$B$77-$B$38)*C20/100)</f>
        <v>58.944015444015449</v>
      </c>
      <c r="C34" s="167">
        <f>IF(ISERROR(B34/SUM($B$32,$B$34,$B$35,$B$36,$B$38,$B$39)*100),0,B34/SUM($B$32,$B$34,$B$35,$B$36,$B$38,$B$39)*100)</f>
        <v>1.5499346685252551</v>
      </c>
      <c r="D34" s="233"/>
      <c r="G34" s="15"/>
    </row>
    <row r="35" spans="1:7">
      <c r="A35" s="171" t="s">
        <v>74</v>
      </c>
      <c r="B35" s="33">
        <f>IF((($B$28-$B$32-$B$39-$B$77-$B$38)*C21/100)&lt;0,0,($B$28-$B$32-$B$39-$B$77-$B$38)*C21/100)</f>
        <v>502.5752895752895</v>
      </c>
      <c r="C35" s="167">
        <f>IF(ISERROR(B35/SUM($B$32,$B$34,$B$35,$B$36,$B$38,$B$39)*100),0,B35/SUM($B$32,$B$34,$B$35,$B$36,$B$38,$B$39)*100)</f>
        <v>13.215232436899541</v>
      </c>
      <c r="D35" s="233"/>
      <c r="G35" s="15"/>
    </row>
    <row r="36" spans="1:7">
      <c r="A36" s="171" t="s">
        <v>75</v>
      </c>
      <c r="B36" s="33">
        <f>IF((($B$28-$B$32-$B$39-$B$77-$B$38)*C22/100)&lt;0,0,($B$28-$B$32-$B$39-$B$77-$B$38)*C22/100)</f>
        <v>241.98069498069501</v>
      </c>
      <c r="C36" s="167">
        <f>IF(ISERROR(B36/SUM($B$32,$B$34,$B$35,$B$36,$B$38,$B$39)*100),0,B36/SUM($B$32,$B$34,$B$35,$B$36,$B$38,$B$39)*100)</f>
        <v>6.3628896918405218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898.5</v>
      </c>
      <c r="C39" s="167">
        <f>IF(ISERROR(B39/SUM($B$32,$B$34,$B$35,$B$36,$B$38,$B$39)*100),0,B39/SUM($B$32,$B$34,$B$35,$B$36,$B$38,$B$39)*100)</f>
        <v>23.626084669997375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2101</v>
      </c>
      <c r="C44" s="34" t="s">
        <v>111</v>
      </c>
      <c r="D44" s="174"/>
    </row>
    <row r="45" spans="1:7">
      <c r="A45" s="171" t="s">
        <v>72</v>
      </c>
      <c r="B45" s="33" t="str">
        <f t="shared" si="0"/>
        <v>-</v>
      </c>
      <c r="C45" s="34" t="s">
        <v>111</v>
      </c>
      <c r="D45" s="174"/>
    </row>
    <row r="46" spans="1:7">
      <c r="A46" s="171" t="s">
        <v>73</v>
      </c>
      <c r="B46" s="33">
        <f t="shared" si="0"/>
        <v>58.944015444015449</v>
      </c>
      <c r="C46" s="34" t="s">
        <v>111</v>
      </c>
      <c r="D46" s="174"/>
    </row>
    <row r="47" spans="1:7">
      <c r="A47" s="171" t="s">
        <v>74</v>
      </c>
      <c r="B47" s="33">
        <f t="shared" si="0"/>
        <v>502.5752895752895</v>
      </c>
      <c r="C47" s="34" t="s">
        <v>111</v>
      </c>
      <c r="D47" s="174"/>
    </row>
    <row r="48" spans="1:7">
      <c r="A48" s="171" t="s">
        <v>75</v>
      </c>
      <c r="B48" s="33">
        <f t="shared" si="0"/>
        <v>241.98069498069501</v>
      </c>
      <c r="C48" s="33">
        <f>B48*10</f>
        <v>2419.8069498069499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898.5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9817.2042032999998</v>
      </c>
      <c r="C5" s="17">
        <f>IF(ISERROR('Eigen informatie GS &amp; warmtenet'!B58),0,'Eigen informatie GS &amp; warmtenet'!B58)</f>
        <v>0</v>
      </c>
      <c r="D5" s="30">
        <f>SUM(D6:D12)</f>
        <v>10490.144916273441</v>
      </c>
      <c r="E5" s="17">
        <f>SUM(E6:E12)</f>
        <v>176.67673666133888</v>
      </c>
      <c r="F5" s="17">
        <f>SUM(F6:F12)</f>
        <v>2426.6266960436251</v>
      </c>
      <c r="G5" s="18"/>
      <c r="H5" s="17"/>
      <c r="I5" s="17"/>
      <c r="J5" s="17">
        <f>SUM(J6:J12)</f>
        <v>0</v>
      </c>
      <c r="K5" s="17"/>
      <c r="L5" s="17"/>
      <c r="M5" s="17"/>
      <c r="N5" s="17">
        <f>SUM(N6:N12)</f>
        <v>1800.8111289366159</v>
      </c>
      <c r="O5" s="17">
        <f>B38*B39*B40</f>
        <v>4.6900000000000004</v>
      </c>
      <c r="P5" s="17">
        <f>B46*B47*B48/1000-B46*B47*B48/1000/B49</f>
        <v>57.2</v>
      </c>
      <c r="R5" s="32"/>
    </row>
    <row r="6" spans="1:18">
      <c r="A6" s="32" t="s">
        <v>54</v>
      </c>
      <c r="B6" s="37">
        <f>B26</f>
        <v>1857.7685404000001</v>
      </c>
      <c r="C6" s="33"/>
      <c r="D6" s="37">
        <f>IF(ISERROR(TER_kantoor_gas_kWh/1000),0,TER_kantoor_gas_kWh/1000)*0.902</f>
        <v>697.57525337081995</v>
      </c>
      <c r="E6" s="33">
        <f>$C$26*'E Balans VL '!I12/100/3.6*1000000</f>
        <v>24.32047863284491</v>
      </c>
      <c r="F6" s="33">
        <f>$C$26*('E Balans VL '!L12+'E Balans VL '!N12)/100/3.6*1000000</f>
        <v>473.71178033902294</v>
      </c>
      <c r="G6" s="34"/>
      <c r="H6" s="33"/>
      <c r="I6" s="33"/>
      <c r="J6" s="33">
        <f>$C$26*('E Balans VL '!D12+'E Balans VL '!E12)/100/3.6*1000000</f>
        <v>0</v>
      </c>
      <c r="K6" s="33"/>
      <c r="L6" s="33"/>
      <c r="M6" s="33"/>
      <c r="N6" s="33">
        <f>$C$26*'E Balans VL '!Y12/100/3.6*1000000</f>
        <v>1.8640244764524954</v>
      </c>
      <c r="O6" s="33"/>
      <c r="P6" s="33"/>
      <c r="R6" s="32"/>
    </row>
    <row r="7" spans="1:18">
      <c r="A7" s="32" t="s">
        <v>53</v>
      </c>
      <c r="B7" s="37">
        <f t="shared" ref="B7:B12" si="0">B27</f>
        <v>732.38129884</v>
      </c>
      <c r="C7" s="33"/>
      <c r="D7" s="37">
        <f>IF(ISERROR(TER_horeca_gas_kWh/1000),0,TER_horeca_gas_kWh/1000)*0.902</f>
        <v>706.63238183757994</v>
      </c>
      <c r="E7" s="33">
        <f>$C$27*'E Balans VL '!I9/100/3.6*1000000</f>
        <v>24.237366065607837</v>
      </c>
      <c r="F7" s="33">
        <f>$C$27*('E Balans VL '!L9+'E Balans VL '!N9)/100/3.6*1000000</f>
        <v>314.92115167607705</v>
      </c>
      <c r="G7" s="34"/>
      <c r="H7" s="33"/>
      <c r="I7" s="33"/>
      <c r="J7" s="33">
        <f>$C$27*('E Balans VL '!D9+'E Balans VL '!E9)/100/3.6*1000000</f>
        <v>0</v>
      </c>
      <c r="K7" s="33"/>
      <c r="L7" s="33"/>
      <c r="M7" s="33"/>
      <c r="N7" s="33">
        <f>$C$27*'E Balans VL '!Y9/100/3.6*1000000</f>
        <v>0.17629481397437916</v>
      </c>
      <c r="O7" s="33"/>
      <c r="P7" s="33"/>
      <c r="R7" s="32"/>
    </row>
    <row r="8" spans="1:18">
      <c r="A8" s="6" t="s">
        <v>52</v>
      </c>
      <c r="B8" s="37">
        <f t="shared" si="0"/>
        <v>2411.0238552999999</v>
      </c>
      <c r="C8" s="33"/>
      <c r="D8" s="37">
        <f>IF(ISERROR(TER_handel_gas_kWh/1000),0,TER_handel_gas_kWh/1000)*0.902</f>
        <v>520.27285849286</v>
      </c>
      <c r="E8" s="33">
        <f>$C$28*'E Balans VL '!I13/100/3.6*1000000</f>
        <v>76.095596808060733</v>
      </c>
      <c r="F8" s="33">
        <f>$C$28*('E Balans VL '!L13+'E Balans VL '!N13)/100/3.6*1000000</f>
        <v>472.84423351855094</v>
      </c>
      <c r="G8" s="34"/>
      <c r="H8" s="33"/>
      <c r="I8" s="33"/>
      <c r="J8" s="33">
        <f>$C$28*('E Balans VL '!D13+'E Balans VL '!E13)/100/3.6*1000000</f>
        <v>0</v>
      </c>
      <c r="K8" s="33"/>
      <c r="L8" s="33"/>
      <c r="M8" s="33"/>
      <c r="N8" s="33">
        <f>$C$28*'E Balans VL '!Y13/100/3.6*1000000</f>
        <v>2.86141722170614</v>
      </c>
      <c r="O8" s="33"/>
      <c r="P8" s="33"/>
      <c r="R8" s="32"/>
    </row>
    <row r="9" spans="1:18">
      <c r="A9" s="32" t="s">
        <v>51</v>
      </c>
      <c r="B9" s="37">
        <f t="shared" si="0"/>
        <v>63.699020859999997</v>
      </c>
      <c r="C9" s="33"/>
      <c r="D9" s="37">
        <f>IF(ISERROR(TER_gezond_gas_kWh/1000),0,TER_gezond_gas_kWh/1000)*0.902</f>
        <v>125.54639572398</v>
      </c>
      <c r="E9" s="33">
        <f>$C$29*'E Balans VL '!I10/100/3.6*1000000</f>
        <v>8.1553381435882765E-3</v>
      </c>
      <c r="F9" s="33">
        <f>$C$29*('E Balans VL '!L10+'E Balans VL '!N10)/100/3.6*1000000</f>
        <v>13.271175915778219</v>
      </c>
      <c r="G9" s="34"/>
      <c r="H9" s="33"/>
      <c r="I9" s="33"/>
      <c r="J9" s="33">
        <f>$C$29*('E Balans VL '!D10+'E Balans VL '!E10)/100/3.6*1000000</f>
        <v>0</v>
      </c>
      <c r="K9" s="33"/>
      <c r="L9" s="33"/>
      <c r="M9" s="33"/>
      <c r="N9" s="33">
        <f>$C$29*'E Balans VL '!Y10/100/3.6*1000000</f>
        <v>0.74817510811614674</v>
      </c>
      <c r="O9" s="33"/>
      <c r="P9" s="33"/>
      <c r="R9" s="32"/>
    </row>
    <row r="10" spans="1:18">
      <c r="A10" s="32" t="s">
        <v>50</v>
      </c>
      <c r="B10" s="37">
        <f t="shared" si="0"/>
        <v>1965.9279336000002</v>
      </c>
      <c r="C10" s="33"/>
      <c r="D10" s="37">
        <f>IF(ISERROR(TER_ander_gas_kWh/1000),0,TER_ander_gas_kWh/1000)*0.902</f>
        <v>2068.0242870452003</v>
      </c>
      <c r="E10" s="33">
        <f>$C$30*'E Balans VL '!I14/100/3.6*1000000</f>
        <v>2.9562932935360857</v>
      </c>
      <c r="F10" s="33">
        <f>$C$30*('E Balans VL '!L14+'E Balans VL '!N14)/100/3.6*1000000</f>
        <v>434.01351684423383</v>
      </c>
      <c r="G10" s="34"/>
      <c r="H10" s="33"/>
      <c r="I10" s="33"/>
      <c r="J10" s="33">
        <f>$C$30*('E Balans VL '!D14+'E Balans VL '!E14)/100/3.6*1000000</f>
        <v>0</v>
      </c>
      <c r="K10" s="33"/>
      <c r="L10" s="33"/>
      <c r="M10" s="33"/>
      <c r="N10" s="33">
        <f>$C$30*'E Balans VL '!Y14/100/3.6*1000000</f>
        <v>1549.2835136384506</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2786.4035543</v>
      </c>
      <c r="C12" s="33"/>
      <c r="D12" s="37">
        <f>IF(ISERROR(TER_rest_gas_kWh/1000),0,TER_rest_gas_kWh/1000)*0.902</f>
        <v>6372.0937398030001</v>
      </c>
      <c r="E12" s="33">
        <f>$C$32*'E Balans VL '!I8/100/3.6*1000000</f>
        <v>49.058846523145718</v>
      </c>
      <c r="F12" s="33">
        <f>$C$32*('E Balans VL '!L8+'E Balans VL '!N8)/100/3.6*1000000</f>
        <v>717.86483774996236</v>
      </c>
      <c r="G12" s="34"/>
      <c r="H12" s="33"/>
      <c r="I12" s="33"/>
      <c r="J12" s="33">
        <f>$C$32*('E Balans VL '!D8+'E Balans VL '!E8)/100/3.6*1000000</f>
        <v>0</v>
      </c>
      <c r="K12" s="33"/>
      <c r="L12" s="33"/>
      <c r="M12" s="33"/>
      <c r="N12" s="33">
        <f>$C$32*'E Balans VL '!Y8/100/3.6*1000000</f>
        <v>245.87770367791609</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9817.2042032999998</v>
      </c>
      <c r="C16" s="21">
        <f t="shared" ca="1" si="1"/>
        <v>0</v>
      </c>
      <c r="D16" s="21">
        <f t="shared" ca="1" si="1"/>
        <v>10490.144916273441</v>
      </c>
      <c r="E16" s="21">
        <f t="shared" si="1"/>
        <v>176.67673666133888</v>
      </c>
      <c r="F16" s="21">
        <f t="shared" ca="1" si="1"/>
        <v>2426.6266960436251</v>
      </c>
      <c r="G16" s="21">
        <f t="shared" si="1"/>
        <v>0</v>
      </c>
      <c r="H16" s="21">
        <f t="shared" si="1"/>
        <v>0</v>
      </c>
      <c r="I16" s="21">
        <f t="shared" si="1"/>
        <v>0</v>
      </c>
      <c r="J16" s="21">
        <f t="shared" si="1"/>
        <v>0</v>
      </c>
      <c r="K16" s="21">
        <f t="shared" si="1"/>
        <v>0</v>
      </c>
      <c r="L16" s="21">
        <f t="shared" ca="1" si="1"/>
        <v>0</v>
      </c>
      <c r="M16" s="21">
        <f t="shared" si="1"/>
        <v>0</v>
      </c>
      <c r="N16" s="21">
        <f t="shared" ca="1" si="1"/>
        <v>1800.8111289366159</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0.20647571518087759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2027.0142589530851</v>
      </c>
      <c r="C20" s="23">
        <f t="shared" ref="C20:P20" ca="1" si="2">C16*C18</f>
        <v>0</v>
      </c>
      <c r="D20" s="23">
        <f t="shared" ca="1" si="2"/>
        <v>2119.0092730872352</v>
      </c>
      <c r="E20" s="23">
        <f t="shared" si="2"/>
        <v>40.105619222123927</v>
      </c>
      <c r="F20" s="23">
        <f t="shared" ca="1" si="2"/>
        <v>647.90932784364793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1857.7685404000001</v>
      </c>
      <c r="C26" s="39">
        <f>IF(ISERROR(B26*3.6/1000000/'E Balans VL '!Z12*100),0,B26*3.6/1000000/'E Balans VL '!Z12*100)</f>
        <v>3.9794845379547791E-2</v>
      </c>
      <c r="D26" s="237" t="s">
        <v>660</v>
      </c>
      <c r="F26" s="6"/>
    </row>
    <row r="27" spans="1:18">
      <c r="A27" s="231" t="s">
        <v>53</v>
      </c>
      <c r="B27" s="33">
        <f>IF(ISERROR(TER_horeca_ele_kWh/1000),0,TER_horeca_ele_kWh/1000)</f>
        <v>732.38129884</v>
      </c>
      <c r="C27" s="39">
        <f>IF(ISERROR(B27*3.6/1000000/'E Balans VL '!Z9*100),0,B27*3.6/1000000/'E Balans VL '!Z9*100)</f>
        <v>5.8771053500499937E-2</v>
      </c>
      <c r="D27" s="237" t="s">
        <v>660</v>
      </c>
      <c r="F27" s="6"/>
    </row>
    <row r="28" spans="1:18">
      <c r="A28" s="171" t="s">
        <v>52</v>
      </c>
      <c r="B28" s="33">
        <f>IF(ISERROR(TER_handel_ele_kWh/1000),0,TER_handel_ele_kWh/1000)</f>
        <v>2411.0238552999999</v>
      </c>
      <c r="C28" s="39">
        <f>IF(ISERROR(B28*3.6/1000000/'E Balans VL '!Z13*100),0,B28*3.6/1000000/'E Balans VL '!Z13*100)</f>
        <v>7.1111374650113232E-2</v>
      </c>
      <c r="D28" s="237" t="s">
        <v>660</v>
      </c>
      <c r="F28" s="6"/>
    </row>
    <row r="29" spans="1:18">
      <c r="A29" s="231" t="s">
        <v>51</v>
      </c>
      <c r="B29" s="33">
        <f>IF(ISERROR(TER_gezond_ele_kWh/1000),0,TER_gezond_ele_kWh/1000)</f>
        <v>63.699020859999997</v>
      </c>
      <c r="C29" s="39">
        <f>IF(ISERROR(B29*3.6/1000000/'E Balans VL '!Z10*100),0,B29*3.6/1000000/'E Balans VL '!Z10*100)</f>
        <v>6.8013475930554668E-3</v>
      </c>
      <c r="D29" s="237" t="s">
        <v>660</v>
      </c>
      <c r="F29" s="6"/>
    </row>
    <row r="30" spans="1:18">
      <c r="A30" s="231" t="s">
        <v>50</v>
      </c>
      <c r="B30" s="33">
        <f>IF(ISERROR(TER_ander_ele_kWh/1000),0,TER_ander_ele_kWh/1000)</f>
        <v>1965.9279336000002</v>
      </c>
      <c r="C30" s="39">
        <f>IF(ISERROR(B30*3.6/1000000/'E Balans VL '!Z14*100),0,B30*3.6/1000000/'E Balans VL '!Z14*100)</f>
        <v>0.14849425671240865</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2786.4035543</v>
      </c>
      <c r="C32" s="39">
        <f>IF(ISERROR(B32*3.6/1000000/'E Balans VL '!Z8*100),0,B32*3.6/1000000/'E Balans VL '!Z8*100)</f>
        <v>2.3103165504105294E-2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54263.293775519996</v>
      </c>
      <c r="C5" s="17">
        <f>IF(ISERROR('Eigen informatie GS &amp; warmtenet'!B59),0,'Eigen informatie GS &amp; warmtenet'!B59)</f>
        <v>0</v>
      </c>
      <c r="D5" s="30">
        <f>SUM(D6:D15)</f>
        <v>14177.672548543902</v>
      </c>
      <c r="E5" s="17">
        <f>SUM(E6:E15)</f>
        <v>2170.9679486497071</v>
      </c>
      <c r="F5" s="17">
        <f>SUM(F6:F15)</f>
        <v>8575.9714489864546</v>
      </c>
      <c r="G5" s="18"/>
      <c r="H5" s="17"/>
      <c r="I5" s="17"/>
      <c r="J5" s="17">
        <f>SUM(J6:J15)</f>
        <v>794.03071114127295</v>
      </c>
      <c r="K5" s="17"/>
      <c r="L5" s="17"/>
      <c r="M5" s="17"/>
      <c r="N5" s="17">
        <f>SUM(N6:N15)</f>
        <v>22020.710337924902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107.58816419999999</v>
      </c>
      <c r="C8" s="33"/>
      <c r="D8" s="37">
        <f>IF( ISERROR(IND_metaal_Gas_kWH/1000),0,IND_metaal_Gas_kWH/1000)*0.902</f>
        <v>0</v>
      </c>
      <c r="E8" s="33">
        <f>C30*'E Balans VL '!I18/100/3.6*1000000</f>
        <v>3.8713476241760918</v>
      </c>
      <c r="F8" s="33">
        <f>C30*'E Balans VL '!L18/100/3.6*1000000+C30*'E Balans VL '!N18/100/3.6*1000000</f>
        <v>46.980263673090612</v>
      </c>
      <c r="G8" s="34"/>
      <c r="H8" s="33"/>
      <c r="I8" s="33"/>
      <c r="J8" s="40">
        <f>C30*'E Balans VL '!D18/100/3.6*1000000+C30*'E Balans VL '!E18/100/3.6*1000000</f>
        <v>0</v>
      </c>
      <c r="K8" s="33"/>
      <c r="L8" s="33"/>
      <c r="M8" s="33"/>
      <c r="N8" s="33">
        <f>C30*'E Balans VL '!Y18/100/3.6*1000000</f>
        <v>5.3922456757993045</v>
      </c>
      <c r="O8" s="33"/>
      <c r="P8" s="33"/>
      <c r="R8" s="32"/>
    </row>
    <row r="9" spans="1:18">
      <c r="A9" s="6" t="s">
        <v>33</v>
      </c>
      <c r="B9" s="37">
        <f t="shared" si="0"/>
        <v>1901.651208</v>
      </c>
      <c r="C9" s="33"/>
      <c r="D9" s="37">
        <f>IF( ISERROR(IND_andere_gas_kWh/1000),0,IND_andere_gas_kWh/1000)*0.902</f>
        <v>851.42670535670004</v>
      </c>
      <c r="E9" s="33">
        <f>C31*'E Balans VL '!I19/100/3.6*1000000</f>
        <v>485.25836221790377</v>
      </c>
      <c r="F9" s="33">
        <f>C31*'E Balans VL '!L19/100/3.6*1000000+C31*'E Balans VL '!N19/100/3.6*1000000</f>
        <v>1637.1787564264234</v>
      </c>
      <c r="G9" s="34"/>
      <c r="H9" s="33"/>
      <c r="I9" s="33"/>
      <c r="J9" s="40">
        <f>C31*'E Balans VL '!D19/100/3.6*1000000+C31*'E Balans VL '!E19/100/3.6*1000000</f>
        <v>0</v>
      </c>
      <c r="K9" s="33"/>
      <c r="L9" s="33"/>
      <c r="M9" s="33"/>
      <c r="N9" s="33">
        <f>C31*'E Balans VL '!Y19/100/3.6*1000000</f>
        <v>594.7114574939244</v>
      </c>
      <c r="O9" s="33"/>
      <c r="P9" s="33"/>
      <c r="R9" s="32"/>
    </row>
    <row r="10" spans="1:18">
      <c r="A10" s="6" t="s">
        <v>41</v>
      </c>
      <c r="B10" s="37">
        <f t="shared" si="0"/>
        <v>342.81046766000003</v>
      </c>
      <c r="C10" s="33"/>
      <c r="D10" s="37">
        <f>IF( ISERROR(IND_voed_gas_kWh/1000),0,IND_voed_gas_kWh/1000)*0.902</f>
        <v>0</v>
      </c>
      <c r="E10" s="33">
        <f>C32*'E Balans VL '!I20/100/3.6*1000000</f>
        <v>8.7147128052637903</v>
      </c>
      <c r="F10" s="33">
        <f>C32*'E Balans VL '!L20/100/3.6*1000000+C32*'E Balans VL '!N20/100/3.6*1000000</f>
        <v>77.57286280254462</v>
      </c>
      <c r="G10" s="34"/>
      <c r="H10" s="33"/>
      <c r="I10" s="33"/>
      <c r="J10" s="40">
        <f>C32*'E Balans VL '!D20/100/3.6*1000000+C32*'E Balans VL '!E20/100/3.6*1000000</f>
        <v>0</v>
      </c>
      <c r="K10" s="33"/>
      <c r="L10" s="33"/>
      <c r="M10" s="33"/>
      <c r="N10" s="33">
        <f>C32*'E Balans VL '!Y20/100/3.6*1000000</f>
        <v>128.56321761572386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659.98036906000004</v>
      </c>
      <c r="C12" s="33"/>
      <c r="D12" s="37">
        <f>IF( ISERROR(IND_min_gas_kWh/1000),0,IND_min_gas_kWh/1000)*0.902</f>
        <v>0</v>
      </c>
      <c r="E12" s="33">
        <f>C34*'E Balans VL '!I22/100/3.6*1000000</f>
        <v>14.022928785062614</v>
      </c>
      <c r="F12" s="33">
        <f>C34*'E Balans VL '!L22/100/3.6*1000000+C34*'E Balans VL '!N22/100/3.6*1000000</f>
        <v>107.68142162992844</v>
      </c>
      <c r="G12" s="34"/>
      <c r="H12" s="33"/>
      <c r="I12" s="33"/>
      <c r="J12" s="40">
        <f>C34*'E Balans VL '!D22/100/3.6*1000000+C34*'E Balans VL '!E22/100/3.6*1000000</f>
        <v>0.76893871966081784</v>
      </c>
      <c r="K12" s="33"/>
      <c r="L12" s="33"/>
      <c r="M12" s="33"/>
      <c r="N12" s="33">
        <f>C34*'E Balans VL '!Y22/100/3.6*1000000</f>
        <v>0</v>
      </c>
      <c r="O12" s="33"/>
      <c r="P12" s="33"/>
      <c r="R12" s="32"/>
    </row>
    <row r="13" spans="1:18">
      <c r="A13" s="6" t="s">
        <v>39</v>
      </c>
      <c r="B13" s="37">
        <f t="shared" si="0"/>
        <v>8299.893107599999</v>
      </c>
      <c r="C13" s="33"/>
      <c r="D13" s="37">
        <f>IF( ISERROR(IND_papier_gas_kWh/1000),0,IND_papier_gas_kWh/1000)*0.902</f>
        <v>8602.043146039201</v>
      </c>
      <c r="E13" s="33">
        <f>C35*'E Balans VL '!I23/100/3.6*1000000</f>
        <v>35.595826951989658</v>
      </c>
      <c r="F13" s="33">
        <f>C35*'E Balans VL '!L23/100/3.6*1000000+C35*'E Balans VL '!N23/100/3.6*1000000</f>
        <v>208.60207502223307</v>
      </c>
      <c r="G13" s="34"/>
      <c r="H13" s="33"/>
      <c r="I13" s="33"/>
      <c r="J13" s="40">
        <f>C35*'E Balans VL '!D23/100/3.6*1000000+C35*'E Balans VL '!E23/100/3.6*1000000</f>
        <v>555.63232051275872</v>
      </c>
      <c r="K13" s="33"/>
      <c r="L13" s="33"/>
      <c r="M13" s="33"/>
      <c r="N13" s="33">
        <f>C35*'E Balans VL '!Y23/100/3.6*1000000</f>
        <v>15107.779245717746</v>
      </c>
      <c r="O13" s="33"/>
      <c r="P13" s="33"/>
      <c r="R13" s="32"/>
    </row>
    <row r="14" spans="1:18">
      <c r="A14" s="6" t="s">
        <v>34</v>
      </c>
      <c r="B14" s="37">
        <f t="shared" si="0"/>
        <v>13640.149913000001</v>
      </c>
      <c r="C14" s="33"/>
      <c r="D14" s="37">
        <f>IF( ISERROR(IND_chemie_gas_kWh/1000),0,IND_chemie_gas_kWh/1000)*0.902</f>
        <v>0</v>
      </c>
      <c r="E14" s="33">
        <f>C36*'E Balans VL '!I24/100/3.6*1000000</f>
        <v>32.700122866694116</v>
      </c>
      <c r="F14" s="33">
        <f>C36*'E Balans VL '!L24/100/3.6*1000000+C36*'E Balans VL '!N24/100/3.6*1000000</f>
        <v>109.46528851141966</v>
      </c>
      <c r="G14" s="34"/>
      <c r="H14" s="33"/>
      <c r="I14" s="33"/>
      <c r="J14" s="40">
        <f>C36*'E Balans VL '!D24/100/3.6*1000000+C36*'E Balans VL '!E24/100/3.6*1000000</f>
        <v>0</v>
      </c>
      <c r="K14" s="33"/>
      <c r="L14" s="33"/>
      <c r="M14" s="33"/>
      <c r="N14" s="33">
        <f>C36*'E Balans VL '!Y24/100/3.6*1000000</f>
        <v>281.93132402848107</v>
      </c>
      <c r="O14" s="33"/>
      <c r="P14" s="33"/>
      <c r="R14" s="32"/>
    </row>
    <row r="15" spans="1:18">
      <c r="A15" s="6" t="s">
        <v>270</v>
      </c>
      <c r="B15" s="37">
        <f t="shared" si="0"/>
        <v>29311.220546</v>
      </c>
      <c r="C15" s="33"/>
      <c r="D15" s="37">
        <f>IF( ISERROR(IND_rest_gas_kWh/1000),0,IND_rest_gas_kWh/1000)*0.902</f>
        <v>4724.2026971480009</v>
      </c>
      <c r="E15" s="33">
        <f>C37*'E Balans VL '!I15/100/3.6*1000000</f>
        <v>1590.8046473986171</v>
      </c>
      <c r="F15" s="33">
        <f>C37*'E Balans VL '!L15/100/3.6*1000000+C37*'E Balans VL '!N15/100/3.6*1000000</f>
        <v>6388.4907809208153</v>
      </c>
      <c r="G15" s="34"/>
      <c r="H15" s="33"/>
      <c r="I15" s="33"/>
      <c r="J15" s="40">
        <f>C37*'E Balans VL '!D15/100/3.6*1000000+C37*'E Balans VL '!E15/100/3.6*1000000</f>
        <v>237.62945190885341</v>
      </c>
      <c r="K15" s="33"/>
      <c r="L15" s="33"/>
      <c r="M15" s="33"/>
      <c r="N15" s="33">
        <f>C37*'E Balans VL '!Y15/100/3.6*1000000</f>
        <v>5902.3328473932252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54263.293775519996</v>
      </c>
      <c r="C18" s="21">
        <f>C5+C16</f>
        <v>0</v>
      </c>
      <c r="D18" s="21">
        <f>MAX((D5+D16),0)</f>
        <v>14177.672548543902</v>
      </c>
      <c r="E18" s="21">
        <f>MAX((E5+E16),0)</f>
        <v>2170.9679486497071</v>
      </c>
      <c r="F18" s="21">
        <f>MAX((F5+F16),0)</f>
        <v>8575.9714489864546</v>
      </c>
      <c r="G18" s="21"/>
      <c r="H18" s="21"/>
      <c r="I18" s="21"/>
      <c r="J18" s="21">
        <f>MAX((J5+J16),0)</f>
        <v>794.03071114127295</v>
      </c>
      <c r="K18" s="21"/>
      <c r="L18" s="21">
        <f>MAX((L5+L16),0)</f>
        <v>0</v>
      </c>
      <c r="M18" s="21"/>
      <c r="N18" s="21">
        <f>MAX((N5+N16),0)</f>
        <v>22020.710337924902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0.20647571518087759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11204.052390370554</v>
      </c>
      <c r="C22" s="23">
        <f ca="1">C18*C20</f>
        <v>0</v>
      </c>
      <c r="D22" s="23">
        <f>D18*D20</f>
        <v>2863.8898548058683</v>
      </c>
      <c r="E22" s="23">
        <f>E18*E20</f>
        <v>492.80972434348354</v>
      </c>
      <c r="F22" s="23">
        <f>F18*F20</f>
        <v>2289.7843768793837</v>
      </c>
      <c r="G22" s="23"/>
      <c r="H22" s="23"/>
      <c r="I22" s="23"/>
      <c r="J22" s="23">
        <f>J18*J20</f>
        <v>281.08687174401058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107.58816419999999</v>
      </c>
      <c r="C30" s="39">
        <f>IF(ISERROR(B30*3.6/1000000/'E Balans VL '!Z18*100),0,B30*3.6/1000000/'E Balans VL '!Z18*100)</f>
        <v>2.2795625364532019E-2</v>
      </c>
      <c r="D30" s="237" t="s">
        <v>660</v>
      </c>
    </row>
    <row r="31" spans="1:18">
      <c r="A31" s="6" t="s">
        <v>33</v>
      </c>
      <c r="B31" s="37">
        <f>IF( ISERROR(IND_ander_ele_kWh/1000),0,IND_ander_ele_kWh/1000)</f>
        <v>1901.651208</v>
      </c>
      <c r="C31" s="39">
        <f>IF(ISERROR(B31*3.6/1000000/'E Balans VL '!Z19*100),0,B31*3.6/1000000/'E Balans VL '!Z19*100)</f>
        <v>8.0044817357819209E-2</v>
      </c>
      <c r="D31" s="237" t="s">
        <v>660</v>
      </c>
    </row>
    <row r="32" spans="1:18">
      <c r="A32" s="171" t="s">
        <v>41</v>
      </c>
      <c r="B32" s="37">
        <f>IF( ISERROR(IND_voed_ele_kWh/1000),0,IND_voed_ele_kWh/1000)</f>
        <v>342.81046766000003</v>
      </c>
      <c r="C32" s="39">
        <f>IF(ISERROR(B32*3.6/1000000/'E Balans VL '!Z20*100),0,B32*3.6/1000000/'E Balans VL '!Z20*100)</f>
        <v>5.7270367256285058E-2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659.98036906000004</v>
      </c>
      <c r="C34" s="39">
        <f>IF(ISERROR(B34*3.6/1000000/'E Balans VL '!Z22*100),0,B34*3.6/1000000/'E Balans VL '!Z22*100)</f>
        <v>8.3656071041973187E-2</v>
      </c>
      <c r="D34" s="237" t="s">
        <v>660</v>
      </c>
    </row>
    <row r="35" spans="1:5">
      <c r="A35" s="171" t="s">
        <v>39</v>
      </c>
      <c r="B35" s="37">
        <f>IF( ISERROR(IND_papier_ele_kWh/1000),0,IND_papier_ele_kWh/1000)</f>
        <v>8299.893107599999</v>
      </c>
      <c r="C35" s="39">
        <f>IF(ISERROR(B35*3.6/1000000/'E Balans VL '!Z22*100),0,B35*3.6/1000000/'E Balans VL '!Z22*100)</f>
        <v>1.0520562125796287</v>
      </c>
      <c r="D35" s="237" t="s">
        <v>660</v>
      </c>
    </row>
    <row r="36" spans="1:5">
      <c r="A36" s="171" t="s">
        <v>34</v>
      </c>
      <c r="B36" s="37">
        <f>IF( ISERROR(IND_chemie_ele_kWh/1000),0,IND_chemie_ele_kWh/1000)</f>
        <v>13640.149913000001</v>
      </c>
      <c r="C36" s="39">
        <f>IF(ISERROR(B36*3.6/1000000/'E Balans VL '!Z24*100),0,B36*3.6/1000000/'E Balans VL '!Z24*100)</f>
        <v>0.44303250903794972</v>
      </c>
      <c r="D36" s="237" t="s">
        <v>660</v>
      </c>
    </row>
    <row r="37" spans="1:5">
      <c r="A37" s="171" t="s">
        <v>270</v>
      </c>
      <c r="B37" s="37">
        <f>IF( ISERROR(IND_rest_ele_kWh/1000),0,IND_rest_ele_kWh/1000)</f>
        <v>29311.220546</v>
      </c>
      <c r="C37" s="39">
        <f>IF(ISERROR(B37*3.6/1000000/'E Balans VL '!Z15*100),0,B37*3.6/1000000/'E Balans VL '!Z15*100)</f>
        <v>0.23664083329265839</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880.964417131</v>
      </c>
      <c r="C5" s="17">
        <f>'Eigen informatie GS &amp; warmtenet'!B60</f>
        <v>0</v>
      </c>
      <c r="D5" s="30">
        <f>IF(ISERROR(SUM(LB_lb_gas_kWh,LB_rest_gas_kWh)/1000),0,SUM(LB_lb_gas_kWh,LB_rest_gas_kWh)/1000)*0.902</f>
        <v>78.872447792358003</v>
      </c>
      <c r="E5" s="17">
        <f>B17*'E Balans VL '!I25/3.6*1000000/100</f>
        <v>22.716689805515042</v>
      </c>
      <c r="F5" s="17">
        <f>B17*('E Balans VL '!L25/3.6*1000000+'E Balans VL '!N25/3.6*1000000)/100</f>
        <v>3220.0927161371869</v>
      </c>
      <c r="G5" s="18"/>
      <c r="H5" s="17"/>
      <c r="I5" s="17"/>
      <c r="J5" s="17">
        <f>('E Balans VL '!D25+'E Balans VL '!E25)/3.6*1000000*landbouw!B17/100</f>
        <v>126.82646833095652</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880.964417131</v>
      </c>
      <c r="C8" s="21">
        <f>C5+C6</f>
        <v>0</v>
      </c>
      <c r="D8" s="21">
        <f>MAX((D5+D6),0)</f>
        <v>78.872447792358003</v>
      </c>
      <c r="E8" s="21">
        <f>MAX((E5+E6),0)</f>
        <v>22.716689805515042</v>
      </c>
      <c r="F8" s="21">
        <f>MAX((F5+F6),0)</f>
        <v>3220.0927161371869</v>
      </c>
      <c r="G8" s="21"/>
      <c r="H8" s="21"/>
      <c r="I8" s="21"/>
      <c r="J8" s="21">
        <f>MAX((J5+J6),0)</f>
        <v>126.82646833095652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0.20647571518087759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181.8977580760282</v>
      </c>
      <c r="C12" s="23">
        <f ca="1">C8*C10</f>
        <v>0</v>
      </c>
      <c r="D12" s="23">
        <f>D8*D10</f>
        <v>15.932234454056317</v>
      </c>
      <c r="E12" s="23">
        <f>E8*E10</f>
        <v>5.1566885858519145</v>
      </c>
      <c r="F12" s="23">
        <f>F8*F10</f>
        <v>859.76475520862891</v>
      </c>
      <c r="G12" s="23"/>
      <c r="H12" s="23"/>
      <c r="I12" s="23"/>
      <c r="J12" s="23">
        <f>J8*J10</f>
        <v>44.896569789158605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0.12422181819292416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128.9847099131037</v>
      </c>
      <c r="C26" s="247">
        <f>B26*'GWP N2O_CH4'!B5</f>
        <v>2708.6789081751776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56.605588722492406</v>
      </c>
      <c r="C27" s="247">
        <f>B27*'GWP N2O_CH4'!B5</f>
        <v>1188.7173631723406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3.0849259736368935</v>
      </c>
      <c r="C28" s="247">
        <f>B28*'GWP N2O_CH4'!B4</f>
        <v>956.327051827437</v>
      </c>
      <c r="D28" s="50"/>
    </row>
    <row r="29" spans="1:4">
      <c r="A29" s="41" t="s">
        <v>277</v>
      </c>
      <c r="B29" s="247">
        <f>B34*'ha_N2O bodem landbouw'!B4</f>
        <v>5.9999128785203046</v>
      </c>
      <c r="C29" s="247">
        <f>B29*'GWP N2O_CH4'!B4</f>
        <v>1859.9729923412945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1.3503064424173318E-3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3.6370080643412337E-5</v>
      </c>
      <c r="C5" s="463" t="s">
        <v>211</v>
      </c>
      <c r="D5" s="448">
        <f>SUM(D6:D11)</f>
        <v>8.3773924743364009E-5</v>
      </c>
      <c r="E5" s="448">
        <f>SUM(E6:E11)</f>
        <v>3.2185929268560229E-4</v>
      </c>
      <c r="F5" s="461" t="s">
        <v>211</v>
      </c>
      <c r="G5" s="448">
        <f>SUM(G6:G11)</f>
        <v>9.685351413019079E-2</v>
      </c>
      <c r="H5" s="448">
        <f>SUM(H6:H11)</f>
        <v>2.2469902508309238E-2</v>
      </c>
      <c r="I5" s="463" t="s">
        <v>211</v>
      </c>
      <c r="J5" s="463" t="s">
        <v>211</v>
      </c>
      <c r="K5" s="463" t="s">
        <v>211</v>
      </c>
      <c r="L5" s="463" t="s">
        <v>211</v>
      </c>
      <c r="M5" s="448">
        <f>SUM(M6:M11)</f>
        <v>3.724712472291984E-3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2.8856075906172162E-5</v>
      </c>
      <c r="C6" s="449"/>
      <c r="D6" s="892">
        <f>vkm_2011_GW_PW*SUMIFS(TableVerdeelsleutelVkm[CNG],TableVerdeelsleutelVkm[Voertuigtype],"Lichte voertuigen")*SUMIFS(TableECFTransport[EnergieConsumptieFactor (PJ per km)],TableECFTransport[Index],CONCATENATE($A6,"_CNG_CNG"))</f>
        <v>5.7337528284012107E-5</v>
      </c>
      <c r="E6" s="892">
        <f>vkm_2011_GW_PW*SUMIFS(TableVerdeelsleutelVkm[LPG],TableVerdeelsleutelVkm[Voertuigtype],"Lichte voertuigen")*SUMIFS(TableECFTransport[EnergieConsumptieFactor (PJ per km)],TableECFTransport[Index],CONCATENATE($A6,"_LPG_LPG"))</f>
        <v>2.2564372776066058E-4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5.3650336173719691E-2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1.5522993867885238E-2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2.1555048396833024E-3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1.6821892347737021E-2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5.4341897503487708E-6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5.3003208910232995E-4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7.5140047372401755E-6</v>
      </c>
      <c r="C8" s="449"/>
      <c r="D8" s="451">
        <f>vkm_2011_NGW_PW*SUMIFS(TableVerdeelsleutelVkm[CNG],TableVerdeelsleutelVkm[Voertuigtype],"Lichte voertuigen")*SUMIFS(TableECFTransport[EnergieConsumptieFactor (PJ per km)],TableECFTransport[Index],CONCATENATE($A8,"_CNG_CNG"))</f>
        <v>2.6436396459351909E-5</v>
      </c>
      <c r="E8" s="451">
        <f>vkm_2011_NGW_PW*SUMIFS(TableVerdeelsleutelVkm[LPG],TableVerdeelsleutelVkm[Voertuigtype],"Lichte voertuigen")*SUMIFS(TableECFTransport[EnergieConsumptieFactor (PJ per km)],TableECFTransport[Index],CONCATENATE($A8,"_LPG_LPG"))</f>
        <v>9.6215564924941692E-5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2.1362560131339785E-2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6.9399411874860057E-3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8.8104582213452669E-4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5.0187254773942872E-3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1.5332631876460108E-6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1.5812972137182498E-4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10.10280017872565</v>
      </c>
      <c r="C14" s="21"/>
      <c r="D14" s="21">
        <f t="shared" ref="D14:M14" si="0">((D5)*10^9/3600)+D12</f>
        <v>23.270534650934447</v>
      </c>
      <c r="E14" s="21">
        <f t="shared" si="0"/>
        <v>89.405359079333962</v>
      </c>
      <c r="F14" s="21"/>
      <c r="G14" s="21">
        <f t="shared" si="0"/>
        <v>26903.753925052995</v>
      </c>
      <c r="H14" s="21">
        <f t="shared" si="0"/>
        <v>6241.6395856414547</v>
      </c>
      <c r="I14" s="21"/>
      <c r="J14" s="21"/>
      <c r="K14" s="21"/>
      <c r="L14" s="21"/>
      <c r="M14" s="21">
        <f t="shared" si="0"/>
        <v>1034.6423534144401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0.20647571518087759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2.0859828922318764</v>
      </c>
      <c r="C18" s="23"/>
      <c r="D18" s="23">
        <f t="shared" ref="D18:M18" si="1">D14*D16</f>
        <v>4.7006479994887584</v>
      </c>
      <c r="E18" s="23">
        <f t="shared" si="1"/>
        <v>20.295016511008811</v>
      </c>
      <c r="F18" s="23"/>
      <c r="G18" s="23">
        <f t="shared" si="1"/>
        <v>7183.3022979891502</v>
      </c>
      <c r="H18" s="23">
        <f t="shared" si="1"/>
        <v>1554.1682568247222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1.5680683807239122E-3</v>
      </c>
      <c r="H50" s="321">
        <f t="shared" si="2"/>
        <v>0</v>
      </c>
      <c r="I50" s="321">
        <f t="shared" si="2"/>
        <v>0</v>
      </c>
      <c r="J50" s="321">
        <f t="shared" si="2"/>
        <v>0</v>
      </c>
      <c r="K50" s="321">
        <f t="shared" si="2"/>
        <v>0</v>
      </c>
      <c r="L50" s="321">
        <f t="shared" si="2"/>
        <v>0</v>
      </c>
      <c r="M50" s="321">
        <f t="shared" si="2"/>
        <v>4.8637973115561434E-5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1.5680683807239122E-3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4.8637973115561434E-5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435.57455020108677</v>
      </c>
      <c r="H54" s="21">
        <f t="shared" si="3"/>
        <v>0</v>
      </c>
      <c r="I54" s="21">
        <f t="shared" si="3"/>
        <v>0</v>
      </c>
      <c r="J54" s="21">
        <f t="shared" si="3"/>
        <v>0</v>
      </c>
      <c r="K54" s="21">
        <f t="shared" si="3"/>
        <v>0</v>
      </c>
      <c r="L54" s="21">
        <f t="shared" si="3"/>
        <v>0</v>
      </c>
      <c r="M54" s="21">
        <f t="shared" si="3"/>
        <v>13.510548087655954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0.20647571518087759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116.29840490369017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10265.9462033</v>
      </c>
      <c r="D10" s="1012">
        <f ca="1">tertiair!C16</f>
        <v>0</v>
      </c>
      <c r="E10" s="1012">
        <f ca="1">tertiair!D16</f>
        <v>10490.144916273441</v>
      </c>
      <c r="F10" s="1012">
        <f>tertiair!E16</f>
        <v>176.67673666133888</v>
      </c>
      <c r="G10" s="1012">
        <f ca="1">tertiair!F16</f>
        <v>2426.6266960436251</v>
      </c>
      <c r="H10" s="1012">
        <f>tertiair!G16</f>
        <v>0</v>
      </c>
      <c r="I10" s="1012">
        <f>tertiair!H16</f>
        <v>0</v>
      </c>
      <c r="J10" s="1012">
        <f>tertiair!I16</f>
        <v>0</v>
      </c>
      <c r="K10" s="1012">
        <f>tertiair!J16</f>
        <v>0</v>
      </c>
      <c r="L10" s="1012">
        <f>tertiair!K16</f>
        <v>0</v>
      </c>
      <c r="M10" s="1012">
        <f ca="1">tertiair!L16</f>
        <v>0</v>
      </c>
      <c r="N10" s="1012">
        <f>tertiair!M16</f>
        <v>0</v>
      </c>
      <c r="O10" s="1012">
        <f ca="1">tertiair!N16</f>
        <v>1800.8111289366159</v>
      </c>
      <c r="P10" s="1012">
        <f>tertiair!O16</f>
        <v>4.6900000000000004</v>
      </c>
      <c r="Q10" s="1013">
        <f>tertiair!P16</f>
        <v>57.2</v>
      </c>
      <c r="R10" s="700">
        <f ca="1">SUM(C10:Q10)</f>
        <v>25222.095681215022</v>
      </c>
      <c r="S10" s="67"/>
    </row>
    <row r="11" spans="1:19" s="473" customFormat="1">
      <c r="A11" s="809" t="s">
        <v>225</v>
      </c>
      <c r="B11" s="814"/>
      <c r="C11" s="1012">
        <f>huishoudens!B8</f>
        <v>17041.836003549091</v>
      </c>
      <c r="D11" s="1012">
        <f>huishoudens!C8</f>
        <v>0</v>
      </c>
      <c r="E11" s="1012">
        <f>huishoudens!D8</f>
        <v>31435.519904470002</v>
      </c>
      <c r="F11" s="1012">
        <f>huishoudens!E8</f>
        <v>1333.1891273336416</v>
      </c>
      <c r="G11" s="1012">
        <f>huishoudens!F8</f>
        <v>21871.425493209463</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15543.942874837476</v>
      </c>
      <c r="P11" s="1012">
        <f>huishoudens!O8</f>
        <v>295.47000000000003</v>
      </c>
      <c r="Q11" s="1013">
        <f>huishoudens!P8</f>
        <v>1048.6666666666667</v>
      </c>
      <c r="R11" s="700">
        <f>SUM(C11:Q11)</f>
        <v>88570.050070066354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54263.293775519996</v>
      </c>
      <c r="D13" s="1012">
        <f>industrie!C18</f>
        <v>0</v>
      </c>
      <c r="E13" s="1012">
        <f>industrie!D18</f>
        <v>14177.672548543902</v>
      </c>
      <c r="F13" s="1012">
        <f>industrie!E18</f>
        <v>2170.9679486497071</v>
      </c>
      <c r="G13" s="1012">
        <f>industrie!F18</f>
        <v>8575.9714489864546</v>
      </c>
      <c r="H13" s="1012">
        <f>industrie!G18</f>
        <v>0</v>
      </c>
      <c r="I13" s="1012">
        <f>industrie!H18</f>
        <v>0</v>
      </c>
      <c r="J13" s="1012">
        <f>industrie!I18</f>
        <v>0</v>
      </c>
      <c r="K13" s="1012">
        <f>industrie!J18</f>
        <v>794.03071114127295</v>
      </c>
      <c r="L13" s="1012">
        <f>industrie!K18</f>
        <v>0</v>
      </c>
      <c r="M13" s="1012">
        <f>industrie!L18</f>
        <v>0</v>
      </c>
      <c r="N13" s="1012">
        <f>industrie!M18</f>
        <v>0</v>
      </c>
      <c r="O13" s="1012">
        <f>industrie!N18</f>
        <v>22020.710337924902</v>
      </c>
      <c r="P13" s="1012">
        <f>industrie!O18</f>
        <v>0</v>
      </c>
      <c r="Q13" s="1013">
        <f>industrie!P18</f>
        <v>0</v>
      </c>
      <c r="R13" s="700">
        <f>SUM(C13:Q13)</f>
        <v>102002.64677076622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81571.07598236909</v>
      </c>
      <c r="D16" s="732">
        <f t="shared" ref="D16:R16" ca="1" si="0">SUM(D9:D15)</f>
        <v>0</v>
      </c>
      <c r="E16" s="732">
        <f t="shared" ca="1" si="0"/>
        <v>56103.337369287343</v>
      </c>
      <c r="F16" s="732">
        <f t="shared" si="0"/>
        <v>3680.8338126446879</v>
      </c>
      <c r="G16" s="732">
        <f t="shared" ca="1" si="0"/>
        <v>32874.023638239545</v>
      </c>
      <c r="H16" s="732">
        <f t="shared" si="0"/>
        <v>0</v>
      </c>
      <c r="I16" s="732">
        <f t="shared" si="0"/>
        <v>0</v>
      </c>
      <c r="J16" s="732">
        <f t="shared" si="0"/>
        <v>0</v>
      </c>
      <c r="K16" s="732">
        <f t="shared" si="0"/>
        <v>794.03071114127295</v>
      </c>
      <c r="L16" s="732">
        <f t="shared" si="0"/>
        <v>0</v>
      </c>
      <c r="M16" s="732">
        <f t="shared" ca="1" si="0"/>
        <v>0</v>
      </c>
      <c r="N16" s="732">
        <f t="shared" si="0"/>
        <v>0</v>
      </c>
      <c r="O16" s="732">
        <f t="shared" ca="1" si="0"/>
        <v>39365.464341698993</v>
      </c>
      <c r="P16" s="732">
        <f t="shared" si="0"/>
        <v>300.16000000000003</v>
      </c>
      <c r="Q16" s="732">
        <f t="shared" si="0"/>
        <v>1105.8666666666668</v>
      </c>
      <c r="R16" s="732">
        <f t="shared" ca="1" si="0"/>
        <v>215794.79252204759</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435.57455020108677</v>
      </c>
      <c r="I19" s="1012">
        <f>transport!H54</f>
        <v>0</v>
      </c>
      <c r="J19" s="1012">
        <f>transport!I54</f>
        <v>0</v>
      </c>
      <c r="K19" s="1012">
        <f>transport!J54</f>
        <v>0</v>
      </c>
      <c r="L19" s="1012">
        <f>transport!K54</f>
        <v>0</v>
      </c>
      <c r="M19" s="1012">
        <f>transport!L54</f>
        <v>0</v>
      </c>
      <c r="N19" s="1012">
        <f>transport!M54</f>
        <v>13.510548087655954</v>
      </c>
      <c r="O19" s="1012">
        <f>transport!N54</f>
        <v>0</v>
      </c>
      <c r="P19" s="1012">
        <f>transport!O54</f>
        <v>0</v>
      </c>
      <c r="Q19" s="1013">
        <f>transport!P54</f>
        <v>0</v>
      </c>
      <c r="R19" s="700">
        <f>SUM(C19:Q19)</f>
        <v>449.0850982887427</v>
      </c>
      <c r="S19" s="67"/>
    </row>
    <row r="20" spans="1:19" s="473" customFormat="1">
      <c r="A20" s="809" t="s">
        <v>307</v>
      </c>
      <c r="B20" s="814"/>
      <c r="C20" s="1012">
        <f>transport!B14</f>
        <v>10.10280017872565</v>
      </c>
      <c r="D20" s="1012">
        <f>transport!C14</f>
        <v>0</v>
      </c>
      <c r="E20" s="1012">
        <f>transport!D14</f>
        <v>23.270534650934447</v>
      </c>
      <c r="F20" s="1012">
        <f>transport!E14</f>
        <v>89.405359079333962</v>
      </c>
      <c r="G20" s="1012">
        <f>transport!F14</f>
        <v>0</v>
      </c>
      <c r="H20" s="1012">
        <f>transport!G14</f>
        <v>26903.753925052995</v>
      </c>
      <c r="I20" s="1012">
        <f>transport!H14</f>
        <v>6241.6395856414547</v>
      </c>
      <c r="J20" s="1012">
        <f>transport!I14</f>
        <v>0</v>
      </c>
      <c r="K20" s="1012">
        <f>transport!J14</f>
        <v>0</v>
      </c>
      <c r="L20" s="1012">
        <f>transport!K14</f>
        <v>0</v>
      </c>
      <c r="M20" s="1012">
        <f>transport!L14</f>
        <v>0</v>
      </c>
      <c r="N20" s="1012">
        <f>transport!M14</f>
        <v>1034.6423534144401</v>
      </c>
      <c r="O20" s="1012">
        <f>transport!N14</f>
        <v>0</v>
      </c>
      <c r="P20" s="1012">
        <f>transport!O14</f>
        <v>0</v>
      </c>
      <c r="Q20" s="1013">
        <f>transport!P14</f>
        <v>0</v>
      </c>
      <c r="R20" s="700">
        <f>SUM(C20:Q20)</f>
        <v>34302.814558017883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10.10280017872565</v>
      </c>
      <c r="D22" s="812">
        <f t="shared" ref="D22:R22" si="1">SUM(D18:D21)</f>
        <v>0</v>
      </c>
      <c r="E22" s="812">
        <f t="shared" si="1"/>
        <v>23.270534650934447</v>
      </c>
      <c r="F22" s="812">
        <f t="shared" si="1"/>
        <v>89.405359079333962</v>
      </c>
      <c r="G22" s="812">
        <f t="shared" si="1"/>
        <v>0</v>
      </c>
      <c r="H22" s="812">
        <f t="shared" si="1"/>
        <v>27339.328475254082</v>
      </c>
      <c r="I22" s="812">
        <f t="shared" si="1"/>
        <v>6241.6395856414547</v>
      </c>
      <c r="J22" s="812">
        <f t="shared" si="1"/>
        <v>0</v>
      </c>
      <c r="K22" s="812">
        <f t="shared" si="1"/>
        <v>0</v>
      </c>
      <c r="L22" s="812">
        <f t="shared" si="1"/>
        <v>0</v>
      </c>
      <c r="M22" s="812">
        <f t="shared" si="1"/>
        <v>0</v>
      </c>
      <c r="N22" s="812">
        <f t="shared" si="1"/>
        <v>1048.152901502096</v>
      </c>
      <c r="O22" s="812">
        <f t="shared" si="1"/>
        <v>0</v>
      </c>
      <c r="P22" s="812">
        <f t="shared" si="1"/>
        <v>0</v>
      </c>
      <c r="Q22" s="812">
        <f t="shared" si="1"/>
        <v>0</v>
      </c>
      <c r="R22" s="812">
        <f t="shared" si="1"/>
        <v>34751.899656306625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880.964417131</v>
      </c>
      <c r="D24" s="1012">
        <f>+landbouw!C8</f>
        <v>0</v>
      </c>
      <c r="E24" s="1012">
        <f>+landbouw!D8</f>
        <v>78.872447792358003</v>
      </c>
      <c r="F24" s="1012">
        <f>+landbouw!E8</f>
        <v>22.716689805515042</v>
      </c>
      <c r="G24" s="1012">
        <f>+landbouw!F8</f>
        <v>3220.0927161371869</v>
      </c>
      <c r="H24" s="1012">
        <f>+landbouw!G8</f>
        <v>0</v>
      </c>
      <c r="I24" s="1012">
        <f>+landbouw!H8</f>
        <v>0</v>
      </c>
      <c r="J24" s="1012">
        <f>+landbouw!I8</f>
        <v>0</v>
      </c>
      <c r="K24" s="1012">
        <f>+landbouw!J8</f>
        <v>126.82646833095652</v>
      </c>
      <c r="L24" s="1012">
        <f>+landbouw!K8</f>
        <v>0</v>
      </c>
      <c r="M24" s="1012">
        <f>+landbouw!L8</f>
        <v>0</v>
      </c>
      <c r="N24" s="1012">
        <f>+landbouw!M8</f>
        <v>0</v>
      </c>
      <c r="O24" s="1012">
        <f>+landbouw!N8</f>
        <v>0</v>
      </c>
      <c r="P24" s="1012">
        <f>+landbouw!O8</f>
        <v>0</v>
      </c>
      <c r="Q24" s="1013">
        <f>+landbouw!P8</f>
        <v>0</v>
      </c>
      <c r="R24" s="700">
        <f>SUM(C24:Q24)</f>
        <v>4329.4727391970164</v>
      </c>
      <c r="S24" s="67"/>
    </row>
    <row r="25" spans="1:19" s="473" customFormat="1" ht="15" thickBot="1">
      <c r="A25" s="831" t="s">
        <v>848</v>
      </c>
      <c r="B25" s="1015"/>
      <c r="C25" s="1016">
        <f>IF(Onbekend_ele_kWh="---",0,Onbekend_ele_kWh)/1000+IF(REST_rest_ele_kWh="---",0,REST_rest_ele_kWh)/1000</f>
        <v>514.83781037999995</v>
      </c>
      <c r="D25" s="1016"/>
      <c r="E25" s="1016">
        <f>IF(onbekend_gas_kWh="---",0,onbekend_gas_kWh)/1000+IF(REST_rest_gas_kWh="---",0,REST_rest_gas_kWh)/1000</f>
        <v>795.60532570999999</v>
      </c>
      <c r="F25" s="1016"/>
      <c r="G25" s="1016"/>
      <c r="H25" s="1016"/>
      <c r="I25" s="1016"/>
      <c r="J25" s="1016"/>
      <c r="K25" s="1016"/>
      <c r="L25" s="1016"/>
      <c r="M25" s="1016"/>
      <c r="N25" s="1016"/>
      <c r="O25" s="1016"/>
      <c r="P25" s="1016"/>
      <c r="Q25" s="1017"/>
      <c r="R25" s="700">
        <f>SUM(C25:Q25)</f>
        <v>1310.4431360899998</v>
      </c>
      <c r="S25" s="67"/>
    </row>
    <row r="26" spans="1:19" s="473" customFormat="1" ht="15.75" thickBot="1">
      <c r="A26" s="705" t="s">
        <v>849</v>
      </c>
      <c r="B26" s="817"/>
      <c r="C26" s="812">
        <f>SUM(C24:C25)</f>
        <v>1395.802227511</v>
      </c>
      <c r="D26" s="812">
        <f t="shared" ref="D26:R26" si="2">SUM(D24:D25)</f>
        <v>0</v>
      </c>
      <c r="E26" s="812">
        <f t="shared" si="2"/>
        <v>874.47777350235799</v>
      </c>
      <c r="F26" s="812">
        <f t="shared" si="2"/>
        <v>22.716689805515042</v>
      </c>
      <c r="G26" s="812">
        <f t="shared" si="2"/>
        <v>3220.0927161371869</v>
      </c>
      <c r="H26" s="812">
        <f t="shared" si="2"/>
        <v>0</v>
      </c>
      <c r="I26" s="812">
        <f t="shared" si="2"/>
        <v>0</v>
      </c>
      <c r="J26" s="812">
        <f t="shared" si="2"/>
        <v>0</v>
      </c>
      <c r="K26" s="812">
        <f t="shared" si="2"/>
        <v>126.82646833095652</v>
      </c>
      <c r="L26" s="812">
        <f t="shared" si="2"/>
        <v>0</v>
      </c>
      <c r="M26" s="812">
        <f t="shared" si="2"/>
        <v>0</v>
      </c>
      <c r="N26" s="812">
        <f t="shared" si="2"/>
        <v>0</v>
      </c>
      <c r="O26" s="812">
        <f t="shared" si="2"/>
        <v>0</v>
      </c>
      <c r="P26" s="812">
        <f t="shared" si="2"/>
        <v>0</v>
      </c>
      <c r="Q26" s="812">
        <f t="shared" si="2"/>
        <v>0</v>
      </c>
      <c r="R26" s="812">
        <f t="shared" si="2"/>
        <v>5639.9158752870162</v>
      </c>
      <c r="S26" s="67"/>
    </row>
    <row r="27" spans="1:19" s="473" customFormat="1" ht="17.25" thickTop="1" thickBot="1">
      <c r="A27" s="706" t="s">
        <v>116</v>
      </c>
      <c r="B27" s="805"/>
      <c r="C27" s="707">
        <f ca="1">C22+C16+C26</f>
        <v>82976.981010058807</v>
      </c>
      <c r="D27" s="707">
        <f t="shared" ref="D27:R27" ca="1" si="3">D22+D16+D26</f>
        <v>0</v>
      </c>
      <c r="E27" s="707">
        <f t="shared" ca="1" si="3"/>
        <v>57001.085677440635</v>
      </c>
      <c r="F27" s="707">
        <f t="shared" si="3"/>
        <v>3792.9558615295373</v>
      </c>
      <c r="G27" s="707">
        <f t="shared" ca="1" si="3"/>
        <v>36094.116354376732</v>
      </c>
      <c r="H27" s="707">
        <f t="shared" si="3"/>
        <v>27339.328475254082</v>
      </c>
      <c r="I27" s="707">
        <f t="shared" si="3"/>
        <v>6241.6395856414547</v>
      </c>
      <c r="J27" s="707">
        <f t="shared" si="3"/>
        <v>0</v>
      </c>
      <c r="K27" s="707">
        <f t="shared" si="3"/>
        <v>920.85717947222952</v>
      </c>
      <c r="L27" s="707">
        <f t="shared" si="3"/>
        <v>0</v>
      </c>
      <c r="M27" s="707">
        <f t="shared" ca="1" si="3"/>
        <v>0</v>
      </c>
      <c r="N27" s="707">
        <f t="shared" si="3"/>
        <v>1048.152901502096</v>
      </c>
      <c r="O27" s="707">
        <f t="shared" ca="1" si="3"/>
        <v>39365.464341698993</v>
      </c>
      <c r="P27" s="707">
        <f t="shared" si="3"/>
        <v>300.16000000000003</v>
      </c>
      <c r="Q27" s="707">
        <f t="shared" si="3"/>
        <v>1105.8666666666668</v>
      </c>
      <c r="R27" s="707">
        <f t="shared" ca="1" si="3"/>
        <v>256186.60805364125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2119.6685843347823</v>
      </c>
      <c r="D40" s="1012">
        <f ca="1">tertiair!C20</f>
        <v>0</v>
      </c>
      <c r="E40" s="1012">
        <f ca="1">tertiair!D20</f>
        <v>2119.0092730872352</v>
      </c>
      <c r="F40" s="1012">
        <f>tertiair!E20</f>
        <v>40.105619222123927</v>
      </c>
      <c r="G40" s="1012">
        <f ca="1">tertiair!F20</f>
        <v>647.90932784364793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4926.6928044877886</v>
      </c>
    </row>
    <row r="41" spans="1:18">
      <c r="A41" s="822" t="s">
        <v>225</v>
      </c>
      <c r="B41" s="829"/>
      <c r="C41" s="1012">
        <f ca="1">huishoudens!B12</f>
        <v>3518.7252768280273</v>
      </c>
      <c r="D41" s="1012">
        <f ca="1">huishoudens!C12</f>
        <v>0</v>
      </c>
      <c r="E41" s="1012">
        <f>huishoudens!D12</f>
        <v>6349.975020702941</v>
      </c>
      <c r="F41" s="1012">
        <f>huishoudens!E12</f>
        <v>302.63393190473664</v>
      </c>
      <c r="G41" s="1012">
        <f>huishoudens!F12</f>
        <v>5839.6706066869265</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16011.004836122631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11204.052390370554</v>
      </c>
      <c r="D43" s="1012">
        <f ca="1">industrie!C22</f>
        <v>0</v>
      </c>
      <c r="E43" s="1012">
        <f>industrie!D22</f>
        <v>2863.8898548058683</v>
      </c>
      <c r="F43" s="1012">
        <f>industrie!E22</f>
        <v>492.80972434348354</v>
      </c>
      <c r="G43" s="1012">
        <f>industrie!F22</f>
        <v>2289.7843768793837</v>
      </c>
      <c r="H43" s="1012">
        <f>industrie!G22</f>
        <v>0</v>
      </c>
      <c r="I43" s="1012">
        <f>industrie!H22</f>
        <v>0</v>
      </c>
      <c r="J43" s="1012">
        <f>industrie!I22</f>
        <v>0</v>
      </c>
      <c r="K43" s="1012">
        <f>industrie!J22</f>
        <v>281.08687174401058</v>
      </c>
      <c r="L43" s="1012">
        <f>industrie!K22</f>
        <v>0</v>
      </c>
      <c r="M43" s="1012">
        <f>industrie!L22</f>
        <v>0</v>
      </c>
      <c r="N43" s="1012">
        <f>industrie!M22</f>
        <v>0</v>
      </c>
      <c r="O43" s="1012">
        <f>industrie!N22</f>
        <v>0</v>
      </c>
      <c r="P43" s="1012">
        <f>industrie!O22</f>
        <v>0</v>
      </c>
      <c r="Q43" s="774">
        <f>industrie!P22</f>
        <v>0</v>
      </c>
      <c r="R43" s="849">
        <f t="shared" ca="1" si="4"/>
        <v>17131.623218143301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16842.446251533365</v>
      </c>
      <c r="D46" s="732">
        <f t="shared" ref="D46:Q46" ca="1" si="5">SUM(D39:D45)</f>
        <v>0</v>
      </c>
      <c r="E46" s="732">
        <f t="shared" ca="1" si="5"/>
        <v>11332.874148596044</v>
      </c>
      <c r="F46" s="732">
        <f t="shared" si="5"/>
        <v>835.54927547034413</v>
      </c>
      <c r="G46" s="732">
        <f t="shared" ca="1" si="5"/>
        <v>8777.3643114099577</v>
      </c>
      <c r="H46" s="732">
        <f t="shared" si="5"/>
        <v>0</v>
      </c>
      <c r="I46" s="732">
        <f t="shared" si="5"/>
        <v>0</v>
      </c>
      <c r="J46" s="732">
        <f t="shared" si="5"/>
        <v>0</v>
      </c>
      <c r="K46" s="732">
        <f t="shared" si="5"/>
        <v>281.08687174401058</v>
      </c>
      <c r="L46" s="732">
        <f t="shared" si="5"/>
        <v>0</v>
      </c>
      <c r="M46" s="732">
        <f t="shared" ca="1" si="5"/>
        <v>0</v>
      </c>
      <c r="N46" s="732">
        <f t="shared" si="5"/>
        <v>0</v>
      </c>
      <c r="O46" s="732">
        <f t="shared" ca="1" si="5"/>
        <v>0</v>
      </c>
      <c r="P46" s="732">
        <f t="shared" si="5"/>
        <v>0</v>
      </c>
      <c r="Q46" s="732">
        <f t="shared" si="5"/>
        <v>0</v>
      </c>
      <c r="R46" s="732">
        <f ca="1">SUM(R39:R45)</f>
        <v>38069.320858753723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116.29840490369017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116.29840490369017</v>
      </c>
    </row>
    <row r="50" spans="1:18">
      <c r="A50" s="825" t="s">
        <v>307</v>
      </c>
      <c r="B50" s="835"/>
      <c r="C50" s="703">
        <f ca="1">transport!B18</f>
        <v>2.0859828922318764</v>
      </c>
      <c r="D50" s="703">
        <f>transport!C18</f>
        <v>0</v>
      </c>
      <c r="E50" s="703">
        <f>transport!D18</f>
        <v>4.7006479994887584</v>
      </c>
      <c r="F50" s="703">
        <f>transport!E18</f>
        <v>20.295016511008811</v>
      </c>
      <c r="G50" s="703">
        <f>transport!F18</f>
        <v>0</v>
      </c>
      <c r="H50" s="703">
        <f>transport!G18</f>
        <v>7183.3022979891502</v>
      </c>
      <c r="I50" s="703">
        <f>transport!H18</f>
        <v>1554.1682568247222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8764.5522022166024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2.0859828922318764</v>
      </c>
      <c r="D52" s="732">
        <f t="shared" ref="D52:Q52" ca="1" si="6">SUM(D48:D51)</f>
        <v>0</v>
      </c>
      <c r="E52" s="732">
        <f t="shared" si="6"/>
        <v>4.7006479994887584</v>
      </c>
      <c r="F52" s="732">
        <f t="shared" si="6"/>
        <v>20.295016511008811</v>
      </c>
      <c r="G52" s="732">
        <f t="shared" si="6"/>
        <v>0</v>
      </c>
      <c r="H52" s="732">
        <f t="shared" si="6"/>
        <v>7299.6007028928407</v>
      </c>
      <c r="I52" s="732">
        <f t="shared" si="6"/>
        <v>1554.1682568247222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8880.8506071202919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181.8977580760282</v>
      </c>
      <c r="D54" s="703">
        <f ca="1">+landbouw!C12</f>
        <v>0</v>
      </c>
      <c r="E54" s="703">
        <f>+landbouw!D12</f>
        <v>15.932234454056317</v>
      </c>
      <c r="F54" s="703">
        <f>+landbouw!E12</f>
        <v>5.1566885858519145</v>
      </c>
      <c r="G54" s="703">
        <f>+landbouw!F12</f>
        <v>859.76475520862891</v>
      </c>
      <c r="H54" s="703">
        <f>+landbouw!G12</f>
        <v>0</v>
      </c>
      <c r="I54" s="703">
        <f>+landbouw!H12</f>
        <v>0</v>
      </c>
      <c r="J54" s="703">
        <f>+landbouw!I12</f>
        <v>0</v>
      </c>
      <c r="K54" s="703">
        <f>+landbouw!J12</f>
        <v>44.896569789158605</v>
      </c>
      <c r="L54" s="703">
        <f>+landbouw!K12</f>
        <v>0</v>
      </c>
      <c r="M54" s="703">
        <f>+landbouw!L12</f>
        <v>0</v>
      </c>
      <c r="N54" s="703">
        <f>+landbouw!M12</f>
        <v>0</v>
      </c>
      <c r="O54" s="703">
        <f>+landbouw!N12</f>
        <v>0</v>
      </c>
      <c r="P54" s="703">
        <f>+landbouw!O12</f>
        <v>0</v>
      </c>
      <c r="Q54" s="704">
        <f>+landbouw!P12</f>
        <v>0</v>
      </c>
      <c r="R54" s="731">
        <f ca="1">SUM(C54:Q54)</f>
        <v>1107.648006113724</v>
      </c>
    </row>
    <row r="55" spans="1:18" ht="15" thickBot="1">
      <c r="A55" s="825" t="s">
        <v>848</v>
      </c>
      <c r="B55" s="835"/>
      <c r="C55" s="703">
        <f ca="1">C25*'EF ele_warmte'!B12</f>
        <v>106.30150510036754</v>
      </c>
      <c r="D55" s="703"/>
      <c r="E55" s="703">
        <f>E25*EF_CO2_aardgas</f>
        <v>160.71227579342002</v>
      </c>
      <c r="F55" s="703"/>
      <c r="G55" s="703"/>
      <c r="H55" s="703"/>
      <c r="I55" s="703"/>
      <c r="J55" s="703"/>
      <c r="K55" s="703"/>
      <c r="L55" s="703"/>
      <c r="M55" s="703"/>
      <c r="N55" s="703"/>
      <c r="O55" s="703"/>
      <c r="P55" s="703"/>
      <c r="Q55" s="704"/>
      <c r="R55" s="731">
        <f ca="1">SUM(C55:Q55)</f>
        <v>267.01378089378755</v>
      </c>
    </row>
    <row r="56" spans="1:18" ht="15.75" thickBot="1">
      <c r="A56" s="823" t="s">
        <v>849</v>
      </c>
      <c r="B56" s="836"/>
      <c r="C56" s="732">
        <f ca="1">SUM(C54:C55)</f>
        <v>288.19926317639573</v>
      </c>
      <c r="D56" s="732">
        <f t="shared" ref="D56:Q56" ca="1" si="7">SUM(D54:D55)</f>
        <v>0</v>
      </c>
      <c r="E56" s="732">
        <f t="shared" si="7"/>
        <v>176.64451024747635</v>
      </c>
      <c r="F56" s="732">
        <f t="shared" si="7"/>
        <v>5.1566885858519145</v>
      </c>
      <c r="G56" s="732">
        <f t="shared" si="7"/>
        <v>859.76475520862891</v>
      </c>
      <c r="H56" s="732">
        <f t="shared" si="7"/>
        <v>0</v>
      </c>
      <c r="I56" s="732">
        <f t="shared" si="7"/>
        <v>0</v>
      </c>
      <c r="J56" s="732">
        <f t="shared" si="7"/>
        <v>0</v>
      </c>
      <c r="K56" s="732">
        <f t="shared" si="7"/>
        <v>44.896569789158605</v>
      </c>
      <c r="L56" s="732">
        <f t="shared" si="7"/>
        <v>0</v>
      </c>
      <c r="M56" s="732">
        <f t="shared" si="7"/>
        <v>0</v>
      </c>
      <c r="N56" s="732">
        <f t="shared" si="7"/>
        <v>0</v>
      </c>
      <c r="O56" s="732">
        <f t="shared" si="7"/>
        <v>0</v>
      </c>
      <c r="P56" s="732">
        <f t="shared" si="7"/>
        <v>0</v>
      </c>
      <c r="Q56" s="733">
        <f t="shared" si="7"/>
        <v>0</v>
      </c>
      <c r="R56" s="734">
        <f ca="1">SUM(R54:R55)</f>
        <v>1374.6617870075115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17132.731497601995</v>
      </c>
      <c r="D61" s="740">
        <f t="shared" ref="D61:Q61" ca="1" si="8">D46+D52+D56</f>
        <v>0</v>
      </c>
      <c r="E61" s="740">
        <f t="shared" ca="1" si="8"/>
        <v>11514.21930684301</v>
      </c>
      <c r="F61" s="740">
        <f t="shared" si="8"/>
        <v>861.00098056720492</v>
      </c>
      <c r="G61" s="740">
        <f t="shared" ca="1" si="8"/>
        <v>9637.1290666185869</v>
      </c>
      <c r="H61" s="740">
        <f t="shared" si="8"/>
        <v>7299.6007028928407</v>
      </c>
      <c r="I61" s="740">
        <f t="shared" si="8"/>
        <v>1554.1682568247222</v>
      </c>
      <c r="J61" s="740">
        <f t="shared" si="8"/>
        <v>0</v>
      </c>
      <c r="K61" s="740">
        <f t="shared" si="8"/>
        <v>325.98344153316918</v>
      </c>
      <c r="L61" s="740">
        <f t="shared" si="8"/>
        <v>0</v>
      </c>
      <c r="M61" s="740">
        <f t="shared" ca="1" si="8"/>
        <v>0</v>
      </c>
      <c r="N61" s="740">
        <f t="shared" si="8"/>
        <v>0</v>
      </c>
      <c r="O61" s="740">
        <f t="shared" ca="1" si="8"/>
        <v>0</v>
      </c>
      <c r="P61" s="740">
        <f t="shared" si="8"/>
        <v>0</v>
      </c>
      <c r="Q61" s="740">
        <f t="shared" si="8"/>
        <v>0</v>
      </c>
      <c r="R61" s="740">
        <f ca="1">R46+R52+R56</f>
        <v>48324.83325288153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0.20647571518087765</v>
      </c>
      <c r="D63" s="781">
        <f t="shared" ca="1" si="9"/>
        <v>0</v>
      </c>
      <c r="E63" s="1023">
        <f t="shared" ca="1" si="9"/>
        <v>0.20200000000000001</v>
      </c>
      <c r="F63" s="781">
        <f t="shared" si="9"/>
        <v>0.22699999999999998</v>
      </c>
      <c r="G63" s="781">
        <f t="shared" ca="1" si="9"/>
        <v>0.26699999999999996</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5453.3090752081644</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5453.3090752081644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5453.3090752081644</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5453.3090752081644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17041.836003549091</v>
      </c>
      <c r="C4" s="477">
        <f>huishoudens!C8</f>
        <v>0</v>
      </c>
      <c r="D4" s="477">
        <f>huishoudens!D8</f>
        <v>31435.519904470002</v>
      </c>
      <c r="E4" s="477">
        <f>huishoudens!E8</f>
        <v>1333.1891273336416</v>
      </c>
      <c r="F4" s="477">
        <f>huishoudens!F8</f>
        <v>21871.425493209463</v>
      </c>
      <c r="G4" s="477">
        <f>huishoudens!G8</f>
        <v>0</v>
      </c>
      <c r="H4" s="477">
        <f>huishoudens!H8</f>
        <v>0</v>
      </c>
      <c r="I4" s="477">
        <f>huishoudens!I8</f>
        <v>0</v>
      </c>
      <c r="J4" s="477">
        <f>huishoudens!J8</f>
        <v>0</v>
      </c>
      <c r="K4" s="477">
        <f>huishoudens!K8</f>
        <v>0</v>
      </c>
      <c r="L4" s="477">
        <f>huishoudens!L8</f>
        <v>0</v>
      </c>
      <c r="M4" s="477">
        <f>huishoudens!M8</f>
        <v>0</v>
      </c>
      <c r="N4" s="477">
        <f>huishoudens!N8</f>
        <v>15543.942874837476</v>
      </c>
      <c r="O4" s="477">
        <f>huishoudens!O8</f>
        <v>295.47000000000003</v>
      </c>
      <c r="P4" s="478">
        <f>huishoudens!P8</f>
        <v>1048.6666666666667</v>
      </c>
      <c r="Q4" s="479">
        <f>SUM(B4:P4)</f>
        <v>88570.050070066354</v>
      </c>
    </row>
    <row r="5" spans="1:17">
      <c r="A5" s="476" t="s">
        <v>156</v>
      </c>
      <c r="B5" s="477">
        <f ca="1">tertiair!B16</f>
        <v>9817.2042032999998</v>
      </c>
      <c r="C5" s="477">
        <f ca="1">tertiair!C16</f>
        <v>0</v>
      </c>
      <c r="D5" s="477">
        <f ca="1">tertiair!D16</f>
        <v>10490.144916273441</v>
      </c>
      <c r="E5" s="477">
        <f>tertiair!E16</f>
        <v>176.67673666133888</v>
      </c>
      <c r="F5" s="477">
        <f ca="1">tertiair!F16</f>
        <v>2426.6266960436251</v>
      </c>
      <c r="G5" s="477">
        <f>tertiair!G16</f>
        <v>0</v>
      </c>
      <c r="H5" s="477">
        <f>tertiair!H16</f>
        <v>0</v>
      </c>
      <c r="I5" s="477">
        <f>tertiair!I16</f>
        <v>0</v>
      </c>
      <c r="J5" s="477">
        <f>tertiair!J16</f>
        <v>0</v>
      </c>
      <c r="K5" s="477">
        <f>tertiair!K16</f>
        <v>0</v>
      </c>
      <c r="L5" s="477">
        <f ca="1">tertiair!L16</f>
        <v>0</v>
      </c>
      <c r="M5" s="477">
        <f>tertiair!M16</f>
        <v>0</v>
      </c>
      <c r="N5" s="477">
        <f ca="1">tertiair!N16</f>
        <v>1800.8111289366159</v>
      </c>
      <c r="O5" s="477">
        <f>tertiair!O16</f>
        <v>4.6900000000000004</v>
      </c>
      <c r="P5" s="478">
        <f>tertiair!P16</f>
        <v>57.2</v>
      </c>
      <c r="Q5" s="476">
        <f t="shared" ref="Q5:Q14" ca="1" si="0">SUM(B5:P5)</f>
        <v>24773.35368121502</v>
      </c>
    </row>
    <row r="6" spans="1:17">
      <c r="A6" s="476" t="s">
        <v>194</v>
      </c>
      <c r="B6" s="477">
        <f>'openbare verlichting'!B8</f>
        <v>448.74200000000002</v>
      </c>
      <c r="C6" s="477"/>
      <c r="D6" s="477"/>
      <c r="E6" s="477"/>
      <c r="F6" s="477"/>
      <c r="G6" s="477"/>
      <c r="H6" s="477"/>
      <c r="I6" s="477"/>
      <c r="J6" s="477"/>
      <c r="K6" s="477"/>
      <c r="L6" s="477"/>
      <c r="M6" s="477"/>
      <c r="N6" s="477"/>
      <c r="O6" s="477"/>
      <c r="P6" s="478"/>
      <c r="Q6" s="476">
        <f t="shared" si="0"/>
        <v>448.74200000000002</v>
      </c>
    </row>
    <row r="7" spans="1:17">
      <c r="A7" s="476" t="s">
        <v>112</v>
      </c>
      <c r="B7" s="477">
        <f>landbouw!B8</f>
        <v>880.964417131</v>
      </c>
      <c r="C7" s="477">
        <f>landbouw!C8</f>
        <v>0</v>
      </c>
      <c r="D7" s="477">
        <f>landbouw!D8</f>
        <v>78.872447792358003</v>
      </c>
      <c r="E7" s="477">
        <f>landbouw!E8</f>
        <v>22.716689805515042</v>
      </c>
      <c r="F7" s="477">
        <f>landbouw!F8</f>
        <v>3220.0927161371869</v>
      </c>
      <c r="G7" s="477">
        <f>landbouw!G8</f>
        <v>0</v>
      </c>
      <c r="H7" s="477">
        <f>landbouw!H8</f>
        <v>0</v>
      </c>
      <c r="I7" s="477">
        <f>landbouw!I8</f>
        <v>0</v>
      </c>
      <c r="J7" s="477">
        <f>landbouw!J8</f>
        <v>126.82646833095652</v>
      </c>
      <c r="K7" s="477">
        <f>landbouw!K8</f>
        <v>0</v>
      </c>
      <c r="L7" s="477">
        <f>landbouw!L8</f>
        <v>0</v>
      </c>
      <c r="M7" s="477">
        <f>landbouw!M8</f>
        <v>0</v>
      </c>
      <c r="N7" s="477">
        <f>landbouw!N8</f>
        <v>0</v>
      </c>
      <c r="O7" s="477">
        <f>landbouw!O8</f>
        <v>0</v>
      </c>
      <c r="P7" s="478">
        <f>landbouw!P8</f>
        <v>0</v>
      </c>
      <c r="Q7" s="476">
        <f t="shared" si="0"/>
        <v>4329.4727391970164</v>
      </c>
    </row>
    <row r="8" spans="1:17">
      <c r="A8" s="476" t="s">
        <v>638</v>
      </c>
      <c r="B8" s="477">
        <f>industrie!B18</f>
        <v>54263.293775519996</v>
      </c>
      <c r="C8" s="477">
        <f>industrie!C18</f>
        <v>0</v>
      </c>
      <c r="D8" s="477">
        <f>industrie!D18</f>
        <v>14177.672548543902</v>
      </c>
      <c r="E8" s="477">
        <f>industrie!E18</f>
        <v>2170.9679486497071</v>
      </c>
      <c r="F8" s="477">
        <f>industrie!F18</f>
        <v>8575.9714489864546</v>
      </c>
      <c r="G8" s="477">
        <f>industrie!G18</f>
        <v>0</v>
      </c>
      <c r="H8" s="477">
        <f>industrie!H18</f>
        <v>0</v>
      </c>
      <c r="I8" s="477">
        <f>industrie!I18</f>
        <v>0</v>
      </c>
      <c r="J8" s="477">
        <f>industrie!J18</f>
        <v>794.03071114127295</v>
      </c>
      <c r="K8" s="477">
        <f>industrie!K18</f>
        <v>0</v>
      </c>
      <c r="L8" s="477">
        <f>industrie!L18</f>
        <v>0</v>
      </c>
      <c r="M8" s="477">
        <f>industrie!M18</f>
        <v>0</v>
      </c>
      <c r="N8" s="477">
        <f>industrie!N18</f>
        <v>22020.710337924902</v>
      </c>
      <c r="O8" s="477">
        <f>industrie!O18</f>
        <v>0</v>
      </c>
      <c r="P8" s="478">
        <f>industrie!P18</f>
        <v>0</v>
      </c>
      <c r="Q8" s="476">
        <f t="shared" si="0"/>
        <v>102002.64677076622</v>
      </c>
    </row>
    <row r="9" spans="1:17" s="482" customFormat="1">
      <c r="A9" s="480" t="s">
        <v>564</v>
      </c>
      <c r="B9" s="481">
        <f>transport!B14</f>
        <v>10.10280017872565</v>
      </c>
      <c r="C9" s="481">
        <f>transport!C14</f>
        <v>0</v>
      </c>
      <c r="D9" s="481">
        <f>transport!D14</f>
        <v>23.270534650934447</v>
      </c>
      <c r="E9" s="481">
        <f>transport!E14</f>
        <v>89.405359079333962</v>
      </c>
      <c r="F9" s="481">
        <f>transport!F14</f>
        <v>0</v>
      </c>
      <c r="G9" s="481">
        <f>transport!G14</f>
        <v>26903.753925052995</v>
      </c>
      <c r="H9" s="481">
        <f>transport!H14</f>
        <v>6241.6395856414547</v>
      </c>
      <c r="I9" s="481">
        <f>transport!I14</f>
        <v>0</v>
      </c>
      <c r="J9" s="481">
        <f>transport!J14</f>
        <v>0</v>
      </c>
      <c r="K9" s="481">
        <f>transport!K14</f>
        <v>0</v>
      </c>
      <c r="L9" s="481">
        <f>transport!L14</f>
        <v>0</v>
      </c>
      <c r="M9" s="481">
        <f>transport!M14</f>
        <v>1034.6423534144401</v>
      </c>
      <c r="N9" s="481">
        <f>transport!N14</f>
        <v>0</v>
      </c>
      <c r="O9" s="481">
        <f>transport!O14</f>
        <v>0</v>
      </c>
      <c r="P9" s="481">
        <f>transport!P14</f>
        <v>0</v>
      </c>
      <c r="Q9" s="480">
        <f>SUM(B9:P9)</f>
        <v>34302.814558017883</v>
      </c>
    </row>
    <row r="10" spans="1:17">
      <c r="A10" s="476" t="s">
        <v>554</v>
      </c>
      <c r="B10" s="477">
        <f>transport!B54</f>
        <v>0</v>
      </c>
      <c r="C10" s="477">
        <f>transport!C54</f>
        <v>0</v>
      </c>
      <c r="D10" s="477">
        <f>transport!D54</f>
        <v>0</v>
      </c>
      <c r="E10" s="477">
        <f>transport!E54</f>
        <v>0</v>
      </c>
      <c r="F10" s="477">
        <f>transport!F54</f>
        <v>0</v>
      </c>
      <c r="G10" s="477">
        <f>transport!G54</f>
        <v>435.57455020108677</v>
      </c>
      <c r="H10" s="477">
        <f>transport!H54</f>
        <v>0</v>
      </c>
      <c r="I10" s="477">
        <f>transport!I54</f>
        <v>0</v>
      </c>
      <c r="J10" s="477">
        <f>transport!J54</f>
        <v>0</v>
      </c>
      <c r="K10" s="477">
        <f>transport!K54</f>
        <v>0</v>
      </c>
      <c r="L10" s="477">
        <f>transport!L54</f>
        <v>0</v>
      </c>
      <c r="M10" s="477">
        <f>transport!M54</f>
        <v>13.510548087655954</v>
      </c>
      <c r="N10" s="477">
        <f>transport!N54</f>
        <v>0</v>
      </c>
      <c r="O10" s="477">
        <f>transport!O54</f>
        <v>0</v>
      </c>
      <c r="P10" s="478">
        <f>transport!P54</f>
        <v>0</v>
      </c>
      <c r="Q10" s="476">
        <f t="shared" si="0"/>
        <v>449.0850982887427</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514.83781037999995</v>
      </c>
      <c r="C14" s="484"/>
      <c r="D14" s="484">
        <f>'SEAP template'!E25</f>
        <v>795.60532570999999</v>
      </c>
      <c r="E14" s="484"/>
      <c r="F14" s="484"/>
      <c r="G14" s="484"/>
      <c r="H14" s="484"/>
      <c r="I14" s="484"/>
      <c r="J14" s="484"/>
      <c r="K14" s="484"/>
      <c r="L14" s="484"/>
      <c r="M14" s="484"/>
      <c r="N14" s="484"/>
      <c r="O14" s="484"/>
      <c r="P14" s="485"/>
      <c r="Q14" s="476">
        <f t="shared" si="0"/>
        <v>1310.4431360899998</v>
      </c>
    </row>
    <row r="15" spans="1:17" s="486" customFormat="1">
      <c r="A15" s="1038" t="s">
        <v>558</v>
      </c>
      <c r="B15" s="978">
        <f ca="1">SUM(B4:B14)</f>
        <v>82976.981010058807</v>
      </c>
      <c r="C15" s="978">
        <f t="shared" ref="C15:Q15" ca="1" si="1">SUM(C4:C14)</f>
        <v>0</v>
      </c>
      <c r="D15" s="978">
        <f t="shared" ca="1" si="1"/>
        <v>57001.085677440635</v>
      </c>
      <c r="E15" s="978">
        <f t="shared" si="1"/>
        <v>3792.9558615295368</v>
      </c>
      <c r="F15" s="978">
        <f t="shared" ca="1" si="1"/>
        <v>36094.116354376732</v>
      </c>
      <c r="G15" s="978">
        <f t="shared" si="1"/>
        <v>27339.328475254082</v>
      </c>
      <c r="H15" s="978">
        <f t="shared" si="1"/>
        <v>6241.6395856414547</v>
      </c>
      <c r="I15" s="978">
        <f t="shared" si="1"/>
        <v>0</v>
      </c>
      <c r="J15" s="978">
        <f t="shared" si="1"/>
        <v>920.85717947222952</v>
      </c>
      <c r="K15" s="978">
        <f t="shared" si="1"/>
        <v>0</v>
      </c>
      <c r="L15" s="978">
        <f t="shared" ca="1" si="1"/>
        <v>0</v>
      </c>
      <c r="M15" s="978">
        <f t="shared" si="1"/>
        <v>1048.152901502096</v>
      </c>
      <c r="N15" s="978">
        <f t="shared" ca="1" si="1"/>
        <v>39365.464341698993</v>
      </c>
      <c r="O15" s="978">
        <f t="shared" si="1"/>
        <v>300.16000000000003</v>
      </c>
      <c r="P15" s="978">
        <f t="shared" si="1"/>
        <v>1105.8666666666668</v>
      </c>
      <c r="Q15" s="978">
        <f t="shared" ca="1" si="1"/>
        <v>256186.60805364125</v>
      </c>
    </row>
    <row r="17" spans="1:17">
      <c r="A17" s="487" t="s">
        <v>559</v>
      </c>
      <c r="B17" s="786">
        <f ca="1">huishoudens!B10</f>
        <v>0.20647571518087759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3518.7252768280273</v>
      </c>
      <c r="C22" s="477">
        <f t="shared" ref="C22:C32" ca="1" si="3">C4*$C$17</f>
        <v>0</v>
      </c>
      <c r="D22" s="477">
        <f t="shared" ref="D22:D32" si="4">D4*$D$17</f>
        <v>6349.975020702941</v>
      </c>
      <c r="E22" s="477">
        <f t="shared" ref="E22:E32" si="5">E4*$E$17</f>
        <v>302.63393190473664</v>
      </c>
      <c r="F22" s="477">
        <f t="shared" ref="F22:F32" si="6">F4*$F$17</f>
        <v>5839.6706066869265</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16011.004836122631</v>
      </c>
    </row>
    <row r="23" spans="1:17">
      <c r="A23" s="476" t="s">
        <v>156</v>
      </c>
      <c r="B23" s="477">
        <f t="shared" ca="1" si="2"/>
        <v>2027.0142589530851</v>
      </c>
      <c r="C23" s="477">
        <f t="shared" ca="1" si="3"/>
        <v>0</v>
      </c>
      <c r="D23" s="477">
        <f t="shared" ca="1" si="4"/>
        <v>2119.0092730872352</v>
      </c>
      <c r="E23" s="477">
        <f t="shared" si="5"/>
        <v>40.105619222123927</v>
      </c>
      <c r="F23" s="477">
        <f t="shared" ca="1" si="6"/>
        <v>647.90932784364793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4834.0384791060924</v>
      </c>
    </row>
    <row r="24" spans="1:17">
      <c r="A24" s="476" t="s">
        <v>194</v>
      </c>
      <c r="B24" s="477">
        <f t="shared" ca="1" si="2"/>
        <v>92.654325381697376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92.654325381697376</v>
      </c>
    </row>
    <row r="25" spans="1:17">
      <c r="A25" s="476" t="s">
        <v>112</v>
      </c>
      <c r="B25" s="477">
        <f t="shared" ca="1" si="2"/>
        <v>181.8977580760282</v>
      </c>
      <c r="C25" s="477">
        <f t="shared" ca="1" si="3"/>
        <v>0</v>
      </c>
      <c r="D25" s="477">
        <f t="shared" si="4"/>
        <v>15.932234454056317</v>
      </c>
      <c r="E25" s="477">
        <f t="shared" si="5"/>
        <v>5.1566885858519145</v>
      </c>
      <c r="F25" s="477">
        <f t="shared" si="6"/>
        <v>859.76475520862891</v>
      </c>
      <c r="G25" s="477">
        <f t="shared" si="7"/>
        <v>0</v>
      </c>
      <c r="H25" s="477">
        <f t="shared" si="8"/>
        <v>0</v>
      </c>
      <c r="I25" s="477">
        <f t="shared" si="9"/>
        <v>0</v>
      </c>
      <c r="J25" s="477">
        <f t="shared" si="10"/>
        <v>44.896569789158605</v>
      </c>
      <c r="K25" s="477">
        <f t="shared" si="11"/>
        <v>0</v>
      </c>
      <c r="L25" s="477">
        <f t="shared" si="12"/>
        <v>0</v>
      </c>
      <c r="M25" s="477">
        <f t="shared" si="13"/>
        <v>0</v>
      </c>
      <c r="N25" s="477">
        <f t="shared" si="14"/>
        <v>0</v>
      </c>
      <c r="O25" s="477">
        <f t="shared" si="15"/>
        <v>0</v>
      </c>
      <c r="P25" s="478">
        <f t="shared" si="16"/>
        <v>0</v>
      </c>
      <c r="Q25" s="476">
        <f t="shared" ca="1" si="17"/>
        <v>1107.648006113724</v>
      </c>
    </row>
    <row r="26" spans="1:17">
      <c r="A26" s="476" t="s">
        <v>638</v>
      </c>
      <c r="B26" s="477">
        <f t="shared" ca="1" si="2"/>
        <v>11204.052390370554</v>
      </c>
      <c r="C26" s="477">
        <f t="shared" ca="1" si="3"/>
        <v>0</v>
      </c>
      <c r="D26" s="477">
        <f t="shared" si="4"/>
        <v>2863.8898548058683</v>
      </c>
      <c r="E26" s="477">
        <f t="shared" si="5"/>
        <v>492.80972434348354</v>
      </c>
      <c r="F26" s="477">
        <f t="shared" si="6"/>
        <v>2289.7843768793837</v>
      </c>
      <c r="G26" s="477">
        <f t="shared" si="7"/>
        <v>0</v>
      </c>
      <c r="H26" s="477">
        <f t="shared" si="8"/>
        <v>0</v>
      </c>
      <c r="I26" s="477">
        <f t="shared" si="9"/>
        <v>0</v>
      </c>
      <c r="J26" s="477">
        <f t="shared" si="10"/>
        <v>281.08687174401058</v>
      </c>
      <c r="K26" s="477">
        <f t="shared" si="11"/>
        <v>0</v>
      </c>
      <c r="L26" s="477">
        <f t="shared" si="12"/>
        <v>0</v>
      </c>
      <c r="M26" s="477">
        <f t="shared" si="13"/>
        <v>0</v>
      </c>
      <c r="N26" s="477">
        <f t="shared" si="14"/>
        <v>0</v>
      </c>
      <c r="O26" s="477">
        <f t="shared" si="15"/>
        <v>0</v>
      </c>
      <c r="P26" s="478">
        <f t="shared" si="16"/>
        <v>0</v>
      </c>
      <c r="Q26" s="476">
        <f t="shared" ca="1" si="17"/>
        <v>17131.623218143301</v>
      </c>
    </row>
    <row r="27" spans="1:17" s="482" customFormat="1">
      <c r="A27" s="480" t="s">
        <v>564</v>
      </c>
      <c r="B27" s="780">
        <f t="shared" ca="1" si="2"/>
        <v>2.0859828922318764</v>
      </c>
      <c r="C27" s="481">
        <f t="shared" ca="1" si="3"/>
        <v>0</v>
      </c>
      <c r="D27" s="481">
        <f t="shared" si="4"/>
        <v>4.7006479994887584</v>
      </c>
      <c r="E27" s="481">
        <f t="shared" si="5"/>
        <v>20.295016511008811</v>
      </c>
      <c r="F27" s="481">
        <f t="shared" si="6"/>
        <v>0</v>
      </c>
      <c r="G27" s="481">
        <f t="shared" si="7"/>
        <v>7183.3022979891502</v>
      </c>
      <c r="H27" s="481">
        <f t="shared" si="8"/>
        <v>1554.1682568247222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8764.5522022166024</v>
      </c>
    </row>
    <row r="28" spans="1:17">
      <c r="A28" s="476" t="s">
        <v>554</v>
      </c>
      <c r="B28" s="477">
        <f t="shared" ca="1" si="2"/>
        <v>0</v>
      </c>
      <c r="C28" s="477">
        <f t="shared" ca="1" si="3"/>
        <v>0</v>
      </c>
      <c r="D28" s="477">
        <f t="shared" si="4"/>
        <v>0</v>
      </c>
      <c r="E28" s="477">
        <f t="shared" si="5"/>
        <v>0</v>
      </c>
      <c r="F28" s="477">
        <f t="shared" si="6"/>
        <v>0</v>
      </c>
      <c r="G28" s="477">
        <f t="shared" si="7"/>
        <v>116.29840490369017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116.29840490369017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106.30150510036754</v>
      </c>
      <c r="C32" s="477">
        <f t="shared" ca="1" si="3"/>
        <v>0</v>
      </c>
      <c r="D32" s="477">
        <f t="shared" si="4"/>
        <v>160.71227579342002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267.01378089378755</v>
      </c>
    </row>
    <row r="33" spans="1:17" s="486" customFormat="1">
      <c r="A33" s="1038" t="s">
        <v>558</v>
      </c>
      <c r="B33" s="978">
        <f ca="1">SUM(B22:B32)</f>
        <v>17132.731497601992</v>
      </c>
      <c r="C33" s="978">
        <f t="shared" ref="C33:Q33" ca="1" si="18">SUM(C22:C32)</f>
        <v>0</v>
      </c>
      <c r="D33" s="978">
        <f t="shared" ca="1" si="18"/>
        <v>11514.219306843008</v>
      </c>
      <c r="E33" s="978">
        <f t="shared" si="18"/>
        <v>861.00098056720492</v>
      </c>
      <c r="F33" s="978">
        <f t="shared" ca="1" si="18"/>
        <v>9637.1290666185869</v>
      </c>
      <c r="G33" s="978">
        <f t="shared" si="18"/>
        <v>7299.6007028928407</v>
      </c>
      <c r="H33" s="978">
        <f t="shared" si="18"/>
        <v>1554.1682568247222</v>
      </c>
      <c r="I33" s="978">
        <f t="shared" si="18"/>
        <v>0</v>
      </c>
      <c r="J33" s="978">
        <f t="shared" si="18"/>
        <v>325.98344153316918</v>
      </c>
      <c r="K33" s="978">
        <f t="shared" si="18"/>
        <v>0</v>
      </c>
      <c r="L33" s="978">
        <f t="shared" ca="1" si="18"/>
        <v>0</v>
      </c>
      <c r="M33" s="978">
        <f t="shared" si="18"/>
        <v>0</v>
      </c>
      <c r="N33" s="978">
        <f t="shared" ca="1" si="18"/>
        <v>0</v>
      </c>
      <c r="O33" s="978">
        <f t="shared" si="18"/>
        <v>0</v>
      </c>
      <c r="P33" s="978">
        <f t="shared" si="18"/>
        <v>0</v>
      </c>
      <c r="Q33" s="978">
        <f t="shared" ca="1" si="18"/>
        <v>48324.833252881523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5453.3090752081644</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5453.3090752081644</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0.20647571518087759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0.20647571518087759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2</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38.133333333333333</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2019-08-12T08:22:46Z</dcterms:modified>
</cp:coreProperties>
</file>