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F19"/>
  <c r="E19"/>
  <c r="D19"/>
  <c r="E89" i="14" s="1"/>
  <c r="E19" i="59" s="1"/>
  <c r="C19" i="18"/>
  <c r="D89" i="14" s="1"/>
  <c r="D19" i="59" s="1"/>
  <c r="B19" i="18"/>
  <c r="N18"/>
  <c r="M18"/>
  <c r="L18"/>
  <c r="K18"/>
  <c r="N88" i="14" s="1"/>
  <c r="N18" i="59" s="1"/>
  <c r="N20" s="1"/>
  <c r="J18" i="18"/>
  <c r="J88" i="14" s="1"/>
  <c r="J18" i="59" s="1"/>
  <c r="I18" i="18"/>
  <c r="H18"/>
  <c r="G18"/>
  <c r="F18"/>
  <c r="E18"/>
  <c r="D18"/>
  <c r="C18"/>
  <c r="D88" i="14" s="1"/>
  <c r="D18" i="59" s="1"/>
  <c r="B18" i="18"/>
  <c r="L9"/>
  <c r="O77" i="14" s="1"/>
  <c r="K9" i="18"/>
  <c r="K10" s="1"/>
  <c r="G9"/>
  <c r="F9"/>
  <c r="G77" i="14"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E9" s="1"/>
  <c r="F77" i="14" s="1"/>
  <c r="F9" i="59" s="1"/>
  <c r="R89" i="18"/>
  <c r="Q89"/>
  <c r="P89"/>
  <c r="O89"/>
  <c r="N89"/>
  <c r="B9" s="1"/>
  <c r="M89"/>
  <c r="W61"/>
  <c r="V61"/>
  <c r="U61"/>
  <c r="T61"/>
  <c r="L6" i="17" s="1"/>
  <c r="S61" i="18"/>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K20"/>
  <c r="G12"/>
  <c r="F12"/>
  <c r="E12"/>
  <c r="D12"/>
  <c r="C12"/>
  <c r="F10"/>
  <c r="D10"/>
  <c r="B6"/>
  <c r="B5"/>
  <c r="B73" i="14" s="1"/>
  <c r="B5" i="59" s="1"/>
  <c r="B4" i="18"/>
  <c r="F6" i="17"/>
  <c r="D6"/>
  <c r="C6"/>
  <c r="D5"/>
  <c r="B19" i="6"/>
  <c r="B18"/>
  <c r="B5"/>
  <c r="B6"/>
  <c r="D14" i="48"/>
  <c r="B14"/>
  <c r="P7"/>
  <c r="O7"/>
  <c r="M7"/>
  <c r="K7"/>
  <c r="I7"/>
  <c r="H7"/>
  <c r="G7"/>
  <c r="P10"/>
  <c r="O10"/>
  <c r="N10"/>
  <c r="L10"/>
  <c r="K10"/>
  <c r="J10"/>
  <c r="I10"/>
  <c r="H10"/>
  <c r="F10"/>
  <c r="E10"/>
  <c r="D10"/>
  <c r="C10"/>
  <c r="P9"/>
  <c r="O9"/>
  <c r="O27" s="1"/>
  <c r="N9"/>
  <c r="L9"/>
  <c r="K9"/>
  <c r="J9"/>
  <c r="I9"/>
  <c r="F9"/>
  <c r="C9"/>
  <c r="P13"/>
  <c r="P31" s="1"/>
  <c r="O13"/>
  <c r="O31" s="1"/>
  <c r="N13"/>
  <c r="L13"/>
  <c r="K13"/>
  <c r="J13"/>
  <c r="I13"/>
  <c r="F13"/>
  <c r="E13"/>
  <c r="D13"/>
  <c r="C13"/>
  <c r="B13"/>
  <c r="M8"/>
  <c r="K8"/>
  <c r="I8"/>
  <c r="H8"/>
  <c r="G8"/>
  <c r="B12"/>
  <c r="P17"/>
  <c r="O17"/>
  <c r="M4"/>
  <c r="L4"/>
  <c r="K4"/>
  <c r="I4"/>
  <c r="H4"/>
  <c r="G4"/>
  <c r="P11"/>
  <c r="P29" s="1"/>
  <c r="O11"/>
  <c r="O29" s="1"/>
  <c r="N11"/>
  <c r="M11"/>
  <c r="L11"/>
  <c r="K11"/>
  <c r="J11"/>
  <c r="I11"/>
  <c r="H11"/>
  <c r="G11"/>
  <c r="F11"/>
  <c r="E11"/>
  <c r="D11"/>
  <c r="Q11" s="1"/>
  <c r="C11"/>
  <c r="B11"/>
  <c r="P32"/>
  <c r="O32"/>
  <c r="Q12"/>
  <c r="P28"/>
  <c r="O28"/>
  <c r="P27"/>
  <c r="P25"/>
  <c r="O25"/>
  <c r="M89" i="14"/>
  <c r="M19" i="59" s="1"/>
  <c r="L89" i="14"/>
  <c r="L19" i="59" s="1"/>
  <c r="K89" i="14"/>
  <c r="K19" i="59" s="1"/>
  <c r="K20" s="1"/>
  <c r="J89" i="14"/>
  <c r="J19" i="59" s="1"/>
  <c r="G89" i="14"/>
  <c r="G19" i="59" s="1"/>
  <c r="M88" i="14"/>
  <c r="M18" i="59" s="1"/>
  <c r="L88" i="14"/>
  <c r="L18" i="59" s="1"/>
  <c r="K88" i="14"/>
  <c r="K18" i="59" s="1"/>
  <c r="I88" i="14"/>
  <c r="I18" i="59" s="1"/>
  <c r="H88" i="14"/>
  <c r="F88"/>
  <c r="F18" i="59" s="1"/>
  <c r="O87" i="14"/>
  <c r="N87"/>
  <c r="N17" i="59" s="1"/>
  <c r="L87" i="14"/>
  <c r="L17" i="59" s="1"/>
  <c r="K87" i="14"/>
  <c r="K17" i="59" s="1"/>
  <c r="H87" i="14"/>
  <c r="H17" i="59" s="1"/>
  <c r="G87" i="14"/>
  <c r="G17" i="59" s="1"/>
  <c r="E87" i="14"/>
  <c r="E17" i="59" s="1"/>
  <c r="N77" i="14"/>
  <c r="N9" i="59" s="1"/>
  <c r="L77" i="14"/>
  <c r="L9" i="59" s="1"/>
  <c r="K77" i="14"/>
  <c r="K9" i="59" s="1"/>
  <c r="D77" i="14"/>
  <c r="D9" i="59" s="1"/>
  <c r="O76" i="14"/>
  <c r="O8" i="59" s="1"/>
  <c r="N76" i="14"/>
  <c r="N8" i="59" s="1"/>
  <c r="L76" i="14"/>
  <c r="K76"/>
  <c r="K8" i="59" s="1"/>
  <c r="H76" i="14"/>
  <c r="G76"/>
  <c r="G8" i="59" s="1"/>
  <c r="E76" i="14"/>
  <c r="E8" i="59" s="1"/>
  <c r="B75" i="14"/>
  <c r="B7" i="59" s="1"/>
  <c r="B74" i="14"/>
  <c r="B6"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L22" s="1"/>
  <c r="K19"/>
  <c r="J19"/>
  <c r="I19"/>
  <c r="G19"/>
  <c r="F19"/>
  <c r="E19"/>
  <c r="D19"/>
  <c r="Q48"/>
  <c r="Q52" s="1"/>
  <c r="P48"/>
  <c r="O48"/>
  <c r="M48"/>
  <c r="L48"/>
  <c r="K48"/>
  <c r="J48"/>
  <c r="G48"/>
  <c r="D48"/>
  <c r="Q18"/>
  <c r="Q22" s="1"/>
  <c r="P18"/>
  <c r="P22" s="1"/>
  <c r="O18"/>
  <c r="M18"/>
  <c r="L18"/>
  <c r="K18"/>
  <c r="K22" s="1"/>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L90"/>
  <c r="R78"/>
  <c r="K78"/>
  <c r="P56"/>
  <c r="H56"/>
  <c r="Q56"/>
  <c r="I56"/>
  <c r="R44"/>
  <c r="R25"/>
  <c r="E25"/>
  <c r="E55" s="1"/>
  <c r="C25"/>
  <c r="Q26"/>
  <c r="J26"/>
  <c r="I26"/>
  <c r="H26"/>
  <c r="O22"/>
  <c r="J22"/>
  <c r="G22"/>
  <c r="D20" i="18" l="1"/>
  <c r="E88" i="14"/>
  <c r="E18" i="59" s="1"/>
  <c r="O88" i="14"/>
  <c r="O18" i="59" s="1"/>
  <c r="L20" i="18"/>
  <c r="H89" i="14"/>
  <c r="H19" i="59" s="1"/>
  <c r="G20" i="18"/>
  <c r="O17" i="59"/>
  <c r="O20" s="1"/>
  <c r="O78" i="14"/>
  <c r="O9" i="59"/>
  <c r="G10" i="18"/>
  <c r="H77" i="14"/>
  <c r="H9" i="59" s="1"/>
  <c r="G9"/>
  <c r="G78" i="14"/>
  <c r="P52"/>
  <c r="R9"/>
  <c r="N6" i="17"/>
  <c r="M22" i="14"/>
  <c r="L78"/>
  <c r="L8" i="59"/>
  <c r="L10" s="1"/>
  <c r="H90" i="14"/>
  <c r="H18" i="59"/>
  <c r="H78" i="14"/>
  <c r="H8" i="59"/>
  <c r="O10"/>
  <c r="K10"/>
  <c r="H20"/>
  <c r="C98" i="18"/>
  <c r="B101" s="1"/>
  <c r="C8" s="1"/>
  <c r="D13" i="15"/>
  <c r="L10" i="18"/>
  <c r="C13" i="15"/>
  <c r="K90" i="14"/>
  <c r="G10" i="59"/>
  <c r="E20"/>
  <c r="B13" i="15"/>
  <c r="F20" i="18"/>
  <c r="N90" i="14"/>
  <c r="E10" i="59"/>
  <c r="B17" i="18"/>
  <c r="B20" s="1"/>
  <c r="N10" i="59"/>
  <c r="L20"/>
  <c r="B8" i="18"/>
  <c r="B10" s="1"/>
  <c r="O19"/>
  <c r="L13" i="15"/>
  <c r="N13"/>
  <c r="Q77" i="14"/>
  <c r="P9" i="59" s="1"/>
  <c r="O9" i="18"/>
  <c r="O18"/>
  <c r="B89" i="14"/>
  <c r="B19" i="59" s="1"/>
  <c r="G88" i="14"/>
  <c r="B88" s="1"/>
  <c r="B18" i="59" s="1"/>
  <c r="F89" i="14"/>
  <c r="I101" i="18"/>
  <c r="H8" s="1"/>
  <c r="C101"/>
  <c r="F101"/>
  <c r="I102"/>
  <c r="H17" s="1"/>
  <c r="E102"/>
  <c r="E17" s="1"/>
  <c r="H102"/>
  <c r="D102"/>
  <c r="G102"/>
  <c r="C102"/>
  <c r="F102"/>
  <c r="B102"/>
  <c r="C17" s="1"/>
  <c r="Q88" i="14"/>
  <c r="P18" i="59" s="1"/>
  <c r="B77" i="14"/>
  <c r="B9" i="59" s="1"/>
  <c r="Q14" i="48"/>
  <c r="O24"/>
  <c r="O30"/>
  <c r="P24"/>
  <c r="P30"/>
  <c r="C77" i="14"/>
  <c r="C9" i="59" s="1"/>
  <c r="E78" i="14"/>
  <c r="N78"/>
  <c r="E101" i="18" l="1"/>
  <c r="E8" s="1"/>
  <c r="E90" i="14"/>
  <c r="H101" i="18"/>
  <c r="J8" s="1"/>
  <c r="D101"/>
  <c r="H10" i="59"/>
  <c r="C88" i="14"/>
  <c r="C18" i="59" s="1"/>
  <c r="G101" i="18"/>
  <c r="I8" s="1"/>
  <c r="O8" s="1"/>
  <c r="O10" s="1"/>
  <c r="G90" i="14"/>
  <c r="G18" i="59"/>
  <c r="G20" s="1"/>
  <c r="C89" i="14"/>
  <c r="C19" i="59" s="1"/>
  <c r="F19"/>
  <c r="O90" i="14"/>
  <c r="Q89"/>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F90" i="14" l="1"/>
  <c r="F17" i="59"/>
  <c r="F20" s="1"/>
  <c r="H5" i="48"/>
  <c r="I10" i="14"/>
  <c r="I16" s="1"/>
  <c r="G5" i="48"/>
  <c r="H10" i="14"/>
  <c r="H16" s="1"/>
  <c r="M90"/>
  <c r="M17" i="59"/>
  <c r="M20" s="1"/>
  <c r="M78" i="14"/>
  <c r="M8" i="59"/>
  <c r="M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32" i="48"/>
  <c r="I25"/>
  <c r="I26"/>
  <c r="I22"/>
  <c r="I27"/>
  <c r="I28"/>
  <c r="I24"/>
  <c r="I31"/>
  <c r="I29"/>
  <c r="I30"/>
  <c r="D4"/>
  <c r="D22" s="1"/>
  <c r="E11" i="14"/>
  <c r="H26" i="48"/>
  <c r="H28"/>
  <c r="H32"/>
  <c r="H25"/>
  <c r="H24"/>
  <c r="H29"/>
  <c r="H22"/>
  <c r="H30"/>
  <c r="H23"/>
  <c r="C4"/>
  <c r="D11" i="14"/>
  <c r="G32" i="48"/>
  <c r="G30"/>
  <c r="G24"/>
  <c r="G25"/>
  <c r="G29"/>
  <c r="G26"/>
  <c r="G22"/>
  <c r="G23"/>
  <c r="B4"/>
  <c r="C11" i="14"/>
  <c r="F32" i="48"/>
  <c r="F28"/>
  <c r="F27"/>
  <c r="F31"/>
  <c r="F29"/>
  <c r="F30"/>
  <c r="F24"/>
  <c r="N32"/>
  <c r="N28"/>
  <c r="N27"/>
  <c r="N31"/>
  <c r="N30"/>
  <c r="N24"/>
  <c r="N29"/>
  <c r="B10"/>
  <c r="C19" i="14"/>
  <c r="E28" i="48"/>
  <c r="E32"/>
  <c r="E31"/>
  <c r="E29"/>
  <c r="E24"/>
  <c r="E30"/>
  <c r="M32"/>
  <c r="M26"/>
  <c r="M29"/>
  <c r="M25"/>
  <c r="M24"/>
  <c r="M22"/>
  <c r="M30"/>
  <c r="M23"/>
  <c r="L10" i="14"/>
  <c r="L16" s="1"/>
  <c r="L27" s="1"/>
  <c r="K5" i="48"/>
  <c r="D31"/>
  <c r="D30"/>
  <c r="D29"/>
  <c r="D28"/>
  <c r="D24"/>
  <c r="D32"/>
  <c r="L31"/>
  <c r="L27"/>
  <c r="L32"/>
  <c r="L29"/>
  <c r="L28"/>
  <c r="L24"/>
  <c r="L22"/>
  <c r="L30"/>
  <c r="Q10" i="14"/>
  <c r="P5" i="48"/>
  <c r="P23" s="1"/>
  <c r="K29"/>
  <c r="K32"/>
  <c r="K31"/>
  <c r="K25"/>
  <c r="K28"/>
  <c r="K26"/>
  <c r="K24"/>
  <c r="K22"/>
  <c r="K27"/>
  <c r="K30"/>
  <c r="B7"/>
  <c r="C24" i="14"/>
  <c r="C26" s="1"/>
  <c r="J32" i="48"/>
  <c r="J29"/>
  <c r="J28"/>
  <c r="J31"/>
  <c r="J30"/>
  <c r="J24"/>
  <c r="J27"/>
  <c r="Q11" i="14"/>
  <c r="P4"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G13" i="48"/>
  <c r="H18" i="14"/>
  <c r="H13" i="48"/>
  <c r="H31" s="1"/>
  <c r="I18" i="14"/>
  <c r="K23" i="48"/>
  <c r="K33" s="1"/>
  <c r="K15"/>
  <c r="P8"/>
  <c r="P26" s="1"/>
  <c r="Q13" i="14"/>
  <c r="Q16" s="1"/>
  <c r="Q27" s="1"/>
  <c r="Q63" s="1"/>
  <c r="F20"/>
  <c r="F22" s="1"/>
  <c r="E9" i="48"/>
  <c r="E27" s="1"/>
  <c r="D9"/>
  <c r="D27" s="1"/>
  <c r="E20" i="14"/>
  <c r="E22" s="1"/>
  <c r="O5" i="48"/>
  <c r="O23" s="1"/>
  <c r="P10" i="14"/>
  <c r="J7" i="48"/>
  <c r="J25" s="1"/>
  <c r="K24" i="14"/>
  <c r="K26" s="1"/>
  <c r="C20"/>
  <c r="B9" i="48"/>
  <c r="P22"/>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G31" i="48"/>
  <c r="Q13"/>
  <c r="E12" i="13"/>
  <c r="F41" i="14" s="1"/>
  <c r="F11"/>
  <c r="E4" i="48"/>
  <c r="R18" i="14"/>
  <c r="I23" i="48"/>
  <c r="I33" s="1"/>
  <c r="I15"/>
  <c r="J4"/>
  <c r="K11" i="14"/>
  <c r="E7" i="48"/>
  <c r="E25" s="1"/>
  <c r="F24" i="14"/>
  <c r="F26" s="1"/>
  <c r="N20"/>
  <c r="M9" i="48"/>
  <c r="O22" i="16"/>
  <c r="P43" i="14" s="1"/>
  <c r="O8" i="48"/>
  <c r="P13" i="14"/>
  <c r="P16" s="1"/>
  <c r="P27" s="1"/>
  <c r="I20"/>
  <c r="H9" i="48"/>
  <c r="M10"/>
  <c r="M28" s="1"/>
  <c r="N19" i="14"/>
  <c r="P46"/>
  <c r="P61" s="1"/>
  <c r="J63"/>
  <c r="I22"/>
  <c r="I27" s="1"/>
  <c r="P15" i="48"/>
  <c r="G14" i="22"/>
  <c r="P33" i="48"/>
  <c r="C22" i="14"/>
  <c r="N22"/>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J5"/>
  <c r="J23" s="1"/>
  <c r="K10" i="14"/>
  <c r="M27" i="48"/>
  <c r="M33" s="1"/>
  <c r="M15"/>
  <c r="G28"/>
  <c r="Q10"/>
  <c r="O26"/>
  <c r="O33" s="1"/>
  <c r="O15"/>
  <c r="H20" i="14"/>
  <c r="G9" i="48"/>
  <c r="J22"/>
  <c r="H27"/>
  <c r="H33" s="1"/>
  <c r="H15"/>
  <c r="E22"/>
  <c r="Q4"/>
  <c r="P63" i="14"/>
  <c r="R19"/>
  <c r="R24"/>
  <c r="R26" s="1"/>
  <c r="R11"/>
  <c r="J20" i="15"/>
  <c r="K40" i="14" s="1"/>
  <c r="Q7" i="48"/>
  <c r="E20" i="15"/>
  <c r="F40" i="14" s="1"/>
  <c r="J18" i="16"/>
  <c r="E18"/>
  <c r="F18"/>
  <c r="F22" s="1"/>
  <c r="G43" i="14" s="1"/>
  <c r="N18" i="16"/>
  <c r="G18" i="22"/>
  <c r="H50" i="14" s="1"/>
  <c r="H52" s="1"/>
  <c r="H61" s="1"/>
  <c r="E22" i="16"/>
  <c r="F43" i="14" s="1"/>
  <c r="H18" i="22"/>
  <c r="I50" i="14" s="1"/>
  <c r="I52" s="1"/>
  <c r="I61" s="1"/>
  <c r="I63" s="1"/>
  <c r="R20" l="1"/>
  <c r="R22" s="1"/>
  <c r="H22"/>
  <c r="H27" s="1"/>
  <c r="H63" s="1"/>
  <c r="G27" i="48"/>
  <c r="G33" s="1"/>
  <c r="G15"/>
  <c r="Q9"/>
  <c r="J22" i="16"/>
  <c r="K43" i="14" s="1"/>
  <c r="J8" i="48"/>
  <c r="J26" s="1"/>
  <c r="K13" i="14"/>
  <c r="E8" i="48"/>
  <c r="F13" i="14"/>
  <c r="K46"/>
  <c r="K61" s="1"/>
  <c r="K63" s="1"/>
  <c r="F46"/>
  <c r="F61" s="1"/>
  <c r="K16"/>
  <c r="K27" s="1"/>
  <c r="J15" i="48"/>
  <c r="J33"/>
  <c r="F16" i="14"/>
  <c r="F27" s="1"/>
  <c r="N8" i="48"/>
  <c r="N26" s="1"/>
  <c r="O13" i="14"/>
  <c r="N22" i="16"/>
  <c r="O43" i="14" s="1"/>
  <c r="G13"/>
  <c r="F8" i="48"/>
  <c r="E26" l="1"/>
  <c r="E33" s="1"/>
  <c r="E15"/>
  <c r="F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<sst xmlns="http://schemas.openxmlformats.org/spreadsheetml/2006/main" count="2410" uniqueCount="899">
  <si>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</si>
  <si>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</si>
  <si>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</si>
  <si>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</si>
  <si>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</si>
  <si>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</si>
  <si>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</si>
  <si>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</si>
  <si>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</si>
  <si>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</si>
  <si>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</si>
  <si>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</si>
  <si>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</si>
  <si>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</si>
  <si>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</si>
  <si>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</si>
  <si>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</si>
  <si>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</si>
  <si>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</si>
  <si>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</si>
  <si>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</si>
  <si>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</si>
  <si>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</si>
  <si>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</si>
  <si>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</si>
  <si>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</si>
  <si>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</si>
  <si>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</si>
  <si>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</si>
  <si>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</si>
  <si>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</si>
  <si>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</si>
  <si>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</si>
  <si>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</si>
  <si>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</si>
  <si>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</si>
  <si>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</si>
  <si>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</si>
  <si>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</si>
  <si>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</si>
  <si>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</si>
  <si>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</si>
  <si>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</si>
  <si>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</si>
  <si>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</si>
  <si>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</si>
  <si>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</si>
  <si>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</si>
  <si>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</si>
  <si>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</si>
  <si>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</si>
  <si>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</si>
  <si>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</si>
  <si>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</si>
  <si>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</si>
  <si>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</si>
  <si>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</si>
  <si>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</si>
  <si>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</si>
  <si>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</si>
  <si>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</si>
  <si>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</si>
  <si>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</si>
  <si>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</si>
  <si>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</si>
  <si>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</si>
  <si>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</si>
  <si>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</si>
  <si>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</si>
  <si>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</si>
  <si>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</si>
  <si>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</si>
  <si>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</si>
  <si>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</si>
  <si>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</si>
  <si>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</si>
  <si>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</si>
  <si>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</si>
  <si>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</si>
  <si>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</si>
  <si>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</si>
  <si>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</si>
  <si>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</si>
  <si>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</si>
  <si>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</si>
  <si>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</si>
  <si>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</si>
  <si>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</si>
  <si>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</si>
  <si>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</si>
  <si>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</si>
  <si>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</si>
  <si>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</si>
  <si>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</si>
  <si>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</si>
  <si>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</si>
  <si>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</si>
  <si>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</si>
  <si>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</si>
  <si>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</si>
  <si>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</si>
  <si>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</si>
  <si>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</si>
  <si>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</si>
  <si>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</si>
  <si>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</si>
  <si>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</si>
  <si>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</si>
  <si>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</si>
  <si>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</si>
  <si>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</si>
  <si>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</si>
  <si>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</si>
  <si>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</si>
  <si>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</si>
  <si>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</si>
  <si>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</si>
  <si>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</si>
  <si>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</si>
  <si>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</si>
  <si>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</si>
  <si>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</si>
  <si>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</si>
  <si>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</si>
  <si>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</si>
  <si>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</si>
  <si>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</si>
  <si>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</si>
  <si>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</si>
  <si>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</si>
  <si>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</si>
  <si>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</si>
  <si>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</si>
  <si>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</si>
  <si>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</si>
  <si>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</si>
  <si>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</si>
  <si>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</si>
  <si>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</si>
  <si>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</si>
  <si>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</si>
  <si>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</si>
  <si>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</si>
  <si>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</si>
  <si>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</si>
  <si>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</si>
  <si>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</si>
  <si>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</si>
  <si>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</si>
  <si>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</si>
  <si>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</si>
  <si>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</si>
  <si>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</si>
  <si>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</si>
  <si>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</si>
  <si>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</si>
  <si>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</si>
  <si>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</si>
  <si>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</si>
  <si>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</si>
  <si>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</si>
  <si>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</si>
  <si>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</si>
  <si>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</si>
  <si>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</si>
  <si>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</si>
  <si>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</si>
  <si>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</si>
  <si>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</si>
  <si>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</si>
  <si>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</si>
  <si>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</si>
  <si>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</si>
  <si>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</si>
  <si>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</si>
  <si>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</si>
  <si>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</si>
  <si>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</si>
  <si>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</si>
  <si>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</si>
  <si>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</si>
  <si>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</si>
  <si>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</si>
  <si>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</si>
  <si>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</si>
  <si>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</si>
  <si>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</si>
  <si>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</si>
  <si>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</si>
  <si>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</si>
  <si>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</si>
  <si>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</si>
  <si>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</si>
  <si>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</si>
  <si>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</si>
  <si>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</si>
  <si>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</si>
  <si>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</si>
  <si>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</si>
  <si>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</si>
  <si>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</si>
  <si>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</si>
  <si>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</si>
  <si>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</si>
  <si>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</si>
  <si>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</si>
  <si>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</si>
  <si>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</si>
  <si>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</si>
  <si>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</si>
  <si>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</si>
  <si>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</si>
  <si>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</si>
  <si>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</si>
  <si>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</si>
  <si>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</si>
  <si>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</si>
  <si>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</si>
  <si>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</si>
  <si>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</si>
  <si>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</si>
  <si>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</si>
  <si>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</si>
  <si>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</si>
  <si>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</si>
  <si>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</si>
  <si>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</si>
  <si>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</si>
  <si>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</si>
  <si>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</si>
  <si>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</si>
  <si>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</si>
  <si>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</si>
  <si>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</si>
  <si>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</si>
  <si>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</si>
  <si>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</si>
  <si>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</si>
  <si>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</si>
  <si>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</si>
  <si>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</si>
  <si>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</si>
  <si>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</si>
  <si>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</si>
  <si>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</si>
  <si>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</si>
  <si>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</si>
  <si>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</si>
  <si>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</si>
  <si>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</si>
  <si>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</si>
  <si>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</si>
  <si>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</si>
  <si>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</si>
  <si>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</si>
  <si>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</si>
  <si>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</si>
  <si>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</si>
  <si>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</si>
  <si>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</si>
  <si>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</si>
  <si>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</si>
  <si>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</si>
  <si>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</si>
  <si>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</si>
  <si>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</si>
  <si>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</si>
  <si>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</si>
  <si>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</si>
  <si>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</si>
  <si>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</si>
  <si>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</si>
  <si>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</si>
  <si>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</si>
  <si>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</si>
  <si>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</si>
  <si>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</si>
  <si>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</si>
  <si>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</si>
  <si>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</si>
  <si>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</si>
  <si>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</si>
  <si>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</si>
  <si>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</si>
  <si>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</si>
  <si>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</si>
  <si>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</si>
  <si>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</si>
  <si>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</si>
  <si>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</si>
  <si>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</si>
  <si>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</si>
  <si>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</si>
  <si>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</si>
  <si>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</si>
  <si>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</si>
  <si>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</si>
  <si>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</si>
  <si>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</si>
  <si>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</si>
  <si>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</si>
  <si>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</si>
  <si>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</si>
  <si>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</si>
  <si>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</si>
  <si>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</si>
  <si>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</si>
  <si>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</si>
  <si>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</si>
  <si>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</si>
  <si>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</si>
  <si>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</si>
  <si>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</si>
  <si>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</si>
  <si>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</si>
  <si>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</si>
  <si>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</si>
  <si>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</si>
  <si>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</si>
  <si>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</si>
  <si>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</si>
  <si>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</si>
  <si>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</si>
  <si>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</si>
  <si>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</si>
  <si>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</si>
  <si>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</si>
  <si>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</si>
  <si>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</si>
  <si>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</si>
  <si>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</si>
  <si>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</si>
  <si>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</si>
  <si>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</si>
  <si>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</si>
  <si>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</si>
  <si>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</si>
  <si>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</si>
  <si>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</si>
  <si>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</si>
  <si>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</si>
  <si>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</si>
  <si>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</si>
  <si>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</si>
  <si>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</si>
  <si>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</si>
  <si>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</si>
  <si>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</si>
  <si>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</si>
  <si>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</si>
  <si>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</si>
  <si>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</si>
  <si>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</si>
  <si>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</si>
  <si>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</si>
  <si>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</si>
  <si>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</si>
  <si>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</si>
  <si>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</si>
  <si>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</si>
  <si>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</si>
  <si>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</si>
  <si>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</si>
  <si>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</si>
  <si>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</si>
  <si>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</si>
  <si>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</si>
  <si>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</si>
  <si>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</si>
  <si>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</si>
  <si>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</si>
  <si>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</si>
  <si>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</si>
  <si>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</si>
  <si>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</si>
  <si>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</si>
  <si>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</si>
  <si>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</si>
  <si>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</si>
  <si>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</si>
  <si>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</si>
  <si>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</si>
  <si>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</si>
  <si>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</si>
  <si>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</si>
  <si>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</si>
  <si>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</si>
  <si>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</si>
  <si>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</si>
  <si>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</si>
  <si>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</si>
  <si>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</si>
  <si>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</si>
  <si>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</si>
  <si>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</si>
  <si>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</si>
  <si>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</si>
  <si>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</si>
  <si>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</si>
  <si>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</si>
  <si>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</si>
  <si>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</si>
  <si>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</si>
  <si>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</si>
  <si>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</si>
  <si>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</si>
  <si>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</si>
  <si>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</si>
  <si>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</si>
  <si>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</si>
  <si>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</si>
  <si>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</si>
  <si>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</si>
  <si>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</si>
  <si>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</si>
  <si>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</si>
  <si>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</si>
  <si>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</si>
  <si>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</si>
  <si>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</si>
  <si>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</si>
  <si>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</si>
  <si>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</si>
  <si>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</si>
  <si>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</si>
  <si>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</si>
  <si>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</si>
  <si>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</si>
  <si>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</si>
  <si>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</si>
  <si>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</si>
  <si>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</si>
  <si>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</si>
  <si>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</si>
  <si>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</si>
  <si>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</si>
  <si>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</si>
  <si>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</si>
  <si>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</si>
  <si>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</si>
  <si>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</si>
  <si>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</si>
  <si>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</si>
  <si>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</si>
  <si>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</si>
  <si>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</si>
  <si>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</si>
  <si>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</si>
  <si>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</si>
  <si>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</si>
  <si>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</si>
  <si>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</si>
  <si>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</si>
  <si>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</si>
  <si>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</si>
  <si>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</si>
  <si>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</si>
  <si>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</si>
  <si>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</si>
  <si>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</si>
  <si>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</si>
  <si>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</si>
  <si>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</si>
  <si>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</si>
  <si>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</si>
  <si>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</si>
  <si>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</si>
  <si>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</si>
  <si>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</si>
  <si>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</si>
  <si>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</si>
  <si>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</si>
  <si>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</si>
  <si>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</si>
  <si>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</si>
  <si>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</si>
  <si>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</si>
  <si>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</si>
  <si>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</si>
  <si>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</si>
  <si>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</si>
  <si>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</si>
  <si>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</si>
  <si>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</si>
  <si>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</si>
  <si>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</si>
  <si>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</si>
  <si>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</si>
  <si>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</si>
  <si>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</si>
  <si>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</si>
  <si>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</si>
  <si>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</si>
  <si>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</si>
  <si>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</si>
  <si>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</si>
  <si>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</si>
  <si>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</si>
  <si>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</si>
  <si>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</si>
  <si>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</si>
  <si>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</si>
  <si>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</si>
  <si>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</si>
  <si>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</si>
  <si>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</si>
  <si>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</si>
  <si>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</si>
  <si>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</si>
  <si>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</si>
  <si>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</si>
  <si>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</si>
  <si>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</si>
  <si>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</si>
  <si>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</si>
  <si>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</si>
  <si>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</si>
  <si>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</si>
  <si>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</si>
  <si>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</si>
  <si>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</si>
  <si>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</si>
  <si>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</si>
  <si>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</si>
  <si>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</si>
  <si>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</si>
  <si>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</si>
  <si>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</si>
  <si>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</si>
  <si>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</si>
  <si>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</si>
  <si>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</si>
  <si>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</si>
  <si>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</si>
  <si>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</si>
  <si>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</si>
  <si>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</si>
  <si>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</si>
  <si>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</si>
  <si>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</si>
  <si>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</si>
  <si>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</si>
  <si>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</si>
  <si>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</si>
  <si>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</si>
  <si>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</si>
  <si>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</si>
  <si>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</si>
  <si>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</si>
  <si>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</si>
  <si>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</si>
  <si>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</si>
  <si>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</si>
  <si>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</si>
  <si>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</si>
  <si>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</si>
  <si>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</si>
  <si>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</si>
  <si>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</si>
  <si>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</si>
  <si>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</si>
  <si>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</si>
  <si>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</si>
  <si>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</si>
  <si>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</si>
  <si>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</si>
  <si>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</si>
  <si>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</si>
  <si>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</si>
  <si>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</si>
  <si>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</si>
  <si>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</si>
  <si>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</si>
  <si>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</si>
  <si>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</si>
  <si>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</si>
  <si>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</si>
  <si>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</si>
  <si>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</si>
  <si>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</si>
  <si>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</si>
  <si>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</si>
  <si>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</si>
  <si>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</si>
  <si>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</si>
  <si>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</si>
  <si>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</si>
  <si>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</si>
  <si>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</si>
  <si>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</si>
  <si>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</si>
  <si>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</si>
  <si>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</si>
  <si>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</si>
  <si>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</si>
  <si>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</si>
  <si>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</si>
  <si>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</si>
  <si>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</si>
  <si>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</si>
  <si>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</si>
  <si>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</si>
  <si>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</si>
  <si>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</si>
  <si>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</si>
  <si>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</si>
  <si>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</si>
  <si>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</si>
  <si>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</si>
  <si>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</si>
  <si>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</si>
  <si>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</si>
  <si>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</si>
  <si>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</si>
  <si>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</si>
  <si>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</si>
  <si>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</si>
  <si>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</si>
  <si>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</si>
  <si>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</si>
  <si>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</si>
  <si>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</si>
  <si>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</si>
  <si>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</si>
  <si>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</si>
  <si>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</si>
  <si>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</si>
  <si>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</si>
  <si>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</si>
  <si>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</si>
  <si>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</si>
  <si>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</si>
  <si>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</si>
  <si>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</si>
  <si>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</si>
  <si>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</si>
  <si>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</si>
  <si>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</si>
  <si>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</si>
  <si>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</si>
  <si>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</si>
  <si>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</si>
  <si>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</si>
  <si>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</si>
  <si>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</si>
  <si>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</si>
  <si>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</si>
  <si>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</si>
  <si>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</si>
  <si>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</si>
  <si>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</si>
  <si>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</si>
  <si>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</si>
  <si>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</si>
  <si>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</si>
  <si>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</si>
  <si>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</si>
  <si>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</si>
  <si>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</si>
  <si>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</si>
  <si>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</si>
  <si>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</si>
  <si>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</si>
  <si>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</si>
  <si>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</si>
  <si>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</si>
  <si>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</si>
  <si>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</si>
  <si>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</si>
  <si>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</si>
  <si>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</si>
  <si>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</si>
  <si>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</si>
  <si>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</si>
  <si>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</si>
  <si>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</si>
  <si>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</si>
  <si>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</si>
  <si>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</si>
  <si>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</si>
  <si>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</si>
  <si>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</si>
  <si>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</si>
  <si>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</si>
  <si>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</si>
  <si>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</si>
  <si>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</si>
  <si>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</si>
  <si>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</si>
  <si>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</si>
  <si>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</si>
  <si>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</si>
  <si>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</si>
  <si>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</si>
  <si>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</si>
  <si>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</si>
  <si>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</si>
  <si>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</si>
  <si>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</si>
  <si>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</si>
  <si>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</si>
  <si>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</si>
  <si>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</si>
  <si>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</si>
  <si>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</si>
  <si>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</si>
  <si>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</si>
  <si>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</si>
  <si>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</si>
  <si>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</si>
  <si>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</si>
  <si>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</si>
  <si>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</si>
  <si>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</si>
  <si>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</si>
  <si>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</si>
  <si>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</si>
  <si>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</si>
  <si>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</si>
  <si>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</si>
  <si>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</si>
  <si>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</si>
  <si>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</si>
  <si>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</si>
  <si>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</si>
  <si>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</si>
  <si>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</si>
  <si>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</si>
  <si>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</si>
  <si>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</si>
  <si>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</si>
  <si>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</si>
  <si>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</si>
  <si>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</si>
  <si>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</si>
  <si>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</si>
  <si>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</si>
  <si>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</si>
  <si>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</si>
  <si>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</si>
  <si>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</si>
  <si>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</si>
  <si>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</si>
  <si>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</si>
  <si>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</si>
  <si>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</si>
  <si>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</si>
  <si>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</si>
  <si>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</si>
  <si>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</si>
  <si>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</si>
  <si>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</si>
  <si>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</si>
  <si>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</si>
  <si>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</si>
  <si>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</si>
  <si>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</si>
  <si>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</si>
  <si>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</si>
  <si>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</si>
  <si>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</si>
  <si>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</si>
  <si>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</si>
  <si>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</si>
  <si>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</si>
  <si>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</si>
  <si>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</si>
  <si>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</si>
  <si>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</si>
  <si>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</si>
  <si>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</si>
  <si>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</si>
  <si>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</si>
  <si>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</si>
  <si>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</si>
  <si>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</si>
  <si>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</si>
  <si>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</si>
  <si>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</si>
  <si>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</si>
  <si>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</si>
  <si>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</si>
  <si>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</si>
  <si>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</si>
  <si>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</si>
  <si>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</si>
  <si>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</si>
  <si>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</si>
  <si>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</si>
  <si>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</si>
  <si>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</si>
  <si>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</si>
  <si>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</si>
  <si>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</si>
  <si>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</si>
  <si>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</si>
  <si>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</si>
  <si>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</si>
  <si>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</si>
  <si>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</si>
  <si>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</si>
  <si>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</si>
  <si>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</si>
  <si>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</si>
  <si>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</si>
  <si>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</si>
  <si>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</si>
  <si>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</si>
  <si>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</si>
  <si>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</si>
  <si>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</si>
  <si>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</si>
  <si>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</si>
  <si>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</si>
  <si>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</si>
  <si>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</si>
  <si>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</si>
  <si>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</si>
  <si>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</si>
  <si>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</si>
  <si>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</si>
  <si>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</si>
  <si>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</si>
  <si>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</si>
  <si>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</si>
  <si>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</si>
  <si>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</si>
  <si>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</si>
  <si>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</si>
  <si>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</si>
  <si>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</si>
  <si>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</si>
  <si>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</si>
  <si>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</si>
  <si>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</si>
  <si>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</si>
  <si>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</si>
  <si>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</si>
  <si>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</si>
  <si>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</si>
  <si>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</si>
  <si>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</si>
  <si>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</si>
  <si>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</si>
  <si>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</si>
  <si>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</si>
  <si>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</si>
  <si>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</si>
  <si>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</si>
  <si>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</si>
  <si>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</si>
  <si>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</si>
  <si>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</si>
  <si>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</si>
  <si>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</si>
  <si>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</si>
  <si>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</si>
  <si>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</si>
  <si>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</si>
  <si>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</si>
  <si>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</si>
  <si>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</si>
  <si>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</si>
  <si>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</si>
  <si>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</si>
  <si>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</si>
  <si>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</si>
  <si>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</si>
  <si>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</si>
  <si>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</si>
  <si>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</si>
  <si>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</si>
  <si>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</si>
  <si>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</si>
  <si>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</si>
  <si>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</si>
  <si>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</si>
  <si>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</si>
  <si>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</si>
  <si>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</si>
  <si>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</si>
  <si>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</si>
  <si>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13001</t>
  </si>
  <si>
    <t>ARENDONK</t>
  </si>
  <si>
    <t>Paarden&amp;pony's 200 - 600 kg</t>
  </si>
  <si>
    <t>Paarden&amp;pony's &lt; 200 kg</t>
  </si>
  <si>
    <t>referentietaak LNE (2017); Jaarverslag De Lijn (2015)</t>
  </si>
  <si>
    <t>op basis van VEA (maart 2018) en Inventaris Hernieuwbare Energiebronnen (juni 2018)</t>
  </si>
  <si>
    <t>VEA (januari 2017)</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</si>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</sst>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118959.28077259706</c:v>
                </c:pt>
                <c:pt idx="1">
                  <c:v>92964.59735220579</c:v>
                </c:pt>
                <c:pt idx="2">
                  <c:v>826.46299999999997</c:v>
                </c:pt>
                <c:pt idx="3">
                  <c:v>71585.90693548767</c:v>
                </c:pt>
                <c:pt idx="4">
                  <c:v>44860.209775340496</c:v>
                </c:pt>
                <c:pt idx="5">
                  <c:v>93840.905066623833</c:v>
                </c:pt>
                <c:pt idx="6">
                  <c:v>770.69212500580898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118959.28077259706</c:v>
                </c:pt>
                <c:pt idx="1">
                  <c:v>92964.59735220579</c:v>
                </c:pt>
                <c:pt idx="2">
                  <c:v>826.46299999999997</c:v>
                </c:pt>
                <c:pt idx="3">
                  <c:v>71585.90693548767</c:v>
                </c:pt>
                <c:pt idx="4">
                  <c:v>44860.209775340496</c:v>
                </c:pt>
                <c:pt idx="5">
                  <c:v>93840.905066623833</c:v>
                </c:pt>
                <c:pt idx="6">
                  <c:v>770.69212500580898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16210.31073770434</c:v>
                </c:pt>
                <c:pt idx="2">
                  <c:v>7759.9226982697237</c:v>
                </c:pt>
                <c:pt idx="3">
                  <c:v>47.09678673887197</c:v>
                </c:pt>
                <c:pt idx="4">
                  <c:v>6199.3137058700331</c:v>
                </c:pt>
                <c:pt idx="5">
                  <c:v>5765.0543805534462</c:v>
                </c:pt>
                <c:pt idx="6">
                  <c:v>24079.951739234712</c:v>
                </c:pt>
                <c:pt idx="7">
                  <c:v>199.58414374369309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66816"/>
      </c:barChart>
      <c:catAx>
        <c:axId val="184015872"/>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16210.31073770434</c:v>
                </c:pt>
                <c:pt idx="2">
                  <c:v>7759.9226982697237</c:v>
                </c:pt>
                <c:pt idx="3">
                  <c:v>47.09678673887197</c:v>
                </c:pt>
                <c:pt idx="4">
                  <c:v>6199.3137058700331</c:v>
                </c:pt>
                <c:pt idx="5">
                  <c:v>5765.0543805534462</c:v>
                </c:pt>
                <c:pt idx="6">
                  <c:v>24079.951739234712</c:v>
                </c:pt>
                <c:pt idx="7">
                  <c:v>199.58414374369309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13001</v>
      </c>
      <c r="B6" s="415"/>
      <c r="C6" s="416"/>
    </row>
    <row r="7" spans="1:7" s="413" customFormat="1" ht="15.75" customHeight="1">
      <c r="A7" s="417" t="str">
        <f>txtMunicipality</f>
        <v>ARENDONK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5.6985959128081923E-2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5.6985959128081923E-2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5235</v>
      </c>
      <c r="C9" s="342">
        <v>5383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2439.94</v>
      </c>
    </row>
    <row r="15" spans="1:6">
      <c r="A15" s="348" t="s">
        <v>184</v>
      </c>
      <c r="B15" s="334">
        <v>4236</v>
      </c>
    </row>
    <row r="16" spans="1:6">
      <c r="A16" s="348" t="s">
        <v>6</v>
      </c>
      <c r="B16" s="334">
        <v>1483</v>
      </c>
    </row>
    <row r="17" spans="1:6">
      <c r="A17" s="348" t="s">
        <v>7</v>
      </c>
      <c r="B17" s="334">
        <v>142</v>
      </c>
    </row>
    <row r="18" spans="1:6">
      <c r="A18" s="348" t="s">
        <v>8</v>
      </c>
      <c r="B18" s="334">
        <v>803</v>
      </c>
    </row>
    <row r="19" spans="1:6">
      <c r="A19" s="348" t="s">
        <v>9</v>
      </c>
      <c r="B19" s="334">
        <v>739</v>
      </c>
    </row>
    <row r="20" spans="1:6">
      <c r="A20" s="348" t="s">
        <v>10</v>
      </c>
      <c r="B20" s="334">
        <v>465</v>
      </c>
    </row>
    <row r="21" spans="1:6">
      <c r="A21" s="348" t="s">
        <v>11</v>
      </c>
      <c r="B21" s="334">
        <v>19877</v>
      </c>
    </row>
    <row r="22" spans="1:6">
      <c r="A22" s="348" t="s">
        <v>12</v>
      </c>
      <c r="B22" s="334">
        <v>16874</v>
      </c>
    </row>
    <row r="23" spans="1:6">
      <c r="A23" s="348" t="s">
        <v>13</v>
      </c>
      <c r="B23" s="334">
        <v>1038</v>
      </c>
    </row>
    <row r="24" spans="1:6">
      <c r="A24" s="348" t="s">
        <v>14</v>
      </c>
      <c r="B24" s="334">
        <v>11</v>
      </c>
    </row>
    <row r="25" spans="1:6">
      <c r="A25" s="348" t="s">
        <v>15</v>
      </c>
      <c r="B25" s="334">
        <v>4919</v>
      </c>
    </row>
    <row r="26" spans="1:6">
      <c r="A26" s="348" t="s">
        <v>16</v>
      </c>
      <c r="B26" s="334">
        <v>10</v>
      </c>
    </row>
    <row r="27" spans="1:6">
      <c r="A27" s="348" t="s">
        <v>17</v>
      </c>
      <c r="B27" s="334">
        <v>1</v>
      </c>
    </row>
    <row r="28" spans="1:6" s="356" customFormat="1">
      <c r="A28" s="355" t="s">
        <v>18</v>
      </c>
      <c r="B28" s="355">
        <v>388226</v>
      </c>
    </row>
    <row r="29" spans="1:6">
      <c r="A29" s="355" t="s">
        <v>884</v>
      </c>
      <c r="B29" s="355">
        <v>58</v>
      </c>
      <c r="C29" s="356"/>
      <c r="D29" s="356"/>
      <c r="E29" s="356"/>
      <c r="F29" s="356"/>
    </row>
    <row r="30" spans="1:6">
      <c r="A30" s="355" t="s">
        <v>885</v>
      </c>
      <c r="B30" s="341">
        <v>12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159230.56159</v>
      </c>
      <c r="E38" s="334">
        <v>1</v>
      </c>
      <c r="F38" s="334">
        <v>4676.8753131000003</v>
      </c>
    </row>
    <row r="39" spans="1:6">
      <c r="A39" s="348" t="s">
        <v>30</v>
      </c>
      <c r="B39" s="348" t="s">
        <v>31</v>
      </c>
      <c r="C39" s="334">
        <v>3714</v>
      </c>
      <c r="D39" s="334">
        <v>63338853.152000003</v>
      </c>
      <c r="E39" s="334">
        <v>5081</v>
      </c>
      <c r="F39" s="334">
        <v>18251632.787999999</v>
      </c>
    </row>
    <row r="40" spans="1:6">
      <c r="A40" s="348" t="s">
        <v>30</v>
      </c>
      <c r="B40" s="348" t="s">
        <v>29</v>
      </c>
      <c r="C40" s="334">
        <v>0</v>
      </c>
      <c r="D40" s="334">
        <v>0</v>
      </c>
      <c r="E40" s="334">
        <v>0</v>
      </c>
      <c r="F40" s="334">
        <v>0</v>
      </c>
    </row>
    <row r="41" spans="1:6">
      <c r="A41" s="348" t="s">
        <v>32</v>
      </c>
      <c r="B41" s="348" t="s">
        <v>33</v>
      </c>
      <c r="C41" s="334">
        <v>73</v>
      </c>
      <c r="D41" s="334">
        <v>1757151.0719000001</v>
      </c>
      <c r="E41" s="334">
        <v>146</v>
      </c>
      <c r="F41" s="334">
        <v>6617575.9298</v>
      </c>
    </row>
    <row r="42" spans="1:6">
      <c r="A42" s="348" t="s">
        <v>32</v>
      </c>
      <c r="B42" s="348" t="s">
        <v>34</v>
      </c>
      <c r="C42" s="334">
        <v>0</v>
      </c>
      <c r="D42" s="334">
        <v>0</v>
      </c>
      <c r="E42" s="334">
        <v>3</v>
      </c>
      <c r="F42" s="334">
        <v>286079.42932</v>
      </c>
    </row>
    <row r="43" spans="1:6">
      <c r="A43" s="348" t="s">
        <v>32</v>
      </c>
      <c r="B43" s="348" t="s">
        <v>35</v>
      </c>
      <c r="C43" s="334">
        <v>0</v>
      </c>
      <c r="D43" s="334">
        <v>0</v>
      </c>
      <c r="E43" s="334">
        <v>0</v>
      </c>
      <c r="F43" s="334">
        <v>0</v>
      </c>
    </row>
    <row r="44" spans="1:6">
      <c r="A44" s="348" t="s">
        <v>32</v>
      </c>
      <c r="B44" s="348" t="s">
        <v>36</v>
      </c>
      <c r="C44" s="334">
        <v>14</v>
      </c>
      <c r="D44" s="334">
        <v>4249366.7231000001</v>
      </c>
      <c r="E44" s="334">
        <v>26</v>
      </c>
      <c r="F44" s="334">
        <v>5595066.5472999997</v>
      </c>
    </row>
    <row r="45" spans="1:6">
      <c r="A45" s="348" t="s">
        <v>32</v>
      </c>
      <c r="B45" s="348" t="s">
        <v>37</v>
      </c>
      <c r="C45" s="334">
        <v>3</v>
      </c>
      <c r="D45" s="334">
        <v>124292.60705999999</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1352228.4479</v>
      </c>
    </row>
    <row r="48" spans="1:6">
      <c r="A48" s="348" t="s">
        <v>32</v>
      </c>
      <c r="B48" s="348" t="s">
        <v>29</v>
      </c>
      <c r="C48" s="334">
        <v>26</v>
      </c>
      <c r="D48" s="334">
        <v>2497901.7230000002</v>
      </c>
      <c r="E48" s="334">
        <v>29</v>
      </c>
      <c r="F48" s="334">
        <v>4922328.9782999996</v>
      </c>
    </row>
    <row r="49" spans="1:6">
      <c r="A49" s="348" t="s">
        <v>32</v>
      </c>
      <c r="B49" s="348" t="s">
        <v>40</v>
      </c>
      <c r="C49" s="334">
        <v>0</v>
      </c>
      <c r="D49" s="334">
        <v>0</v>
      </c>
      <c r="E49" s="334">
        <v>0</v>
      </c>
      <c r="F49" s="334">
        <v>0</v>
      </c>
    </row>
    <row r="50" spans="1:6">
      <c r="A50" s="348" t="s">
        <v>32</v>
      </c>
      <c r="B50" s="348" t="s">
        <v>41</v>
      </c>
      <c r="C50" s="334">
        <v>6</v>
      </c>
      <c r="D50" s="334">
        <v>386685.05802</v>
      </c>
      <c r="E50" s="334">
        <v>12</v>
      </c>
      <c r="F50" s="334">
        <v>370682.40536999999</v>
      </c>
    </row>
    <row r="51" spans="1:6">
      <c r="A51" s="348" t="s">
        <v>42</v>
      </c>
      <c r="B51" s="348" t="s">
        <v>43</v>
      </c>
      <c r="C51" s="334">
        <v>0</v>
      </c>
      <c r="D51" s="334">
        <v>0</v>
      </c>
      <c r="E51" s="334">
        <v>59</v>
      </c>
      <c r="F51" s="334">
        <v>5152007.3585000001</v>
      </c>
    </row>
    <row r="52" spans="1:6">
      <c r="A52" s="348" t="s">
        <v>42</v>
      </c>
      <c r="B52" s="348" t="s">
        <v>29</v>
      </c>
      <c r="C52" s="334">
        <v>8</v>
      </c>
      <c r="D52" s="334">
        <v>1475774.7668000001</v>
      </c>
      <c r="E52" s="334">
        <v>11</v>
      </c>
      <c r="F52" s="334">
        <v>290053.31955999997</v>
      </c>
    </row>
    <row r="53" spans="1:6">
      <c r="A53" s="348" t="s">
        <v>44</v>
      </c>
      <c r="B53" s="348" t="s">
        <v>45</v>
      </c>
      <c r="C53" s="334">
        <v>76</v>
      </c>
      <c r="D53" s="334">
        <v>1750559.5697000001</v>
      </c>
      <c r="E53" s="334">
        <v>167</v>
      </c>
      <c r="F53" s="334">
        <v>1241306.0194000001</v>
      </c>
    </row>
    <row r="54" spans="1:6">
      <c r="A54" s="348" t="s">
        <v>46</v>
      </c>
      <c r="B54" s="348" t="s">
        <v>47</v>
      </c>
      <c r="C54" s="334">
        <v>0</v>
      </c>
      <c r="D54" s="334">
        <v>0</v>
      </c>
      <c r="E54" s="334">
        <v>1</v>
      </c>
      <c r="F54" s="334">
        <v>826463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1033669.0272</v>
      </c>
      <c r="E57" s="334">
        <v>93</v>
      </c>
      <c r="F57" s="334">
        <v>33703162.307999998</v>
      </c>
    </row>
    <row r="58" spans="1:6">
      <c r="A58" s="348" t="s">
        <v>49</v>
      </c>
      <c r="B58" s="348" t="s">
        <v>51</v>
      </c>
      <c r="C58" s="334">
        <v>13</v>
      </c>
      <c r="D58" s="334">
        <v>120796.87506999999</v>
      </c>
      <c r="E58" s="334">
        <v>25</v>
      </c>
      <c r="F58" s="334">
        <v>130374.03924</v>
      </c>
    </row>
    <row r="59" spans="1:6">
      <c r="A59" s="348" t="s">
        <v>49</v>
      </c>
      <c r="B59" s="348" t="s">
        <v>52</v>
      </c>
      <c r="C59" s="334">
        <v>66</v>
      </c>
      <c r="D59" s="334">
        <v>1990096.7845999999</v>
      </c>
      <c r="E59" s="334">
        <v>118</v>
      </c>
      <c r="F59" s="334">
        <v>2870562.0674000001</v>
      </c>
    </row>
    <row r="60" spans="1:6">
      <c r="A60" s="348" t="s">
        <v>49</v>
      </c>
      <c r="B60" s="348" t="s">
        <v>53</v>
      </c>
      <c r="C60" s="334">
        <v>37</v>
      </c>
      <c r="D60" s="334">
        <v>1720321.5216999999</v>
      </c>
      <c r="E60" s="334">
        <v>49</v>
      </c>
      <c r="F60" s="334">
        <v>1254850.1728000001</v>
      </c>
    </row>
    <row r="61" spans="1:6">
      <c r="A61" s="348" t="s">
        <v>49</v>
      </c>
      <c r="B61" s="348" t="s">
        <v>54</v>
      </c>
      <c r="C61" s="334">
        <v>76</v>
      </c>
      <c r="D61" s="334">
        <v>4932451.3346999995</v>
      </c>
      <c r="E61" s="334">
        <v>125</v>
      </c>
      <c r="F61" s="334">
        <v>1733856.8221</v>
      </c>
    </row>
    <row r="62" spans="1:6">
      <c r="A62" s="348" t="s">
        <v>49</v>
      </c>
      <c r="B62" s="348" t="s">
        <v>55</v>
      </c>
      <c r="C62" s="334">
        <v>3</v>
      </c>
      <c r="D62" s="334">
        <v>795247.71664999996</v>
      </c>
      <c r="E62" s="334">
        <v>0</v>
      </c>
      <c r="F62" s="334">
        <v>0</v>
      </c>
    </row>
    <row r="63" spans="1:6">
      <c r="A63" s="348" t="s">
        <v>49</v>
      </c>
      <c r="B63" s="348" t="s">
        <v>29</v>
      </c>
      <c r="C63" s="334">
        <v>93</v>
      </c>
      <c r="D63" s="334">
        <v>3782371.8906999999</v>
      </c>
      <c r="E63" s="334">
        <v>86</v>
      </c>
      <c r="F63" s="334">
        <v>3281581.6798999999</v>
      </c>
    </row>
    <row r="64" spans="1:6">
      <c r="A64" s="348" t="s">
        <v>56</v>
      </c>
      <c r="B64" s="348" t="s">
        <v>57</v>
      </c>
      <c r="C64" s="334">
        <v>0</v>
      </c>
      <c r="D64" s="334">
        <v>0</v>
      </c>
      <c r="E64" s="334">
        <v>0</v>
      </c>
      <c r="F64" s="334">
        <v>0</v>
      </c>
    </row>
    <row r="65" spans="1:6">
      <c r="A65" s="348" t="s">
        <v>56</v>
      </c>
      <c r="B65" s="348" t="s">
        <v>29</v>
      </c>
      <c r="C65" s="334">
        <v>0</v>
      </c>
      <c r="D65" s="334">
        <v>0</v>
      </c>
      <c r="E65" s="334">
        <v>1</v>
      </c>
      <c r="F65" s="334">
        <v>1416.3779711</v>
      </c>
    </row>
    <row r="66" spans="1:6">
      <c r="A66" s="348" t="s">
        <v>56</v>
      </c>
      <c r="B66" s="348" t="s">
        <v>58</v>
      </c>
      <c r="C66" s="334">
        <v>0</v>
      </c>
      <c r="D66" s="334">
        <v>0</v>
      </c>
      <c r="E66" s="334">
        <v>5</v>
      </c>
      <c r="F66" s="334">
        <v>14987</v>
      </c>
    </row>
    <row r="67" spans="1:6">
      <c r="A67" s="355" t="s">
        <v>56</v>
      </c>
      <c r="B67" s="355" t="s">
        <v>59</v>
      </c>
      <c r="C67" s="334">
        <v>0</v>
      </c>
      <c r="D67" s="334">
        <v>0</v>
      </c>
      <c r="E67" s="334">
        <v>0</v>
      </c>
      <c r="F67" s="334">
        <v>0</v>
      </c>
    </row>
    <row r="68" spans="1:6">
      <c r="A68" s="341" t="s">
        <v>56</v>
      </c>
      <c r="B68" s="341" t="s">
        <v>60</v>
      </c>
      <c r="C68" s="334">
        <v>6</v>
      </c>
      <c r="D68" s="334">
        <v>161648.61647000001</v>
      </c>
      <c r="E68" s="334">
        <v>10</v>
      </c>
      <c r="F68" s="334">
        <v>233768.10165999999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32347597</v>
      </c>
      <c r="E73" s="475">
        <v>33243924.379972544</v>
      </c>
    </row>
    <row r="74" spans="1:6">
      <c r="A74" s="348" t="s">
        <v>64</v>
      </c>
      <c r="B74" s="348" t="s">
        <v>667</v>
      </c>
      <c r="C74" s="1294" t="s">
        <v>669</v>
      </c>
      <c r="D74" s="475">
        <v>1733040.301068471</v>
      </c>
      <c r="E74" s="475">
        <v>1780072.2678093137</v>
      </c>
    </row>
    <row r="75" spans="1:6">
      <c r="A75" s="348" t="s">
        <v>65</v>
      </c>
      <c r="B75" s="348" t="s">
        <v>666</v>
      </c>
      <c r="C75" s="1294" t="s">
        <v>670</v>
      </c>
      <c r="D75" s="475">
        <v>11783140</v>
      </c>
      <c r="E75" s="475">
        <v>12109644.604267571</v>
      </c>
    </row>
    <row r="76" spans="1:6">
      <c r="A76" s="348" t="s">
        <v>65</v>
      </c>
      <c r="B76" s="348" t="s">
        <v>667</v>
      </c>
      <c r="C76" s="1294" t="s">
        <v>671</v>
      </c>
      <c r="D76" s="475">
        <v>499948.3010684711</v>
      </c>
      <c r="E76" s="475">
        <v>515198.96097232873</v>
      </c>
    </row>
    <row r="77" spans="1:6">
      <c r="A77" s="348" t="s">
        <v>66</v>
      </c>
      <c r="B77" s="348" t="s">
        <v>666</v>
      </c>
      <c r="C77" s="1294" t="s">
        <v>672</v>
      </c>
      <c r="D77" s="475">
        <v>33812343</v>
      </c>
      <c r="E77" s="475">
        <v>36696218.266886428</v>
      </c>
    </row>
    <row r="78" spans="1:6">
      <c r="A78" s="341" t="s">
        <v>66</v>
      </c>
      <c r="B78" s="341" t="s">
        <v>667</v>
      </c>
      <c r="C78" s="341" t="s">
        <v>673</v>
      </c>
      <c r="D78" s="1295">
        <v>13374373</v>
      </c>
      <c r="E78" s="1295">
        <v>13994423.791228754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206997.39786305782</v>
      </c>
      <c r="C83" s="475">
        <v>206997.39786305782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28398.00584985939</v>
      </c>
    </row>
    <row r="91" spans="1:6">
      <c r="A91" s="348" t="s">
        <v>68</v>
      </c>
      <c r="B91" s="334">
        <v>3278.6019546258631</v>
      </c>
    </row>
    <row r="92" spans="1:6">
      <c r="A92" s="341" t="s">
        <v>69</v>
      </c>
      <c r="B92" s="342">
        <v>5191.7062446765331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2294</v>
      </c>
    </row>
    <row r="98" spans="1:6">
      <c r="A98" s="348" t="s">
        <v>72</v>
      </c>
      <c r="B98" s="334">
        <v>6</v>
      </c>
    </row>
    <row r="99" spans="1:6">
      <c r="A99" s="348" t="s">
        <v>73</v>
      </c>
      <c r="B99" s="334">
        <v>78</v>
      </c>
    </row>
    <row r="100" spans="1:6">
      <c r="A100" s="348" t="s">
        <v>74</v>
      </c>
      <c r="B100" s="334">
        <v>168</v>
      </c>
    </row>
    <row r="101" spans="1:6">
      <c r="A101" s="348" t="s">
        <v>75</v>
      </c>
      <c r="B101" s="334">
        <v>133</v>
      </c>
    </row>
    <row r="102" spans="1:6">
      <c r="A102" s="348" t="s">
        <v>76</v>
      </c>
      <c r="B102" s="334">
        <v>48</v>
      </c>
    </row>
    <row r="103" spans="1:6">
      <c r="A103" s="348" t="s">
        <v>77</v>
      </c>
      <c r="B103" s="334">
        <v>44</v>
      </c>
    </row>
    <row r="104" spans="1:6">
      <c r="A104" s="348" t="s">
        <v>78</v>
      </c>
      <c r="B104" s="334">
        <v>1624</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163</v>
      </c>
    </row>
    <row r="130" spans="1:6">
      <c r="A130" s="348" t="s">
        <v>295</v>
      </c>
      <c r="B130" s="334">
        <v>5</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91176.678078085024</v>
      </c>
      <c r="C3" s="43" t="s">
        <v>170</v>
      </c>
      <c r="D3" s="43"/>
      <c r="E3" s="154"/>
      <c r="F3" s="43"/>
      <c r="G3" s="43"/>
      <c r="H3" s="43"/>
      <c r="I3" s="43"/>
      <c r="J3" s="43"/>
      <c r="K3" s="96"/>
    </row>
    <row r="4" spans="1:11">
      <c r="A4" s="383" t="s">
        <v>171</v>
      </c>
      <c r="B4" s="49">
        <f>IF(ISERROR('SEAP template'!B78+'SEAP template'!C78),0,'SEAP template'!B78+'SEAP template'!C78)</f>
        <v>67666.314049161781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5.6985959128081923E-2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43997.142857142855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826.46299999999997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826.46299999999997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5.6985959128081923E-2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47.09678673887197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18251.632787999999</v>
      </c>
      <c r="C5" s="17">
        <f>IF(ISERROR('Eigen informatie GS &amp; warmtenet'!B57),0,'Eigen informatie GS &amp; warmtenet'!B57)</f>
        <v>0</v>
      </c>
      <c r="D5" s="30">
        <f>(SUM(HH_hh_gas_kWh,HH_rest_gas_kWh)/1000)*0.902</f>
        <v>57131.645543104001</v>
      </c>
      <c r="E5" s="17">
        <f>B46*B57</f>
        <v>5260.001662277853</v>
      </c>
      <c r="F5" s="17">
        <f>B51*B62</f>
        <v>8422.3853318313559</v>
      </c>
      <c r="G5" s="18"/>
      <c r="H5" s="17"/>
      <c r="I5" s="17"/>
      <c r="J5" s="17">
        <f>B50*B61+C50*C61</f>
        <v>0</v>
      </c>
      <c r="K5" s="17"/>
      <c r="L5" s="17"/>
      <c r="M5" s="17"/>
      <c r="N5" s="17">
        <f>B48*B59+C48*C59</f>
        <v>25472.486826091343</v>
      </c>
      <c r="O5" s="17">
        <f>B69*B70*B71</f>
        <v>284.52666666666664</v>
      </c>
      <c r="P5" s="17">
        <f>B77*B78*B79/1000-B77*B78*B79/1000/B80</f>
        <v>858</v>
      </c>
    </row>
    <row r="6" spans="1:16">
      <c r="A6" s="16" t="s">
        <v>624</v>
      </c>
      <c r="B6" s="788">
        <f>kWh_PV_kleiner_dan_10kW</f>
        <v>3278.6019546258631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21530.234742625864</v>
      </c>
      <c r="C8" s="21">
        <f>C5</f>
        <v>0</v>
      </c>
      <c r="D8" s="21">
        <f>D5</f>
        <v>57131.645543104001</v>
      </c>
      <c r="E8" s="21">
        <f>E5</f>
        <v>5260.001662277853</v>
      </c>
      <c r="F8" s="21">
        <f>F5</f>
        <v>8422.3853318313559</v>
      </c>
      <c r="G8" s="21"/>
      <c r="H8" s="21"/>
      <c r="I8" s="21"/>
      <c r="J8" s="21">
        <f>J5</f>
        <v>0</v>
      </c>
      <c r="K8" s="21"/>
      <c r="L8" s="21">
        <f>L5</f>
        <v>0</v>
      </c>
      <c r="M8" s="21">
        <f>M5</f>
        <v>0</v>
      </c>
      <c r="N8" s="21">
        <f>N5</f>
        <v>25472.486826091343</v>
      </c>
      <c r="O8" s="21">
        <f>O5</f>
        <v>284.52666666666664</v>
      </c>
      <c r="P8" s="21">
        <f>P5</f>
        <v>858</v>
      </c>
    </row>
    <row r="9" spans="1:16">
      <c r="B9" s="19"/>
      <c r="C9" s="19"/>
      <c r="D9" s="258"/>
      <c r="E9" s="19"/>
      <c r="F9" s="19"/>
      <c r="G9" s="19"/>
      <c r="H9" s="19"/>
      <c r="I9" s="19"/>
      <c r="J9" s="19"/>
      <c r="K9" s="19"/>
      <c r="L9" s="19"/>
      <c r="M9" s="19"/>
      <c r="N9" s="19"/>
      <c r="O9" s="19"/>
      <c r="P9" s="19"/>
    </row>
    <row r="10" spans="1:16">
      <c r="A10" s="24" t="s">
        <v>214</v>
      </c>
      <c r="B10" s="25">
        <f ca="1">'EF ele_warmte'!B12</f>
        <v>5.6985959128081923E-2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1226.921077061287</v>
      </c>
      <c r="C12" s="23">
        <f ca="1">C10*C8</f>
        <v>0</v>
      </c>
      <c r="D12" s="23">
        <f>D8*D10</f>
        <v>11540.592399707009</v>
      </c>
      <c r="E12" s="23">
        <f>E10*E8</f>
        <v>1194.0203773370727</v>
      </c>
      <c r="F12" s="23">
        <f>F10*F8</f>
        <v>2248.7768835989723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2294</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20.580474934036939</v>
      </c>
      <c r="D20" s="229"/>
      <c r="E20" s="15"/>
    </row>
    <row r="21" spans="1:7">
      <c r="A21" s="171" t="s">
        <v>74</v>
      </c>
      <c r="B21" s="37">
        <f>aantalw2001_elektriciteit</f>
        <v>168</v>
      </c>
      <c r="C21" s="167">
        <f>IF(ISERROR(B21/SUM($B$20,$B$21,$B$22)*100),0,B21/SUM($B$20,$B$21,$B$22)*100)</f>
        <v>44.327176781002635</v>
      </c>
      <c r="D21" s="229"/>
      <c r="E21" s="15"/>
    </row>
    <row r="22" spans="1:7">
      <c r="A22" s="171" t="s">
        <v>75</v>
      </c>
      <c r="B22" s="37">
        <f>aantalw2001_hout</f>
        <v>133</v>
      </c>
      <c r="C22" s="167">
        <f>IF(ISERROR(B22/SUM($B$20,$B$21,$B$22)*100),0,B22/SUM($B$20,$B$21,$B$22)*100)</f>
        <v>35.092348284960423</v>
      </c>
      <c r="D22" s="229"/>
      <c r="E22" s="15"/>
    </row>
    <row r="23" spans="1:7">
      <c r="A23" s="171" t="s">
        <v>76</v>
      </c>
      <c r="B23" s="37">
        <f>aantalw2001_niet_gespec</f>
        <v>48</v>
      </c>
      <c r="C23" s="166" t="s">
        <v>111</v>
      </c>
      <c r="D23" s="228"/>
      <c r="E23" s="15"/>
    </row>
    <row r="24" spans="1:7">
      <c r="A24" s="171" t="s">
        <v>77</v>
      </c>
      <c r="B24" s="37">
        <f>aantalw2001_steenkool</f>
        <v>44</v>
      </c>
      <c r="C24" s="166" t="s">
        <v>111</v>
      </c>
      <c r="D24" s="229"/>
      <c r="E24" s="15"/>
    </row>
    <row r="25" spans="1:7">
      <c r="A25" s="171" t="s">
        <v>78</v>
      </c>
      <c r="B25" s="37">
        <f>aantalw2001_stookolie</f>
        <v>1624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5235</v>
      </c>
      <c r="C28" s="36"/>
      <c r="D28" s="228"/>
    </row>
    <row r="29" spans="1:7" s="15" customFormat="1">
      <c r="A29" s="230" t="s">
        <v>699</v>
      </c>
      <c r="B29" s="37">
        <f>SUM(HH_hh_gas_aantal,HH_rest_gas_aantal)</f>
        <v>3714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3714</v>
      </c>
      <c r="C32" s="167">
        <f>IF(ISERROR(B32/SUM($B$32,$B$34,$B$35,$B$36,$B$38,$B$39)*100),0,B32/SUM($B$32,$B$34,$B$35,$B$36,$B$38,$B$39)*100)</f>
        <v>71.560693641618499</v>
      </c>
      <c r="D32" s="233"/>
      <c r="G32" s="15"/>
    </row>
    <row r="33" spans="1:7">
      <c r="A33" s="171" t="s">
        <v>72</v>
      </c>
      <c r="B33" s="34" t="s">
        <v>111</v>
      </c>
      <c r="C33" s="167"/>
      <c r="D33" s="233"/>
      <c r="G33" s="15"/>
    </row>
    <row r="34" spans="1:7">
      <c r="A34" s="171" t="s">
        <v>73</v>
      </c>
      <c r="B34" s="33">
        <f>IF((($B$28-$B$32-$B$39-$B$77-$B$38)*C20/100)&lt;0,0,($B$28-$B$32-$B$39-$B$77-$B$38)*C20/100)</f>
        <v>232.5593667546174</v>
      </c>
      <c r="C34" s="167">
        <f>IF(ISERROR(B34/SUM($B$32,$B$34,$B$35,$B$36,$B$38,$B$39)*100),0,B34/SUM($B$32,$B$34,$B$35,$B$36,$B$38,$B$39)*100)</f>
        <v>4.4809126542315489</v>
      </c>
      <c r="D34" s="233"/>
      <c r="G34" s="15"/>
    </row>
    <row r="35" spans="1:7">
      <c r="A35" s="171" t="s">
        <v>74</v>
      </c>
      <c r="B35" s="33">
        <f>IF((($B$28-$B$32-$B$39-$B$77-$B$38)*C21/100)&lt;0,0,($B$28-$B$32-$B$39-$B$77-$B$38)*C21/100)</f>
        <v>500.89709762532976</v>
      </c>
      <c r="C35" s="167">
        <f>IF(ISERROR(B35/SUM($B$32,$B$34,$B$35,$B$36,$B$38,$B$39)*100),0,B35/SUM($B$32,$B$34,$B$35,$B$36,$B$38,$B$39)*100)</f>
        <v>9.6511964860371826</v>
      </c>
      <c r="D35" s="233"/>
      <c r="G35" s="15"/>
    </row>
    <row r="36" spans="1:7">
      <c r="A36" s="171" t="s">
        <v>75</v>
      </c>
      <c r="B36" s="33">
        <f>IF((($B$28-$B$32-$B$39-$B$77-$B$38)*C22/100)&lt;0,0,($B$28-$B$32-$B$39-$B$77-$B$38)*C22/100)</f>
        <v>396.54353562005281</v>
      </c>
      <c r="C36" s="167">
        <f>IF(ISERROR(B36/SUM($B$32,$B$34,$B$35,$B$36,$B$38,$B$39)*100),0,B36/SUM($B$32,$B$34,$B$35,$B$36,$B$38,$B$39)*100)</f>
        <v>7.6405305514461039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346</v>
      </c>
      <c r="C39" s="167">
        <f>IF(ISERROR(B39/SUM($B$32,$B$34,$B$35,$B$36,$B$38,$B$39)*100),0,B39/SUM($B$32,$B$34,$B$35,$B$36,$B$38,$B$39)*100)</f>
        <v>6.666666666666667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3714</v>
      </c>
      <c r="C44" s="34" t="s">
        <v>111</v>
      </c>
      <c r="D44" s="174"/>
    </row>
    <row r="45" spans="1:7">
      <c r="A45" s="171" t="s">
        <v>72</v>
      </c>
      <c r="B45" s="33" t="str">
        <f t="shared" si="0"/>
        <v>-</v>
      </c>
      <c r="C45" s="34" t="s">
        <v>111</v>
      </c>
      <c r="D45" s="174"/>
    </row>
    <row r="46" spans="1:7">
      <c r="A46" s="171" t="s">
        <v>73</v>
      </c>
      <c r="B46" s="33">
        <f t="shared" si="0"/>
        <v>232.5593667546174</v>
      </c>
      <c r="C46" s="34" t="s">
        <v>111</v>
      </c>
      <c r="D46" s="174"/>
    </row>
    <row r="47" spans="1:7">
      <c r="A47" s="171" t="s">
        <v>74</v>
      </c>
      <c r="B47" s="33">
        <f t="shared" si="0"/>
        <v>500.89709762532976</v>
      </c>
      <c r="C47" s="34" t="s">
        <v>111</v>
      </c>
      <c r="D47" s="174"/>
    </row>
    <row r="48" spans="1:7">
      <c r="A48" s="171" t="s">
        <v>75</v>
      </c>
      <c r="B48" s="33">
        <f t="shared" si="0"/>
        <v>396.54353562005281</v>
      </c>
      <c r="C48" s="33">
        <f>B48*10</f>
        <v>3965.4353562005281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346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42974.387089440002</v>
      </c>
      <c r="C5" s="17">
        <f>IF(ISERROR('Eigen informatie GS &amp; warmtenet'!B58),0,'Eigen informatie GS &amp; warmtenet'!B58)</f>
        <v>0</v>
      </c>
      <c r="D5" s="30">
        <f>SUM(D6:D12)</f>
        <v>12966.209545859239</v>
      </c>
      <c r="E5" s="17">
        <f>SUM(E6:E12)</f>
        <v>263.30108217854922</v>
      </c>
      <c r="F5" s="17">
        <f>SUM(F6:F12)</f>
        <v>9857.8365472600271</v>
      </c>
      <c r="G5" s="18"/>
      <c r="H5" s="17"/>
      <c r="I5" s="17"/>
      <c r="J5" s="17">
        <f>SUM(J6:J12)</f>
        <v>0</v>
      </c>
      <c r="K5" s="17"/>
      <c r="L5" s="17"/>
      <c r="M5" s="17"/>
      <c r="N5" s="17">
        <f>SUM(N6:N12)</f>
        <v>26856.913087467987</v>
      </c>
      <c r="O5" s="17">
        <f>B38*B39*B40</f>
        <v>7.8166666666666664</v>
      </c>
      <c r="P5" s="17">
        <f>B46*B47*B48/1000-B46*B47*B48/1000/B49</f>
        <v>38.133333333333333</v>
      </c>
      <c r="R5" s="32"/>
    </row>
    <row r="6" spans="1:18">
      <c r="A6" s="32" t="s">
        <v>54</v>
      </c>
      <c r="B6" s="37">
        <f>B26</f>
        <v>1733.8568221</v>
      </c>
      <c r="C6" s="33"/>
      <c r="D6" s="37">
        <f>IF(ISERROR(TER_kantoor_gas_kWh/1000),0,TER_kantoor_gas_kWh/1000)*0.902</f>
        <v>4449.0711038993995</v>
      </c>
      <c r="E6" s="33">
        <f>$C$26*'E Balans VL '!I12/100/3.6*1000000</f>
        <v>22.698321603193961</v>
      </c>
      <c r="F6" s="33">
        <f>$C$26*('E Balans VL '!L12+'E Balans VL '!N12)/100/3.6*1000000</f>
        <v>442.11557262838846</v>
      </c>
      <c r="G6" s="34"/>
      <c r="H6" s="33"/>
      <c r="I6" s="33"/>
      <c r="J6" s="33">
        <f>$C$26*('E Balans VL '!D12+'E Balans VL '!E12)/100/3.6*1000000</f>
        <v>0</v>
      </c>
      <c r="K6" s="33"/>
      <c r="L6" s="33"/>
      <c r="M6" s="33"/>
      <c r="N6" s="33">
        <f>$C$26*'E Balans VL '!Y12/100/3.6*1000000</f>
        <v>1.7396954920781798</v>
      </c>
      <c r="O6" s="33"/>
      <c r="P6" s="33"/>
      <c r="R6" s="32"/>
    </row>
    <row r="7" spans="1:18">
      <c r="A7" s="32" t="s">
        <v>53</v>
      </c>
      <c r="B7" s="37">
        <f t="shared" ref="B7:B12" si="0">B27</f>
        <v>1254.8501728000001</v>
      </c>
      <c r="C7" s="33"/>
      <c r="D7" s="37">
        <f>IF(ISERROR(TER_horeca_gas_kWh/1000),0,TER_horeca_gas_kWh/1000)*0.902</f>
        <v>1551.7300125734</v>
      </c>
      <c r="E7" s="33">
        <f>$C$27*'E Balans VL '!I9/100/3.6*1000000</f>
        <v>41.527907722134948</v>
      </c>
      <c r="F7" s="33">
        <f>$C$27*('E Balans VL '!L9+'E Balans VL '!N9)/100/3.6*1000000</f>
        <v>539.58076513561161</v>
      </c>
      <c r="G7" s="34"/>
      <c r="H7" s="33"/>
      <c r="I7" s="33"/>
      <c r="J7" s="33">
        <f>$C$27*('E Balans VL '!D9+'E Balans VL '!E9)/100/3.6*1000000</f>
        <v>0</v>
      </c>
      <c r="K7" s="33"/>
      <c r="L7" s="33"/>
      <c r="M7" s="33"/>
      <c r="N7" s="33">
        <f>$C$27*'E Balans VL '!Y9/100/3.6*1000000</f>
        <v>0.30206065901721396</v>
      </c>
      <c r="O7" s="33"/>
      <c r="P7" s="33"/>
      <c r="R7" s="32"/>
    </row>
    <row r="8" spans="1:18">
      <c r="A8" s="6" t="s">
        <v>52</v>
      </c>
      <c r="B8" s="37">
        <f t="shared" si="0"/>
        <v>2870.5620674000002</v>
      </c>
      <c r="C8" s="33"/>
      <c r="D8" s="37">
        <f>IF(ISERROR(TER_handel_gas_kWh/1000),0,TER_handel_gas_kWh/1000)*0.902</f>
        <v>1795.0672997091999</v>
      </c>
      <c r="E8" s="33">
        <f>$C$28*'E Balans VL '!I13/100/3.6*1000000</f>
        <v>90.599324935424121</v>
      </c>
      <c r="F8" s="33">
        <f>$C$28*('E Balans VL '!L13+'E Balans VL '!N13)/100/3.6*1000000</f>
        <v>562.96776887688247</v>
      </c>
      <c r="G8" s="34"/>
      <c r="H8" s="33"/>
      <c r="I8" s="33"/>
      <c r="J8" s="33">
        <f>$C$28*('E Balans VL '!D13+'E Balans VL '!E13)/100/3.6*1000000</f>
        <v>0</v>
      </c>
      <c r="K8" s="33"/>
      <c r="L8" s="33"/>
      <c r="M8" s="33"/>
      <c r="N8" s="33">
        <f>$C$28*'E Balans VL '!Y13/100/3.6*1000000</f>
        <v>3.4067998612202457</v>
      </c>
      <c r="O8" s="33"/>
      <c r="P8" s="33"/>
      <c r="R8" s="32"/>
    </row>
    <row r="9" spans="1:18">
      <c r="A9" s="32" t="s">
        <v>51</v>
      </c>
      <c r="B9" s="37">
        <f t="shared" si="0"/>
        <v>130.37403924</v>
      </c>
      <c r="C9" s="33"/>
      <c r="D9" s="37">
        <f>IF(ISERROR(TER_gezond_gas_kWh/1000),0,TER_gezond_gas_kWh/1000)*0.902</f>
        <v>108.95878131314001</v>
      </c>
      <c r="E9" s="33">
        <f>$C$29*'E Balans VL '!I10/100/3.6*1000000</f>
        <v>1.6691691030612275E-2</v>
      </c>
      <c r="F9" s="33">
        <f>$C$29*('E Balans VL '!L10+'E Balans VL '!N10)/100/3.6*1000000</f>
        <v>27.162376850459676</v>
      </c>
      <c r="G9" s="34"/>
      <c r="H9" s="33"/>
      <c r="I9" s="33"/>
      <c r="J9" s="33">
        <f>$C$29*('E Balans VL '!D10+'E Balans VL '!E10)/100/3.6*1000000</f>
        <v>0</v>
      </c>
      <c r="K9" s="33"/>
      <c r="L9" s="33"/>
      <c r="M9" s="33"/>
      <c r="N9" s="33">
        <f>$C$29*'E Balans VL '!Y10/100/3.6*1000000</f>
        <v>1.5313047137460465</v>
      </c>
      <c r="O9" s="33"/>
      <c r="P9" s="33"/>
      <c r="R9" s="32"/>
    </row>
    <row r="10" spans="1:18">
      <c r="A10" s="32" t="s">
        <v>50</v>
      </c>
      <c r="B10" s="37">
        <f t="shared" si="0"/>
        <v>33703.162307999999</v>
      </c>
      <c r="C10" s="33"/>
      <c r="D10" s="37">
        <f>IF(ISERROR(TER_ander_gas_kWh/1000),0,TER_ander_gas_kWh/1000)*0.902</f>
        <v>932.3694625344001</v>
      </c>
      <c r="E10" s="33">
        <f>$C$30*'E Balans VL '!I14/100/3.6*1000000</f>
        <v>50.68163028725305</v>
      </c>
      <c r="F10" s="33">
        <f>$C$30*('E Balans VL '!L14+'E Balans VL '!N14)/100/3.6*1000000</f>
        <v>7440.5718297521953</v>
      </c>
      <c r="G10" s="34"/>
      <c r="H10" s="33"/>
      <c r="I10" s="33"/>
      <c r="J10" s="33">
        <f>$C$30*('E Balans VL '!D14+'E Balans VL '!E14)/100/3.6*1000000</f>
        <v>0</v>
      </c>
      <c r="K10" s="33"/>
      <c r="L10" s="33"/>
      <c r="M10" s="33"/>
      <c r="N10" s="33">
        <f>$C$30*'E Balans VL '!Y14/100/3.6*1000000</f>
        <v>26560.360036010035</v>
      </c>
      <c r="O10" s="33"/>
      <c r="P10" s="33"/>
      <c r="R10" s="32"/>
    </row>
    <row r="11" spans="1:18">
      <c r="A11" s="32" t="s">
        <v>55</v>
      </c>
      <c r="B11" s="37">
        <f t="shared" si="0"/>
        <v>0</v>
      </c>
      <c r="C11" s="33"/>
      <c r="D11" s="37">
        <f>IF(ISERROR(TER_onderwijs_gas_kWh/1000),0,TER_onderwijs_gas_kWh/1000)*0.902</f>
        <v>717.31344041829993</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3281.5816798999999</v>
      </c>
      <c r="C12" s="33"/>
      <c r="D12" s="37">
        <f>IF(ISERROR(TER_rest_gas_kWh/1000),0,TER_rest_gas_kWh/1000)*0.902</f>
        <v>3411.6994454113997</v>
      </c>
      <c r="E12" s="33">
        <f>$C$32*'E Balans VL '!I8/100/3.6*1000000</f>
        <v>57.77720593951252</v>
      </c>
      <c r="F12" s="33">
        <f>$C$32*('E Balans VL '!L8+'E Balans VL '!N8)/100/3.6*1000000</f>
        <v>845.43823401648956</v>
      </c>
      <c r="G12" s="34"/>
      <c r="H12" s="33"/>
      <c r="I12" s="33"/>
      <c r="J12" s="33">
        <f>$C$32*('E Balans VL '!D8+'E Balans VL '!E8)/100/3.6*1000000</f>
        <v>0</v>
      </c>
      <c r="K12" s="33"/>
      <c r="L12" s="33"/>
      <c r="M12" s="33"/>
      <c r="N12" s="33">
        <f>$C$32*'E Balans VL '!Y8/100/3.6*1000000</f>
        <v>289.57319073189001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42974.387089440002</v>
      </c>
      <c r="C16" s="21">
        <f t="shared" ca="1" si="1"/>
        <v>0</v>
      </c>
      <c r="D16" s="21">
        <f t="shared" ca="1" si="1"/>
        <v>12966.209545859239</v>
      </c>
      <c r="E16" s="21">
        <f t="shared" si="1"/>
        <v>263.30108217854922</v>
      </c>
      <c r="F16" s="21">
        <f t="shared" ca="1" si="1"/>
        <v>9857.8365472600271</v>
      </c>
      <c r="G16" s="21">
        <f t="shared" si="1"/>
        <v>0</v>
      </c>
      <c r="H16" s="21">
        <f t="shared" si="1"/>
        <v>0</v>
      </c>
      <c r="I16" s="21">
        <f t="shared" si="1"/>
        <v>0</v>
      </c>
      <c r="J16" s="21">
        <f t="shared" si="1"/>
        <v>0</v>
      </c>
      <c r="K16" s="21">
        <f t="shared" si="1"/>
        <v>0</v>
      </c>
      <c r="L16" s="21">
        <f t="shared" ca="1" si="1"/>
        <v>0</v>
      </c>
      <c r="M16" s="21">
        <f t="shared" si="1"/>
        <v>0</v>
      </c>
      <c r="N16" s="21">
        <f t="shared" ca="1" si="1"/>
        <v>26856.913087467987</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5.6985959128081923E-2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2448.9366662331995</v>
      </c>
      <c r="C20" s="23">
        <f t="shared" ref="C20:P20" ca="1" si="2">C16*C18</f>
        <v>0</v>
      </c>
      <c r="D20" s="23">
        <f t="shared" ca="1" si="2"/>
        <v>2619.1743282635666</v>
      </c>
      <c r="E20" s="23">
        <f t="shared" si="2"/>
        <v>59.769345654530674</v>
      </c>
      <c r="F20" s="23">
        <f t="shared" ca="1" si="2"/>
        <v>2632.0423581184273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1733.8568221</v>
      </c>
      <c r="C26" s="39">
        <f>IF(ISERROR(B26*3.6/1000000/'E Balans VL '!Z12*100),0,B26*3.6/1000000/'E Balans VL '!Z12*100)</f>
        <v>3.7140560110296289E-2</v>
      </c>
      <c r="D26" s="237" t="s">
        <v>660</v>
      </c>
      <c r="F26" s="6"/>
    </row>
    <row r="27" spans="1:18">
      <c r="A27" s="231" t="s">
        <v>53</v>
      </c>
      <c r="B27" s="33">
        <f>IF(ISERROR(TER_horeca_ele_kWh/1000),0,TER_horeca_ele_kWh/1000)</f>
        <v>1254.8501728000001</v>
      </c>
      <c r="C27" s="39">
        <f>IF(ISERROR(B27*3.6/1000000/'E Balans VL '!Z9*100),0,B27*3.6/1000000/'E Balans VL '!Z9*100)</f>
        <v>0.10069736455252112</v>
      </c>
      <c r="D27" s="237" t="s">
        <v>660</v>
      </c>
      <c r="F27" s="6"/>
    </row>
    <row r="28" spans="1:18">
      <c r="A28" s="171" t="s">
        <v>52</v>
      </c>
      <c r="B28" s="33">
        <f>IF(ISERROR(TER_handel_ele_kWh/1000),0,TER_handel_ele_kWh/1000)</f>
        <v>2870.5620674000002</v>
      </c>
      <c r="C28" s="39">
        <f>IF(ISERROR(B28*3.6/1000000/'E Balans VL '!Z13*100),0,B28*3.6/1000000/'E Balans VL '!Z13*100)</f>
        <v>8.4665116101012405E-2</v>
      </c>
      <c r="D28" s="237" t="s">
        <v>660</v>
      </c>
      <c r="F28" s="6"/>
    </row>
    <row r="29" spans="1:18">
      <c r="A29" s="231" t="s">
        <v>51</v>
      </c>
      <c r="B29" s="33">
        <f>IF(ISERROR(TER_gezond_ele_kWh/1000),0,TER_gezond_ele_kWh/1000)</f>
        <v>130.37403924</v>
      </c>
      <c r="C29" s="39">
        <f>IF(ISERROR(B29*3.6/1000000/'E Balans VL '!Z10*100),0,B29*3.6/1000000/'E Balans VL '!Z10*100)</f>
        <v>1.3920451931761339E-2</v>
      </c>
      <c r="D29" s="237" t="s">
        <v>660</v>
      </c>
      <c r="F29" s="6"/>
    </row>
    <row r="30" spans="1:18">
      <c r="A30" s="231" t="s">
        <v>50</v>
      </c>
      <c r="B30" s="33">
        <f>IF(ISERROR(TER_ander_ele_kWh/1000),0,TER_ander_ele_kWh/1000)</f>
        <v>33703.162307999999</v>
      </c>
      <c r="C30" s="39">
        <f>IF(ISERROR(B30*3.6/1000000/'E Balans VL '!Z14*100),0,B30*3.6/1000000/'E Balans VL '!Z14*100)</f>
        <v>2.5457321961031862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3281.5816798999999</v>
      </c>
      <c r="C32" s="39">
        <f>IF(ISERROR(B32*3.6/1000000/'E Balans VL '!Z8*100),0,B32*3.6/1000000/'E Balans VL '!Z8*100)</f>
        <v>2.7208881695894832E-2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19143.961737990001</v>
      </c>
      <c r="C5" s="17">
        <f>IF(ISERROR('Eigen informatie GS &amp; warmtenet'!B59),0,'Eigen informatie GS &amp; warmtenet'!B59)</f>
        <v>0</v>
      </c>
      <c r="D5" s="30">
        <f>SUM(D6:D15)</f>
        <v>8131.8882591381607</v>
      </c>
      <c r="E5" s="17">
        <f>SUM(E6:E15)</f>
        <v>2173.0404908165797</v>
      </c>
      <c r="F5" s="17">
        <f>SUM(F6:F15)</f>
        <v>9333.4211994995785</v>
      </c>
      <c r="G5" s="18"/>
      <c r="H5" s="17"/>
      <c r="I5" s="17"/>
      <c r="J5" s="17">
        <f>SUM(J6:J15)</f>
        <v>130.43016772634024</v>
      </c>
      <c r="K5" s="17"/>
      <c r="L5" s="17"/>
      <c r="M5" s="17"/>
      <c r="N5" s="17">
        <f>SUM(N6:N15)</f>
        <v>5947.4679201698336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5595.0665472999999</v>
      </c>
      <c r="C8" s="33"/>
      <c r="D8" s="37">
        <f>IF( ISERROR(IND_metaal_Gas_kWH/1000),0,IND_metaal_Gas_kWH/1000)*0.902</f>
        <v>3832.9287842362</v>
      </c>
      <c r="E8" s="33">
        <f>C30*'E Balans VL '!I18/100/3.6*1000000</f>
        <v>201.32742059555454</v>
      </c>
      <c r="F8" s="33">
        <f>C30*'E Balans VL '!L18/100/3.6*1000000+C30*'E Balans VL '!N18/100/3.6*1000000</f>
        <v>2443.1841886622951</v>
      </c>
      <c r="G8" s="34"/>
      <c r="H8" s="33"/>
      <c r="I8" s="33"/>
      <c r="J8" s="40">
        <f>C30*'E Balans VL '!D18/100/3.6*1000000+C30*'E Balans VL '!E18/100/3.6*1000000</f>
        <v>0</v>
      </c>
      <c r="K8" s="33"/>
      <c r="L8" s="33"/>
      <c r="M8" s="33"/>
      <c r="N8" s="33">
        <f>C30*'E Balans VL '!Y18/100/3.6*1000000</f>
        <v>280.42093310007215</v>
      </c>
      <c r="O8" s="33"/>
      <c r="P8" s="33"/>
      <c r="R8" s="32"/>
    </row>
    <row r="9" spans="1:18">
      <c r="A9" s="6" t="s">
        <v>33</v>
      </c>
      <c r="B9" s="37">
        <f t="shared" si="0"/>
        <v>6617.5759298000003</v>
      </c>
      <c r="C9" s="33"/>
      <c r="D9" s="37">
        <f>IF( ISERROR(IND_andere_gas_kWh/1000),0,IND_andere_gas_kWh/1000)*0.902</f>
        <v>1584.9502668538</v>
      </c>
      <c r="E9" s="33">
        <f>C31*'E Balans VL '!I19/100/3.6*1000000</f>
        <v>1688.6556504358553</v>
      </c>
      <c r="F9" s="33">
        <f>C31*'E Balans VL '!L19/100/3.6*1000000+C31*'E Balans VL '!N19/100/3.6*1000000</f>
        <v>5697.2354792138085</v>
      </c>
      <c r="G9" s="34"/>
      <c r="H9" s="33"/>
      <c r="I9" s="33"/>
      <c r="J9" s="40">
        <f>C31*'E Balans VL '!D19/100/3.6*1000000+C31*'E Balans VL '!E19/100/3.6*1000000</f>
        <v>0</v>
      </c>
      <c r="K9" s="33"/>
      <c r="L9" s="33"/>
      <c r="M9" s="33"/>
      <c r="N9" s="33">
        <f>C31*'E Balans VL '!Y19/100/3.6*1000000</f>
        <v>2069.5426215552725</v>
      </c>
      <c r="O9" s="33"/>
      <c r="P9" s="33"/>
      <c r="R9" s="32"/>
    </row>
    <row r="10" spans="1:18">
      <c r="A10" s="6" t="s">
        <v>41</v>
      </c>
      <c r="B10" s="37">
        <f t="shared" si="0"/>
        <v>370.68240536999997</v>
      </c>
      <c r="C10" s="33"/>
      <c r="D10" s="37">
        <f>IF( ISERROR(IND_voed_gas_kWh/1000),0,IND_voed_gas_kWh/1000)*0.902</f>
        <v>348.78992233404</v>
      </c>
      <c r="E10" s="33">
        <f>C32*'E Balans VL '!I20/100/3.6*1000000</f>
        <v>9.423255733158733</v>
      </c>
      <c r="F10" s="33">
        <f>C32*'E Balans VL '!L20/100/3.6*1000000+C32*'E Balans VL '!N20/100/3.6*1000000</f>
        <v>83.879863912450276</v>
      </c>
      <c r="G10" s="34"/>
      <c r="H10" s="33"/>
      <c r="I10" s="33"/>
      <c r="J10" s="40">
        <f>C32*'E Balans VL '!D20/100/3.6*1000000+C32*'E Balans VL '!E20/100/3.6*1000000</f>
        <v>0</v>
      </c>
      <c r="K10" s="33"/>
      <c r="L10" s="33"/>
      <c r="M10" s="33"/>
      <c r="N10" s="33">
        <f>C32*'E Balans VL '!Y20/100/3.6*1000000</f>
        <v>139.01594975556202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112.11193156812</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1352.2284479</v>
      </c>
      <c r="C13" s="33"/>
      <c r="D13" s="37">
        <f>IF( ISERROR(IND_papier_gas_kWh/1000),0,IND_papier_gas_kWh/1000)*0.902</f>
        <v>0</v>
      </c>
      <c r="E13" s="33">
        <f>C35*'E Balans VL '!I23/100/3.6*1000000</f>
        <v>5.7993144257401541</v>
      </c>
      <c r="F13" s="33">
        <f>C35*'E Balans VL '!L23/100/3.6*1000000+C35*'E Balans VL '!N23/100/3.6*1000000</f>
        <v>33.985697945644901</v>
      </c>
      <c r="G13" s="34"/>
      <c r="H13" s="33"/>
      <c r="I13" s="33"/>
      <c r="J13" s="40">
        <f>C35*'E Balans VL '!D23/100/3.6*1000000+C35*'E Balans VL '!E23/100/3.6*1000000</f>
        <v>90.524277918960024</v>
      </c>
      <c r="K13" s="33"/>
      <c r="L13" s="33"/>
      <c r="M13" s="33"/>
      <c r="N13" s="33">
        <f>C35*'E Balans VL '!Y23/100/3.6*1000000</f>
        <v>2461.3773473716515</v>
      </c>
      <c r="O13" s="33"/>
      <c r="P13" s="33"/>
      <c r="R13" s="32"/>
    </row>
    <row r="14" spans="1:18">
      <c r="A14" s="6" t="s">
        <v>34</v>
      </c>
      <c r="B14" s="37">
        <f t="shared" si="0"/>
        <v>286.07942931999997</v>
      </c>
      <c r="C14" s="33"/>
      <c r="D14" s="37">
        <f>IF( ISERROR(IND_chemie_gas_kWh/1000),0,IND_chemie_gas_kWh/1000)*0.902</f>
        <v>0</v>
      </c>
      <c r="E14" s="33">
        <f>C36*'E Balans VL '!I24/100/3.6*1000000</f>
        <v>0.68583062122227401</v>
      </c>
      <c r="F14" s="33">
        <f>C36*'E Balans VL '!L24/100/3.6*1000000+C36*'E Balans VL '!N24/100/3.6*1000000</f>
        <v>2.295852132669745</v>
      </c>
      <c r="G14" s="34"/>
      <c r="H14" s="33"/>
      <c r="I14" s="33"/>
      <c r="J14" s="40">
        <f>C36*'E Balans VL '!D24/100/3.6*1000000+C36*'E Balans VL '!E24/100/3.6*1000000</f>
        <v>0</v>
      </c>
      <c r="K14" s="33"/>
      <c r="L14" s="33"/>
      <c r="M14" s="33"/>
      <c r="N14" s="33">
        <f>C36*'E Balans VL '!Y24/100/3.6*1000000</f>
        <v>5.9130400178835529</v>
      </c>
      <c r="O14" s="33"/>
      <c r="P14" s="33"/>
      <c r="R14" s="32"/>
    </row>
    <row r="15" spans="1:18">
      <c r="A15" s="6" t="s">
        <v>270</v>
      </c>
      <c r="B15" s="37">
        <f t="shared" si="0"/>
        <v>4922.3289783</v>
      </c>
      <c r="C15" s="33"/>
      <c r="D15" s="37">
        <f>IF( ISERROR(IND_rest_gas_kWh/1000),0,IND_rest_gas_kWh/1000)*0.902</f>
        <v>2253.1073541460005</v>
      </c>
      <c r="E15" s="33">
        <f>C37*'E Balans VL '!I15/100/3.6*1000000</f>
        <v>267.14901900504873</v>
      </c>
      <c r="F15" s="33">
        <f>C37*'E Balans VL '!L15/100/3.6*1000000+C37*'E Balans VL '!N15/100/3.6*1000000</f>
        <v>1072.8401176327095</v>
      </c>
      <c r="G15" s="34"/>
      <c r="H15" s="33"/>
      <c r="I15" s="33"/>
      <c r="J15" s="40">
        <f>C37*'E Balans VL '!D15/100/3.6*1000000+C37*'E Balans VL '!E15/100/3.6*1000000</f>
        <v>39.905889807380234</v>
      </c>
      <c r="K15" s="33"/>
      <c r="L15" s="33"/>
      <c r="M15" s="33"/>
      <c r="N15" s="33">
        <f>C37*'E Balans VL '!Y15/100/3.6*1000000</f>
        <v>991.19802836939232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19143.961737990001</v>
      </c>
      <c r="C18" s="21">
        <f>C5+C16</f>
        <v>0</v>
      </c>
      <c r="D18" s="21">
        <f>MAX((D5+D16),0)</f>
        <v>8131.8882591381607</v>
      </c>
      <c r="E18" s="21">
        <f>MAX((E5+E16),0)</f>
        <v>2173.0404908165797</v>
      </c>
      <c r="F18" s="21">
        <f>MAX((F5+F16),0)</f>
        <v>9333.4211994995785</v>
      </c>
      <c r="G18" s="21"/>
      <c r="H18" s="21"/>
      <c r="I18" s="21"/>
      <c r="J18" s="21">
        <f>MAX((J5+J16),0)</f>
        <v>130.43016772634024</v>
      </c>
      <c r="K18" s="21"/>
      <c r="L18" s="21">
        <f>MAX((L5+L16),0)</f>
        <v>0</v>
      </c>
      <c r="M18" s="21"/>
      <c r="N18" s="21">
        <f>MAX((N5+N16),0)</f>
        <v>5947.4679201698336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5.6985959128081923E-2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1090.9370211506623</v>
      </c>
      <c r="C22" s="23">
        <f ca="1">C18*C20</f>
        <v>0</v>
      </c>
      <c r="D22" s="23">
        <f>D18*D20</f>
        <v>1642.6414283459085</v>
      </c>
      <c r="E22" s="23">
        <f>E18*E20</f>
        <v>493.28019141536362</v>
      </c>
      <c r="F22" s="23">
        <f>F18*F20</f>
        <v>2492.0234602663877</v>
      </c>
      <c r="G22" s="23"/>
      <c r="H22" s="23"/>
      <c r="I22" s="23"/>
      <c r="J22" s="23">
        <f>J18*J20</f>
        <v>46.172279375124447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5595.0665472999999</v>
      </c>
      <c r="C30" s="39">
        <f>IF(ISERROR(B30*3.6/1000000/'E Balans VL '!Z18*100),0,B30*3.6/1000000/'E Balans VL '!Z18*100)</f>
        <v>1.1854746463075767</v>
      </c>
      <c r="D30" s="237" t="s">
        <v>660</v>
      </c>
    </row>
    <row r="31" spans="1:18">
      <c r="A31" s="6" t="s">
        <v>33</v>
      </c>
      <c r="B31" s="37">
        <f>IF( ISERROR(IND_ander_ele_kWh/1000),0,IND_ander_ele_kWh/1000)</f>
        <v>6617.5759298000003</v>
      </c>
      <c r="C31" s="39">
        <f>IF(ISERROR(B31*3.6/1000000/'E Balans VL '!Z19*100),0,B31*3.6/1000000/'E Balans VL '!Z19*100)</f>
        <v>0.27854879718423198</v>
      </c>
      <c r="D31" s="237" t="s">
        <v>660</v>
      </c>
    </row>
    <row r="32" spans="1:18">
      <c r="A32" s="171" t="s">
        <v>41</v>
      </c>
      <c r="B32" s="37">
        <f>IF( ISERROR(IND_voed_ele_kWh/1000),0,IND_voed_ele_kWh/1000)</f>
        <v>370.68240536999997</v>
      </c>
      <c r="C32" s="39">
        <f>IF(ISERROR(B32*3.6/1000000/'E Balans VL '!Z20*100),0,B32*3.6/1000000/'E Balans VL '!Z20*100)</f>
        <v>6.1926689800027065E-2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1352.2284479</v>
      </c>
      <c r="C35" s="39">
        <f>IF(ISERROR(B35*3.6/1000000/'E Balans VL '!Z22*100),0,B35*3.6/1000000/'E Balans VL '!Z22*100)</f>
        <v>0.17140224831780626</v>
      </c>
      <c r="D35" s="237" t="s">
        <v>660</v>
      </c>
    </row>
    <row r="36" spans="1:5">
      <c r="A36" s="171" t="s">
        <v>34</v>
      </c>
      <c r="B36" s="37">
        <f>IF( ISERROR(IND_chemie_ele_kWh/1000),0,IND_chemie_ele_kWh/1000)</f>
        <v>286.07942931999997</v>
      </c>
      <c r="C36" s="39">
        <f>IF(ISERROR(B36*3.6/1000000/'E Balans VL '!Z24*100),0,B36*3.6/1000000/'E Balans VL '!Z24*100)</f>
        <v>9.2918690897224009E-3</v>
      </c>
      <c r="D36" s="237" t="s">
        <v>660</v>
      </c>
    </row>
    <row r="37" spans="1:5">
      <c r="A37" s="171" t="s">
        <v>270</v>
      </c>
      <c r="B37" s="37">
        <f>IF( ISERROR(IND_rest_ele_kWh/1000),0,IND_rest_ele_kWh/1000)</f>
        <v>4922.3289783</v>
      </c>
      <c r="C37" s="39">
        <f>IF(ISERROR(B37*3.6/1000000/'E Balans VL '!Z15*100),0,B37*3.6/1000000/'E Balans VL '!Z15*100)</f>
        <v>3.9739867854956021E-2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5442.0606780600001</v>
      </c>
      <c r="C5" s="17">
        <f>'Eigen informatie GS &amp; warmtenet'!B60</f>
        <v>0</v>
      </c>
      <c r="D5" s="30">
        <f>IF(ISERROR(SUM(LB_lb_gas_kWh,LB_rest_gas_kWh)/1000),0,SUM(LB_lb_gas_kWh,LB_rest_gas_kWh)/1000)*0.902</f>
        <v>1331.1488396536001</v>
      </c>
      <c r="E5" s="17">
        <f>B17*'E Balans VL '!I25/3.6*1000000/100</f>
        <v>140.32984978994523</v>
      </c>
      <c r="F5" s="17">
        <f>B17*('E Balans VL '!L25/3.6*1000000+'E Balans VL '!N25/3.6*1000000)/100</f>
        <v>19891.768168420567</v>
      </c>
      <c r="G5" s="18"/>
      <c r="H5" s="17"/>
      <c r="I5" s="17"/>
      <c r="J5" s="17">
        <f>('E Balans VL '!D25+'E Balans VL '!E25)/3.6*1000000*landbouw!B17/100</f>
        <v>783.45654242069986</v>
      </c>
      <c r="K5" s="17"/>
      <c r="L5" s="17">
        <f>L6*(-1)</f>
        <v>0</v>
      </c>
      <c r="M5" s="17"/>
      <c r="N5" s="17">
        <f>N6*(-1)</f>
        <v>87994.28571428571</v>
      </c>
      <c r="O5" s="17"/>
      <c r="P5" s="17"/>
      <c r="R5" s="32"/>
    </row>
    <row r="6" spans="1:18">
      <c r="A6" s="16" t="s">
        <v>491</v>
      </c>
      <c r="B6" s="17" t="s">
        <v>211</v>
      </c>
      <c r="C6" s="17">
        <f>'lokale energieproductie'!O92+'lokale energieproductie'!O61</f>
        <v>43997.142857142855</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5442.0606780600001</v>
      </c>
      <c r="C8" s="21">
        <f>C5+C6</f>
        <v>43997.142857142855</v>
      </c>
      <c r="D8" s="21">
        <f>MAX((D5+D6),0)</f>
        <v>1331.1488396536001</v>
      </c>
      <c r="E8" s="21">
        <f>MAX((E5+E6),0)</f>
        <v>140.32984978994523</v>
      </c>
      <c r="F8" s="21">
        <f>MAX((F5+F6),0)</f>
        <v>19891.768168420567</v>
      </c>
      <c r="G8" s="21"/>
      <c r="H8" s="21"/>
      <c r="I8" s="21"/>
      <c r="J8" s="21">
        <f>MAX((J5+J6),0)</f>
        <v>783.45654242069986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5.6985959128081923E-2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310.12104737246898</v>
      </c>
      <c r="C12" s="23">
        <f ca="1">C8*C10</f>
        <v>0</v>
      </c>
      <c r="D12" s="23">
        <f>D8*D10</f>
        <v>268.89206561002726</v>
      </c>
      <c r="E12" s="23">
        <f>E8*E10</f>
        <v>31.854875902317566</v>
      </c>
      <c r="F12" s="23">
        <f>F8*F10</f>
        <v>5311.1021009682918</v>
      </c>
      <c r="G12" s="23"/>
      <c r="H12" s="23"/>
      <c r="I12" s="23"/>
      <c r="J12" s="23">
        <f>J8*J10</f>
        <v>277.34361601692774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0.76736660300810522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400.13155564041489</v>
      </c>
      <c r="C26" s="247">
        <f>B26*'GWP N2O_CH4'!B5</f>
        <v>8402.7626684487132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269.62429400526719</v>
      </c>
      <c r="C27" s="247">
        <f>B27*'GWP N2O_CH4'!B5</f>
        <v>5662.1101741106113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8.7863192660418328</v>
      </c>
      <c r="C28" s="247">
        <f>B28*'GWP N2O_CH4'!B4</f>
        <v>2723.7589724729683</v>
      </c>
      <c r="D28" s="50"/>
    </row>
    <row r="29" spans="1:4">
      <c r="A29" s="41" t="s">
        <v>277</v>
      </c>
      <c r="B29" s="247">
        <f>B34*'ha_N2O bodem landbouw'!B4</f>
        <v>16.096480877882779</v>
      </c>
      <c r="C29" s="247">
        <f>B29*'GWP N2O_CH4'!B4</f>
        <v>4989.9090721436614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3.6225829057392627E-3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6.5753318048919523E-5</v>
      </c>
      <c r="C5" s="463" t="s">
        <v>211</v>
      </c>
      <c r="D5" s="448">
        <f>SUM(D6:D11)</f>
        <v>1.4852925301197064E-4</v>
      </c>
      <c r="E5" s="448">
        <f>SUM(E6:E11)</f>
        <v>6.316258906854898E-4</v>
      </c>
      <c r="F5" s="461" t="s">
        <v>211</v>
      </c>
      <c r="G5" s="448">
        <f>SUM(G6:G11)</f>
        <v>0.28610390920265993</v>
      </c>
      <c r="H5" s="448">
        <f>SUM(H6:H11)</f>
        <v>4.064639960620834E-2</v>
      </c>
      <c r="I5" s="463" t="s">
        <v>211</v>
      </c>
      <c r="J5" s="463" t="s">
        <v>211</v>
      </c>
      <c r="K5" s="463" t="s">
        <v>211</v>
      </c>
      <c r="L5" s="463" t="s">
        <v>211</v>
      </c>
      <c r="M5" s="448">
        <f>SUM(M6:M11)</f>
        <v>1.0231040969231147E-2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2.728865517835932E-5</v>
      </c>
      <c r="C6" s="449"/>
      <c r="D6" s="892">
        <f>vkm_2011_GW_PW*SUMIFS(TableVerdeelsleutelVkm[CNG],TableVerdeelsleutelVkm[Voertuigtype],"Lichte voertuigen")*SUMIFS(TableECFTransport[EnergieConsumptieFactor (PJ per km)],TableECFTransport[Index],CONCATENATE($A6,"_CNG_CNG"))</f>
        <v>5.4223035842068807E-5</v>
      </c>
      <c r="E6" s="892">
        <f>vkm_2011_GW_PW*SUMIFS(TableVerdeelsleutelVkm[LPG],TableVerdeelsleutelVkm[Voertuigtype],"Lichte voertuigen")*SUMIFS(TableECFTransport[EnergieConsumptieFactor (PJ per km)],TableECFTransport[Index],CONCATENATE($A6,"_LPG_LPG"))</f>
        <v>2.133870835397682E-4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5.0736126727977678E-2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1.4679807066417522E-2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2.0384209029898227E-3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1.6606334760241911E-2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5.3645554423671602E-6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5.2324019933986451E-4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9.9403378983091945E-6</v>
      </c>
      <c r="C8" s="449"/>
      <c r="D8" s="451">
        <f>vkm_2011_NGW_PW*SUMIFS(TableVerdeelsleutelVkm[CNG],TableVerdeelsleutelVkm[Voertuigtype],"Lichte voertuigen")*SUMIFS(TableECFTransport[EnergieConsumptieFactor (PJ per km)],TableECFTransport[Index],CONCATENATE($A8,"_CNG_CNG"))</f>
        <v>3.497292360187438E-5</v>
      </c>
      <c r="E8" s="451">
        <f>vkm_2011_NGW_PW*SUMIFS(TableVerdeelsleutelVkm[LPG],TableVerdeelsleutelVkm[Voertuigtype],"Lichte voertuigen")*SUMIFS(TableECFTransport[EnergieConsumptieFactor (PJ per km)],TableECFTransport[Index],CONCATENATE($A8,"_LPG_LPG"))</f>
        <v>1.2728435233618301E-4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2.8260704312047122E-2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9.1809045655914419E-3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1.1655426742687297E-3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6.1147390770207354E-3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1.8681046355466691E-6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1.9266285650928314E-4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2.8524324972251E-5</v>
      </c>
      <c r="C10" s="449"/>
      <c r="D10" s="451">
        <f>vkm_2011_SW_PW*SUMIFS(TableVerdeelsleutelVkm[CNG],TableVerdeelsleutelVkm[Voertuigtype],"Lichte voertuigen")*SUMIFS(TableECFTransport[EnergieConsumptieFactor (PJ per km)],TableECFTransport[Index],CONCATENATE($A10,"_CNG_CNG"))</f>
        <v>5.9333293568027441E-5</v>
      </c>
      <c r="E10" s="451">
        <f>vkm_2011_SW_PW*SUMIFS(TableVerdeelsleutelVkm[LPG],TableVerdeelsleutelVkm[Voertuigtype],"Lichte voertuigen")*SUMIFS(TableECFTransport[EnergieConsumptieFactor (PJ per km)],TableECFTransport[Index],CONCATENATE($A10,"_LPG_LPG"))</f>
        <v>2.9095445480953862E-4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6.1969958244855891E-2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1.6735847369974466E-2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2.4539401807603003E-3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0.12241604608051661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4.2607944146997949E-5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3.8572341553631466E-3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18.264810569144313</v>
      </c>
      <c r="C14" s="21"/>
      <c r="D14" s="21">
        <f t="shared" ref="D14:M14" si="0">((D5)*10^9/3600)+D12</f>
        <v>41.258125836658508</v>
      </c>
      <c r="E14" s="21">
        <f t="shared" si="0"/>
        <v>175.45163630152493</v>
      </c>
      <c r="F14" s="21"/>
      <c r="G14" s="21">
        <f t="shared" si="0"/>
        <v>79473.308111849969</v>
      </c>
      <c r="H14" s="21">
        <f t="shared" si="0"/>
        <v>11290.666557280094</v>
      </c>
      <c r="I14" s="21"/>
      <c r="J14" s="21"/>
      <c r="K14" s="21"/>
      <c r="L14" s="21"/>
      <c r="M14" s="21">
        <f t="shared" si="0"/>
        <v>2841.9558247864297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5.6985959128081923E-2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1.0408377485754166</v>
      </c>
      <c r="C18" s="23"/>
      <c r="D18" s="23">
        <f t="shared" ref="D18:M18" si="1">D14*D16</f>
        <v>8.3341414190050198</v>
      </c>
      <c r="E18" s="23">
        <f t="shared" si="1"/>
        <v>39.827521440446162</v>
      </c>
      <c r="F18" s="23"/>
      <c r="G18" s="23">
        <f t="shared" si="1"/>
        <v>21219.373265863942</v>
      </c>
      <c r="H18" s="23">
        <f t="shared" si="1"/>
        <v>2811.3759727627435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2.6910221628363112E-3</v>
      </c>
      <c r="H50" s="321">
        <f t="shared" si="2"/>
        <v>0</v>
      </c>
      <c r="I50" s="321">
        <f t="shared" si="2"/>
        <v>0</v>
      </c>
      <c r="J50" s="321">
        <f t="shared" si="2"/>
        <v>0</v>
      </c>
      <c r="K50" s="321">
        <f t="shared" si="2"/>
        <v>0</v>
      </c>
      <c r="L50" s="321">
        <f t="shared" si="2"/>
        <v>0</v>
      </c>
      <c r="M50" s="321">
        <f t="shared" si="2"/>
        <v>8.3469487184600913E-5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2.6910221628363112E-3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8.3469487184600913E-5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747.50615634341978</v>
      </c>
      <c r="H54" s="21">
        <f t="shared" si="3"/>
        <v>0</v>
      </c>
      <c r="I54" s="21">
        <f t="shared" si="3"/>
        <v>0</v>
      </c>
      <c r="J54" s="21">
        <f t="shared" si="3"/>
        <v>0</v>
      </c>
      <c r="K54" s="21">
        <f t="shared" si="3"/>
        <v>0</v>
      </c>
      <c r="L54" s="21">
        <f t="shared" si="3"/>
        <v>0</v>
      </c>
      <c r="M54" s="21">
        <f t="shared" si="3"/>
        <v>23.185968662389143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5.6985959128081923E-2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199.58414374369309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43800.850089440006</v>
      </c>
      <c r="D10" s="1012">
        <f ca="1">tertiair!C16</f>
        <v>0</v>
      </c>
      <c r="E10" s="1012">
        <f ca="1">tertiair!D16</f>
        <v>12966.209545859239</v>
      </c>
      <c r="F10" s="1012">
        <f>tertiair!E16</f>
        <v>263.30108217854922</v>
      </c>
      <c r="G10" s="1012">
        <f ca="1">tertiair!F16</f>
        <v>9857.8365472600271</v>
      </c>
      <c r="H10" s="1012">
        <f>tertiair!G16</f>
        <v>0</v>
      </c>
      <c r="I10" s="1012">
        <f>tertiair!H16</f>
        <v>0</v>
      </c>
      <c r="J10" s="1012">
        <f>tertiair!I16</f>
        <v>0</v>
      </c>
      <c r="K10" s="1012">
        <f>tertiair!J16</f>
        <v>0</v>
      </c>
      <c r="L10" s="1012">
        <f>tertiair!K16</f>
        <v>0</v>
      </c>
      <c r="M10" s="1012">
        <f ca="1">tertiair!L16</f>
        <v>0</v>
      </c>
      <c r="N10" s="1012">
        <f>tertiair!M16</f>
        <v>0</v>
      </c>
      <c r="O10" s="1012">
        <f ca="1">tertiair!N16</f>
        <v>26856.913087467987</v>
      </c>
      <c r="P10" s="1012">
        <f>tertiair!O16</f>
        <v>7.8166666666666664</v>
      </c>
      <c r="Q10" s="1013">
        <f>tertiair!P16</f>
        <v>38.133333333333333</v>
      </c>
      <c r="R10" s="700">
        <f ca="1">SUM(C10:Q10)</f>
        <v>93791.060352205808</v>
      </c>
      <c r="S10" s="67"/>
    </row>
    <row r="11" spans="1:19" s="473" customFormat="1">
      <c r="A11" s="809" t="s">
        <v>225</v>
      </c>
      <c r="B11" s="814"/>
      <c r="C11" s="1012">
        <f>huishoudens!B8</f>
        <v>21530.234742625864</v>
      </c>
      <c r="D11" s="1012">
        <f>huishoudens!C8</f>
        <v>0</v>
      </c>
      <c r="E11" s="1012">
        <f>huishoudens!D8</f>
        <v>57131.645543104001</v>
      </c>
      <c r="F11" s="1012">
        <f>huishoudens!E8</f>
        <v>5260.001662277853</v>
      </c>
      <c r="G11" s="1012">
        <f>huishoudens!F8</f>
        <v>8422.3853318313559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25472.486826091343</v>
      </c>
      <c r="P11" s="1012">
        <f>huishoudens!O8</f>
        <v>284.52666666666664</v>
      </c>
      <c r="Q11" s="1013">
        <f>huishoudens!P8</f>
        <v>858</v>
      </c>
      <c r="R11" s="700">
        <f>SUM(C11:Q11)</f>
        <v>118959.28077259706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19143.961737990001</v>
      </c>
      <c r="D13" s="1012">
        <f>industrie!C18</f>
        <v>0</v>
      </c>
      <c r="E13" s="1012">
        <f>industrie!D18</f>
        <v>8131.8882591381607</v>
      </c>
      <c r="F13" s="1012">
        <f>industrie!E18</f>
        <v>2173.0404908165797</v>
      </c>
      <c r="G13" s="1012">
        <f>industrie!F18</f>
        <v>9333.4211994995785</v>
      </c>
      <c r="H13" s="1012">
        <f>industrie!G18</f>
        <v>0</v>
      </c>
      <c r="I13" s="1012">
        <f>industrie!H18</f>
        <v>0</v>
      </c>
      <c r="J13" s="1012">
        <f>industrie!I18</f>
        <v>0</v>
      </c>
      <c r="K13" s="1012">
        <f>industrie!J18</f>
        <v>130.43016772634024</v>
      </c>
      <c r="L13" s="1012">
        <f>industrie!K18</f>
        <v>0</v>
      </c>
      <c r="M13" s="1012">
        <f>industrie!L18</f>
        <v>0</v>
      </c>
      <c r="N13" s="1012">
        <f>industrie!M18</f>
        <v>0</v>
      </c>
      <c r="O13" s="1012">
        <f>industrie!N18</f>
        <v>5947.4679201698336</v>
      </c>
      <c r="P13" s="1012">
        <f>industrie!O18</f>
        <v>0</v>
      </c>
      <c r="Q13" s="1013">
        <f>industrie!P18</f>
        <v>0</v>
      </c>
      <c r="R13" s="700">
        <f>SUM(C13:Q13)</f>
        <v>44860.209775340496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84475.046570055871</v>
      </c>
      <c r="D16" s="732">
        <f t="shared" ref="D16:R16" ca="1" si="0">SUM(D9:D15)</f>
        <v>0</v>
      </c>
      <c r="E16" s="732">
        <f t="shared" ca="1" si="0"/>
        <v>78229.743348101401</v>
      </c>
      <c r="F16" s="732">
        <f t="shared" si="0"/>
        <v>7696.3432352729815</v>
      </c>
      <c r="G16" s="732">
        <f t="shared" ca="1" si="0"/>
        <v>27613.643078590962</v>
      </c>
      <c r="H16" s="732">
        <f t="shared" si="0"/>
        <v>0</v>
      </c>
      <c r="I16" s="732">
        <f t="shared" si="0"/>
        <v>0</v>
      </c>
      <c r="J16" s="732">
        <f t="shared" si="0"/>
        <v>0</v>
      </c>
      <c r="K16" s="732">
        <f t="shared" si="0"/>
        <v>130.43016772634024</v>
      </c>
      <c r="L16" s="732">
        <f t="shared" si="0"/>
        <v>0</v>
      </c>
      <c r="M16" s="732">
        <f t="shared" ca="1" si="0"/>
        <v>0</v>
      </c>
      <c r="N16" s="732">
        <f t="shared" si="0"/>
        <v>0</v>
      </c>
      <c r="O16" s="732">
        <f t="shared" ca="1" si="0"/>
        <v>58276.867833729164</v>
      </c>
      <c r="P16" s="732">
        <f t="shared" si="0"/>
        <v>292.34333333333331</v>
      </c>
      <c r="Q16" s="732">
        <f t="shared" si="0"/>
        <v>896.13333333333333</v>
      </c>
      <c r="R16" s="732">
        <f t="shared" ca="1" si="0"/>
        <v>257610.5509001434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747.50615634341978</v>
      </c>
      <c r="I19" s="1012">
        <f>transport!H54</f>
        <v>0</v>
      </c>
      <c r="J19" s="1012">
        <f>transport!I54</f>
        <v>0</v>
      </c>
      <c r="K19" s="1012">
        <f>transport!J54</f>
        <v>0</v>
      </c>
      <c r="L19" s="1012">
        <f>transport!K54</f>
        <v>0</v>
      </c>
      <c r="M19" s="1012">
        <f>transport!L54</f>
        <v>0</v>
      </c>
      <c r="N19" s="1012">
        <f>transport!M54</f>
        <v>23.185968662389143</v>
      </c>
      <c r="O19" s="1012">
        <f>transport!N54</f>
        <v>0</v>
      </c>
      <c r="P19" s="1012">
        <f>transport!O54</f>
        <v>0</v>
      </c>
      <c r="Q19" s="1013">
        <f>transport!P54</f>
        <v>0</v>
      </c>
      <c r="R19" s="700">
        <f>SUM(C19:Q19)</f>
        <v>770.69212500580898</v>
      </c>
      <c r="S19" s="67"/>
    </row>
    <row r="20" spans="1:19" s="473" customFormat="1">
      <c r="A20" s="809" t="s">
        <v>307</v>
      </c>
      <c r="B20" s="814"/>
      <c r="C20" s="1012">
        <f>transport!B14</f>
        <v>18.264810569144313</v>
      </c>
      <c r="D20" s="1012">
        <f>transport!C14</f>
        <v>0</v>
      </c>
      <c r="E20" s="1012">
        <f>transport!D14</f>
        <v>41.258125836658508</v>
      </c>
      <c r="F20" s="1012">
        <f>transport!E14</f>
        <v>175.45163630152493</v>
      </c>
      <c r="G20" s="1012">
        <f>transport!F14</f>
        <v>0</v>
      </c>
      <c r="H20" s="1012">
        <f>transport!G14</f>
        <v>79473.308111849969</v>
      </c>
      <c r="I20" s="1012">
        <f>transport!H14</f>
        <v>11290.666557280094</v>
      </c>
      <c r="J20" s="1012">
        <f>transport!I14</f>
        <v>0</v>
      </c>
      <c r="K20" s="1012">
        <f>transport!J14</f>
        <v>0</v>
      </c>
      <c r="L20" s="1012">
        <f>transport!K14</f>
        <v>0</v>
      </c>
      <c r="M20" s="1012">
        <f>transport!L14</f>
        <v>0</v>
      </c>
      <c r="N20" s="1012">
        <f>transport!M14</f>
        <v>2841.9558247864297</v>
      </c>
      <c r="O20" s="1012">
        <f>transport!N14</f>
        <v>0</v>
      </c>
      <c r="P20" s="1012">
        <f>transport!O14</f>
        <v>0</v>
      </c>
      <c r="Q20" s="1013">
        <f>transport!P14</f>
        <v>0</v>
      </c>
      <c r="R20" s="700">
        <f>SUM(C20:Q20)</f>
        <v>93840.905066623833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18.264810569144313</v>
      </c>
      <c r="D22" s="812">
        <f t="shared" ref="D22:R22" si="1">SUM(D18:D21)</f>
        <v>0</v>
      </c>
      <c r="E22" s="812">
        <f t="shared" si="1"/>
        <v>41.258125836658508</v>
      </c>
      <c r="F22" s="812">
        <f t="shared" si="1"/>
        <v>175.45163630152493</v>
      </c>
      <c r="G22" s="812">
        <f t="shared" si="1"/>
        <v>0</v>
      </c>
      <c r="H22" s="812">
        <f t="shared" si="1"/>
        <v>80220.814268193382</v>
      </c>
      <c r="I22" s="812">
        <f t="shared" si="1"/>
        <v>11290.666557280094</v>
      </c>
      <c r="J22" s="812">
        <f t="shared" si="1"/>
        <v>0</v>
      </c>
      <c r="K22" s="812">
        <f t="shared" si="1"/>
        <v>0</v>
      </c>
      <c r="L22" s="812">
        <f t="shared" si="1"/>
        <v>0</v>
      </c>
      <c r="M22" s="812">
        <f t="shared" si="1"/>
        <v>0</v>
      </c>
      <c r="N22" s="812">
        <f t="shared" si="1"/>
        <v>2865.141793448819</v>
      </c>
      <c r="O22" s="812">
        <f t="shared" si="1"/>
        <v>0</v>
      </c>
      <c r="P22" s="812">
        <f t="shared" si="1"/>
        <v>0</v>
      </c>
      <c r="Q22" s="812">
        <f t="shared" si="1"/>
        <v>0</v>
      </c>
      <c r="R22" s="812">
        <f t="shared" si="1"/>
        <v>94611.59719162964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5442.0606780600001</v>
      </c>
      <c r="D24" s="1012">
        <f>+landbouw!C8</f>
        <v>43997.142857142855</v>
      </c>
      <c r="E24" s="1012">
        <f>+landbouw!D8</f>
        <v>1331.1488396536001</v>
      </c>
      <c r="F24" s="1012">
        <f>+landbouw!E8</f>
        <v>140.32984978994523</v>
      </c>
      <c r="G24" s="1012">
        <f>+landbouw!F8</f>
        <v>19891.768168420567</v>
      </c>
      <c r="H24" s="1012">
        <f>+landbouw!G8</f>
        <v>0</v>
      </c>
      <c r="I24" s="1012">
        <f>+landbouw!H8</f>
        <v>0</v>
      </c>
      <c r="J24" s="1012">
        <f>+landbouw!I8</f>
        <v>0</v>
      </c>
      <c r="K24" s="1012">
        <f>+landbouw!J8</f>
        <v>783.45654242069986</v>
      </c>
      <c r="L24" s="1012">
        <f>+landbouw!K8</f>
        <v>0</v>
      </c>
      <c r="M24" s="1012">
        <f>+landbouw!L8</f>
        <v>0</v>
      </c>
      <c r="N24" s="1012">
        <f>+landbouw!M8</f>
        <v>0</v>
      </c>
      <c r="O24" s="1012">
        <f>+landbouw!N8</f>
        <v>0</v>
      </c>
      <c r="P24" s="1012">
        <f>+landbouw!O8</f>
        <v>0</v>
      </c>
      <c r="Q24" s="1013">
        <f>+landbouw!P8</f>
        <v>0</v>
      </c>
      <c r="R24" s="700">
        <f>SUM(C24:Q24)</f>
        <v>71585.90693548767</v>
      </c>
      <c r="S24" s="67"/>
    </row>
    <row r="25" spans="1:19" s="473" customFormat="1" ht="15" thickBot="1">
      <c r="A25" s="831" t="s">
        <v>848</v>
      </c>
      <c r="B25" s="1015"/>
      <c r="C25" s="1016">
        <f>IF(Onbekend_ele_kWh="---",0,Onbekend_ele_kWh)/1000+IF(REST_rest_ele_kWh="---",0,REST_rest_ele_kWh)/1000</f>
        <v>1241.3060194000002</v>
      </c>
      <c r="D25" s="1016"/>
      <c r="E25" s="1016">
        <f>IF(onbekend_gas_kWh="---",0,onbekend_gas_kWh)/1000+IF(REST_rest_gas_kWh="---",0,REST_rest_gas_kWh)/1000</f>
        <v>1750.5595697000001</v>
      </c>
      <c r="F25" s="1016"/>
      <c r="G25" s="1016"/>
      <c r="H25" s="1016"/>
      <c r="I25" s="1016"/>
      <c r="J25" s="1016"/>
      <c r="K25" s="1016"/>
      <c r="L25" s="1016"/>
      <c r="M25" s="1016"/>
      <c r="N25" s="1016"/>
      <c r="O25" s="1016"/>
      <c r="P25" s="1016"/>
      <c r="Q25" s="1017"/>
      <c r="R25" s="700">
        <f>SUM(C25:Q25)</f>
        <v>2991.8655891000003</v>
      </c>
      <c r="S25" s="67"/>
    </row>
    <row r="26" spans="1:19" s="473" customFormat="1" ht="15.75" thickBot="1">
      <c r="A26" s="705" t="s">
        <v>849</v>
      </c>
      <c r="B26" s="817"/>
      <c r="C26" s="812">
        <f>SUM(C24:C25)</f>
        <v>6683.3666974600001</v>
      </c>
      <c r="D26" s="812">
        <f t="shared" ref="D26:R26" si="2">SUM(D24:D25)</f>
        <v>43997.142857142855</v>
      </c>
      <c r="E26" s="812">
        <f t="shared" si="2"/>
        <v>3081.7084093536005</v>
      </c>
      <c r="F26" s="812">
        <f t="shared" si="2"/>
        <v>140.32984978994523</v>
      </c>
      <c r="G26" s="812">
        <f t="shared" si="2"/>
        <v>19891.768168420567</v>
      </c>
      <c r="H26" s="812">
        <f t="shared" si="2"/>
        <v>0</v>
      </c>
      <c r="I26" s="812">
        <f t="shared" si="2"/>
        <v>0</v>
      </c>
      <c r="J26" s="812">
        <f t="shared" si="2"/>
        <v>0</v>
      </c>
      <c r="K26" s="812">
        <f t="shared" si="2"/>
        <v>783.45654242069986</v>
      </c>
      <c r="L26" s="812">
        <f t="shared" si="2"/>
        <v>0</v>
      </c>
      <c r="M26" s="812">
        <f t="shared" si="2"/>
        <v>0</v>
      </c>
      <c r="N26" s="812">
        <f t="shared" si="2"/>
        <v>0</v>
      </c>
      <c r="O26" s="812">
        <f t="shared" si="2"/>
        <v>0</v>
      </c>
      <c r="P26" s="812">
        <f t="shared" si="2"/>
        <v>0</v>
      </c>
      <c r="Q26" s="812">
        <f t="shared" si="2"/>
        <v>0</v>
      </c>
      <c r="R26" s="812">
        <f t="shared" si="2"/>
        <v>74577.772524587665</v>
      </c>
      <c r="S26" s="67"/>
    </row>
    <row r="27" spans="1:19" s="473" customFormat="1" ht="17.25" thickTop="1" thickBot="1">
      <c r="A27" s="706" t="s">
        <v>116</v>
      </c>
      <c r="B27" s="805"/>
      <c r="C27" s="707">
        <f ca="1">C22+C16+C26</f>
        <v>91176.678078085024</v>
      </c>
      <c r="D27" s="707">
        <f t="shared" ref="D27:R27" ca="1" si="3">D22+D16+D26</f>
        <v>43997.142857142855</v>
      </c>
      <c r="E27" s="707">
        <f t="shared" ca="1" si="3"/>
        <v>81352.709883291653</v>
      </c>
      <c r="F27" s="707">
        <f t="shared" si="3"/>
        <v>8012.124721364451</v>
      </c>
      <c r="G27" s="707">
        <f t="shared" ca="1" si="3"/>
        <v>47505.411247011529</v>
      </c>
      <c r="H27" s="707">
        <f t="shared" si="3"/>
        <v>80220.814268193382</v>
      </c>
      <c r="I27" s="707">
        <f t="shared" si="3"/>
        <v>11290.666557280094</v>
      </c>
      <c r="J27" s="707">
        <f t="shared" si="3"/>
        <v>0</v>
      </c>
      <c r="K27" s="707">
        <f t="shared" si="3"/>
        <v>913.88671014704005</v>
      </c>
      <c r="L27" s="707">
        <f t="shared" si="3"/>
        <v>0</v>
      </c>
      <c r="M27" s="707">
        <f t="shared" ca="1" si="3"/>
        <v>0</v>
      </c>
      <c r="N27" s="707">
        <f t="shared" si="3"/>
        <v>2865.141793448819</v>
      </c>
      <c r="O27" s="707">
        <f t="shared" ca="1" si="3"/>
        <v>58276.867833729164</v>
      </c>
      <c r="P27" s="707">
        <f t="shared" si="3"/>
        <v>292.34333333333331</v>
      </c>
      <c r="Q27" s="707">
        <f t="shared" si="3"/>
        <v>896.13333333333333</v>
      </c>
      <c r="R27" s="707">
        <f t="shared" ca="1" si="3"/>
        <v>426799.92061636073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2496.0334529720712</v>
      </c>
      <c r="D40" s="1012">
        <f ca="1">tertiair!C20</f>
        <v>0</v>
      </c>
      <c r="E40" s="1012">
        <f ca="1">tertiair!D20</f>
        <v>2619.1743282635666</v>
      </c>
      <c r="F40" s="1012">
        <f>tertiair!E20</f>
        <v>59.769345654530674</v>
      </c>
      <c r="G40" s="1012">
        <f ca="1">tertiair!F20</f>
        <v>2632.0423581184273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7807.0194850085954</v>
      </c>
    </row>
    <row r="41" spans="1:18">
      <c r="A41" s="822" t="s">
        <v>225</v>
      </c>
      <c r="B41" s="829"/>
      <c r="C41" s="1012">
        <f ca="1">huishoudens!B12</f>
        <v>1226.921077061287</v>
      </c>
      <c r="D41" s="1012">
        <f ca="1">huishoudens!C12</f>
        <v>0</v>
      </c>
      <c r="E41" s="1012">
        <f>huishoudens!D12</f>
        <v>11540.592399707009</v>
      </c>
      <c r="F41" s="1012">
        <f>huishoudens!E12</f>
        <v>1194.0203773370727</v>
      </c>
      <c r="G41" s="1012">
        <f>huishoudens!F12</f>
        <v>2248.7768835989723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16210.31073770434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1090.9370211506623</v>
      </c>
      <c r="D43" s="1012">
        <f ca="1">industrie!C22</f>
        <v>0</v>
      </c>
      <c r="E43" s="1012">
        <f>industrie!D22</f>
        <v>1642.6414283459085</v>
      </c>
      <c r="F43" s="1012">
        <f>industrie!E22</f>
        <v>493.28019141536362</v>
      </c>
      <c r="G43" s="1012">
        <f>industrie!F22</f>
        <v>2492.0234602663877</v>
      </c>
      <c r="H43" s="1012">
        <f>industrie!G22</f>
        <v>0</v>
      </c>
      <c r="I43" s="1012">
        <f>industrie!H22</f>
        <v>0</v>
      </c>
      <c r="J43" s="1012">
        <f>industrie!I22</f>
        <v>0</v>
      </c>
      <c r="K43" s="1012">
        <f>industrie!J22</f>
        <v>46.172279375124447</v>
      </c>
      <c r="L43" s="1012">
        <f>industrie!K22</f>
        <v>0</v>
      </c>
      <c r="M43" s="1012">
        <f>industrie!L22</f>
        <v>0</v>
      </c>
      <c r="N43" s="1012">
        <f>industrie!M22</f>
        <v>0</v>
      </c>
      <c r="O43" s="1012">
        <f>industrie!N22</f>
        <v>0</v>
      </c>
      <c r="P43" s="1012">
        <f>industrie!O22</f>
        <v>0</v>
      </c>
      <c r="Q43" s="774">
        <f>industrie!P22</f>
        <v>0</v>
      </c>
      <c r="R43" s="849">
        <f t="shared" ca="1" si="4"/>
        <v>5765.0543805534462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4813.8915511840205</v>
      </c>
      <c r="D46" s="732">
        <f t="shared" ref="D46:Q46" ca="1" si="5">SUM(D39:D45)</f>
        <v>0</v>
      </c>
      <c r="E46" s="732">
        <f t="shared" ca="1" si="5"/>
        <v>15802.408156316485</v>
      </c>
      <c r="F46" s="732">
        <f t="shared" si="5"/>
        <v>1747.069914406967</v>
      </c>
      <c r="G46" s="732">
        <f t="shared" ca="1" si="5"/>
        <v>7372.8427019837873</v>
      </c>
      <c r="H46" s="732">
        <f t="shared" si="5"/>
        <v>0</v>
      </c>
      <c r="I46" s="732">
        <f t="shared" si="5"/>
        <v>0</v>
      </c>
      <c r="J46" s="732">
        <f t="shared" si="5"/>
        <v>0</v>
      </c>
      <c r="K46" s="732">
        <f t="shared" si="5"/>
        <v>46.172279375124447</v>
      </c>
      <c r="L46" s="732">
        <f t="shared" si="5"/>
        <v>0</v>
      </c>
      <c r="M46" s="732">
        <f t="shared" ca="1" si="5"/>
        <v>0</v>
      </c>
      <c r="N46" s="732">
        <f t="shared" si="5"/>
        <v>0</v>
      </c>
      <c r="O46" s="732">
        <f t="shared" ca="1" si="5"/>
        <v>0</v>
      </c>
      <c r="P46" s="732">
        <f t="shared" si="5"/>
        <v>0</v>
      </c>
      <c r="Q46" s="732">
        <f t="shared" si="5"/>
        <v>0</v>
      </c>
      <c r="R46" s="732">
        <f ca="1">SUM(R39:R45)</f>
        <v>29782.384603266382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199.58414374369309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199.58414374369309</v>
      </c>
    </row>
    <row r="50" spans="1:18">
      <c r="A50" s="825" t="s">
        <v>307</v>
      </c>
      <c r="B50" s="835"/>
      <c r="C50" s="703">
        <f ca="1">transport!B18</f>
        <v>1.0408377485754166</v>
      </c>
      <c r="D50" s="703">
        <f>transport!C18</f>
        <v>0</v>
      </c>
      <c r="E50" s="703">
        <f>transport!D18</f>
        <v>8.3341414190050198</v>
      </c>
      <c r="F50" s="703">
        <f>transport!E18</f>
        <v>39.827521440446162</v>
      </c>
      <c r="G50" s="703">
        <f>transport!F18</f>
        <v>0</v>
      </c>
      <c r="H50" s="703">
        <f>transport!G18</f>
        <v>21219.373265863942</v>
      </c>
      <c r="I50" s="703">
        <f>transport!H18</f>
        <v>2811.3759727627435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24079.951739234712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1.0408377485754166</v>
      </c>
      <c r="D52" s="732">
        <f t="shared" ref="D52:Q52" ca="1" si="6">SUM(D48:D51)</f>
        <v>0</v>
      </c>
      <c r="E52" s="732">
        <f t="shared" si="6"/>
        <v>8.3341414190050198</v>
      </c>
      <c r="F52" s="732">
        <f t="shared" si="6"/>
        <v>39.827521440446162</v>
      </c>
      <c r="G52" s="732">
        <f t="shared" si="6"/>
        <v>0</v>
      </c>
      <c r="H52" s="732">
        <f t="shared" si="6"/>
        <v>21418.957409607636</v>
      </c>
      <c r="I52" s="732">
        <f t="shared" si="6"/>
        <v>2811.3759727627435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24279.535882978405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310.12104737246898</v>
      </c>
      <c r="D54" s="703">
        <f ca="1">+landbouw!C12</f>
        <v>0</v>
      </c>
      <c r="E54" s="703">
        <f>+landbouw!D12</f>
        <v>268.89206561002726</v>
      </c>
      <c r="F54" s="703">
        <f>+landbouw!E12</f>
        <v>31.854875902317566</v>
      </c>
      <c r="G54" s="703">
        <f>+landbouw!F12</f>
        <v>5311.1021009682918</v>
      </c>
      <c r="H54" s="703">
        <f>+landbouw!G12</f>
        <v>0</v>
      </c>
      <c r="I54" s="703">
        <f>+landbouw!H12</f>
        <v>0</v>
      </c>
      <c r="J54" s="703">
        <f>+landbouw!I12</f>
        <v>0</v>
      </c>
      <c r="K54" s="703">
        <f>+landbouw!J12</f>
        <v>277.34361601692774</v>
      </c>
      <c r="L54" s="703">
        <f>+landbouw!K12</f>
        <v>0</v>
      </c>
      <c r="M54" s="703">
        <f>+landbouw!L12</f>
        <v>0</v>
      </c>
      <c r="N54" s="703">
        <f>+landbouw!M12</f>
        <v>0</v>
      </c>
      <c r="O54" s="703">
        <f>+landbouw!N12</f>
        <v>0</v>
      </c>
      <c r="P54" s="703">
        <f>+landbouw!O12</f>
        <v>0</v>
      </c>
      <c r="Q54" s="704">
        <f>+landbouw!P12</f>
        <v>0</v>
      </c>
      <c r="R54" s="731">
        <f ca="1">SUM(C54:Q54)</f>
        <v>6199.3137058700331</v>
      </c>
    </row>
    <row r="55" spans="1:18" ht="15" thickBot="1">
      <c r="A55" s="825" t="s">
        <v>848</v>
      </c>
      <c r="B55" s="835"/>
      <c r="C55" s="703">
        <f ca="1">C25*'EF ele_warmte'!B12</f>
        <v>70.737014086970476</v>
      </c>
      <c r="D55" s="703"/>
      <c r="E55" s="703">
        <f>E25*EF_CO2_aardgas</f>
        <v>353.61303307940005</v>
      </c>
      <c r="F55" s="703"/>
      <c r="G55" s="703"/>
      <c r="H55" s="703"/>
      <c r="I55" s="703"/>
      <c r="J55" s="703"/>
      <c r="K55" s="703"/>
      <c r="L55" s="703"/>
      <c r="M55" s="703"/>
      <c r="N55" s="703"/>
      <c r="O55" s="703"/>
      <c r="P55" s="703"/>
      <c r="Q55" s="704"/>
      <c r="R55" s="731">
        <f ca="1">SUM(C55:Q55)</f>
        <v>424.35004716637053</v>
      </c>
    </row>
    <row r="56" spans="1:18" ht="15.75" thickBot="1">
      <c r="A56" s="823" t="s">
        <v>849</v>
      </c>
      <c r="B56" s="836"/>
      <c r="C56" s="732">
        <f ca="1">SUM(C54:C55)</f>
        <v>380.85806145943945</v>
      </c>
      <c r="D56" s="732">
        <f t="shared" ref="D56:Q56" ca="1" si="7">SUM(D54:D55)</f>
        <v>0</v>
      </c>
      <c r="E56" s="732">
        <f t="shared" si="7"/>
        <v>622.50509868942731</v>
      </c>
      <c r="F56" s="732">
        <f t="shared" si="7"/>
        <v>31.854875902317566</v>
      </c>
      <c r="G56" s="732">
        <f t="shared" si="7"/>
        <v>5311.1021009682918</v>
      </c>
      <c r="H56" s="732">
        <f t="shared" si="7"/>
        <v>0</v>
      </c>
      <c r="I56" s="732">
        <f t="shared" si="7"/>
        <v>0</v>
      </c>
      <c r="J56" s="732">
        <f t="shared" si="7"/>
        <v>0</v>
      </c>
      <c r="K56" s="732">
        <f t="shared" si="7"/>
        <v>277.34361601692774</v>
      </c>
      <c r="L56" s="732">
        <f t="shared" si="7"/>
        <v>0</v>
      </c>
      <c r="M56" s="732">
        <f t="shared" si="7"/>
        <v>0</v>
      </c>
      <c r="N56" s="732">
        <f t="shared" si="7"/>
        <v>0</v>
      </c>
      <c r="O56" s="732">
        <f t="shared" si="7"/>
        <v>0</v>
      </c>
      <c r="P56" s="732">
        <f t="shared" si="7"/>
        <v>0</v>
      </c>
      <c r="Q56" s="733">
        <f t="shared" si="7"/>
        <v>0</v>
      </c>
      <c r="R56" s="734">
        <f ca="1">SUM(R54:R55)</f>
        <v>6623.6637530364033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5195.7904503920354</v>
      </c>
      <c r="D61" s="740">
        <f t="shared" ref="D61:Q61" ca="1" si="8">D46+D52+D56</f>
        <v>0</v>
      </c>
      <c r="E61" s="740">
        <f t="shared" ca="1" si="8"/>
        <v>16433.247396424918</v>
      </c>
      <c r="F61" s="740">
        <f t="shared" si="8"/>
        <v>1818.7523117497308</v>
      </c>
      <c r="G61" s="740">
        <f t="shared" ca="1" si="8"/>
        <v>12683.944802952079</v>
      </c>
      <c r="H61" s="740">
        <f t="shared" si="8"/>
        <v>21418.957409607636</v>
      </c>
      <c r="I61" s="740">
        <f t="shared" si="8"/>
        <v>2811.3759727627435</v>
      </c>
      <c r="J61" s="740">
        <f t="shared" si="8"/>
        <v>0</v>
      </c>
      <c r="K61" s="740">
        <f t="shared" si="8"/>
        <v>323.51589539205219</v>
      </c>
      <c r="L61" s="740">
        <f t="shared" si="8"/>
        <v>0</v>
      </c>
      <c r="M61" s="740">
        <f t="shared" ca="1" si="8"/>
        <v>0</v>
      </c>
      <c r="N61" s="740">
        <f t="shared" si="8"/>
        <v>0</v>
      </c>
      <c r="O61" s="740">
        <f t="shared" ca="1" si="8"/>
        <v>0</v>
      </c>
      <c r="P61" s="740">
        <f t="shared" si="8"/>
        <v>0</v>
      </c>
      <c r="Q61" s="740">
        <f t="shared" si="8"/>
        <v>0</v>
      </c>
      <c r="R61" s="740">
        <f ca="1">R46+R52+R56</f>
        <v>60685.58423928119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5.6985959128081916E-2</v>
      </c>
      <c r="D63" s="781">
        <f t="shared" ca="1" si="9"/>
        <v>0</v>
      </c>
      <c r="E63" s="1023">
        <f t="shared" ca="1" si="9"/>
        <v>0.20200000000000007</v>
      </c>
      <c r="F63" s="781">
        <f t="shared" si="9"/>
        <v>0.22700000000000006</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28398.00584985939</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8470.3081993023952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30798</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36232.941176470587</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67666.314049161781</v>
      </c>
      <c r="C78" s="755">
        <f>SUM(C72:C77)</f>
        <v>0</v>
      </c>
      <c r="D78" s="756">
        <f t="shared" ref="D78:H78" si="10">SUM(D76:D77)</f>
        <v>0</v>
      </c>
      <c r="E78" s="756">
        <f t="shared" si="10"/>
        <v>0</v>
      </c>
      <c r="F78" s="756">
        <f t="shared" si="10"/>
        <v>0</v>
      </c>
      <c r="G78" s="756">
        <f t="shared" si="10"/>
        <v>0</v>
      </c>
      <c r="H78" s="756">
        <f t="shared" si="10"/>
        <v>0</v>
      </c>
      <c r="I78" s="756">
        <f>SUM(I76:I77)</f>
        <v>0</v>
      </c>
      <c r="J78" s="756">
        <f>SUM(J76:J77)</f>
        <v>36232.941176470587</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43997.142857142855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51761.344537815123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43997.142857142855</v>
      </c>
      <c r="C90" s="755">
        <f>SUM(C87:C89)</f>
        <v>0</v>
      </c>
      <c r="D90" s="755">
        <f t="shared" ref="D90:H90" si="12">SUM(D87:D89)</f>
        <v>0</v>
      </c>
      <c r="E90" s="755">
        <f t="shared" si="12"/>
        <v>0</v>
      </c>
      <c r="F90" s="755">
        <f t="shared" si="12"/>
        <v>0</v>
      </c>
      <c r="G90" s="755">
        <f t="shared" si="12"/>
        <v>0</v>
      </c>
      <c r="H90" s="755">
        <f t="shared" si="12"/>
        <v>0</v>
      </c>
      <c r="I90" s="755">
        <f>SUM(I87:I89)</f>
        <v>0</v>
      </c>
      <c r="J90" s="755">
        <f>SUM(J87:J89)</f>
        <v>51761.344537815123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28398.00584985939</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8470.3081993023952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30798</v>
      </c>
      <c r="C8" s="570">
        <f>B101</f>
        <v>0</v>
      </c>
      <c r="D8" s="1043"/>
      <c r="E8" s="1043">
        <f>E101</f>
        <v>0</v>
      </c>
      <c r="F8" s="1044"/>
      <c r="G8" s="571"/>
      <c r="H8" s="1043">
        <f>I101</f>
        <v>0</v>
      </c>
      <c r="I8" s="1043">
        <f>G101+F101</f>
        <v>0</v>
      </c>
      <c r="J8" s="1043">
        <f>H101+D101+C101</f>
        <v>36232.941176470587</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67666.314049161781</v>
      </c>
      <c r="C10" s="583">
        <f t="shared" ref="C10:L10" si="0">SUM(C8:C9)</f>
        <v>0</v>
      </c>
      <c r="D10" s="583">
        <f t="shared" si="0"/>
        <v>0</v>
      </c>
      <c r="E10" s="583">
        <f t="shared" si="0"/>
        <v>0</v>
      </c>
      <c r="F10" s="583">
        <f t="shared" si="0"/>
        <v>0</v>
      </c>
      <c r="G10" s="583">
        <f t="shared" si="0"/>
        <v>0</v>
      </c>
      <c r="H10" s="583">
        <f t="shared" si="0"/>
        <v>0</v>
      </c>
      <c r="I10" s="583">
        <f t="shared" si="0"/>
        <v>0</v>
      </c>
      <c r="J10" s="583">
        <f t="shared" si="0"/>
        <v>36232.941176470587</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43997.142857142855</v>
      </c>
      <c r="C17" s="595">
        <f>B102</f>
        <v>0</v>
      </c>
      <c r="D17" s="596"/>
      <c r="E17" s="596">
        <f>E102</f>
        <v>0</v>
      </c>
      <c r="F17" s="1049"/>
      <c r="G17" s="597"/>
      <c r="H17" s="595">
        <f>I102</f>
        <v>0</v>
      </c>
      <c r="I17" s="596">
        <f>G102+F102</f>
        <v>0</v>
      </c>
      <c r="J17" s="596">
        <f>H102+D102+C102</f>
        <v>51761.344537815123</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43997.142857142855</v>
      </c>
      <c r="C20" s="582">
        <f>SUM(C17:C19)</f>
        <v>0</v>
      </c>
      <c r="D20" s="582">
        <f t="shared" ref="D20:L20" si="1">SUM(D17:D19)</f>
        <v>0</v>
      </c>
      <c r="E20" s="582">
        <f t="shared" si="1"/>
        <v>0</v>
      </c>
      <c r="F20" s="582">
        <f t="shared" si="1"/>
        <v>0</v>
      </c>
      <c r="G20" s="582">
        <f t="shared" si="1"/>
        <v>0</v>
      </c>
      <c r="H20" s="582">
        <f t="shared" si="1"/>
        <v>0</v>
      </c>
      <c r="I20" s="582">
        <f t="shared" si="1"/>
        <v>0</v>
      </c>
      <c r="J20" s="582">
        <f t="shared" si="1"/>
        <v>51761.344537815123</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13001</v>
      </c>
      <c r="C28" s="796">
        <v>2370</v>
      </c>
      <c r="D28" s="653" t="s">
        <v>890</v>
      </c>
      <c r="E28" s="652" t="s">
        <v>891</v>
      </c>
      <c r="F28" s="652" t="s">
        <v>892</v>
      </c>
      <c r="G28" s="652" t="s">
        <v>893</v>
      </c>
      <c r="H28" s="652" t="s">
        <v>894</v>
      </c>
      <c r="I28" s="652" t="s">
        <v>891</v>
      </c>
      <c r="J28" s="795">
        <v>40813</v>
      </c>
      <c r="K28" s="795">
        <v>40150</v>
      </c>
      <c r="L28" s="652" t="s">
        <v>895</v>
      </c>
      <c r="M28" s="652">
        <v>3277</v>
      </c>
      <c r="N28" s="652">
        <v>14746.5</v>
      </c>
      <c r="O28" s="652">
        <v>21066.428571428572</v>
      </c>
      <c r="P28" s="652">
        <v>0</v>
      </c>
      <c r="Q28" s="652">
        <v>42132.857142857145</v>
      </c>
      <c r="R28" s="652">
        <v>0</v>
      </c>
      <c r="S28" s="652">
        <v>0</v>
      </c>
      <c r="T28" s="652">
        <v>0</v>
      </c>
      <c r="U28" s="652">
        <v>0</v>
      </c>
      <c r="V28" s="652">
        <v>0</v>
      </c>
      <c r="W28" s="652">
        <v>0</v>
      </c>
      <c r="X28" s="652">
        <v>10</v>
      </c>
      <c r="Y28" s="652" t="s">
        <v>112</v>
      </c>
      <c r="Z28" s="654" t="s">
        <v>112</v>
      </c>
    </row>
    <row r="29" spans="1:26" s="606" customFormat="1" ht="25.5">
      <c r="A29" s="605"/>
      <c r="B29" s="796">
        <v>13001</v>
      </c>
      <c r="C29" s="796">
        <v>2370</v>
      </c>
      <c r="D29" s="653" t="s">
        <v>896</v>
      </c>
      <c r="E29" s="652" t="s">
        <v>897</v>
      </c>
      <c r="F29" s="652" t="s">
        <v>898</v>
      </c>
      <c r="G29" s="652" t="s">
        <v>893</v>
      </c>
      <c r="H29" s="652" t="s">
        <v>894</v>
      </c>
      <c r="I29" s="652" t="s">
        <v>897</v>
      </c>
      <c r="J29" s="795">
        <v>41313</v>
      </c>
      <c r="K29" s="795">
        <v>41313</v>
      </c>
      <c r="L29" s="652" t="s">
        <v>895</v>
      </c>
      <c r="M29" s="652">
        <v>3567</v>
      </c>
      <c r="N29" s="652">
        <v>16051.5</v>
      </c>
      <c r="O29" s="652">
        <v>22930.714285714286</v>
      </c>
      <c r="P29" s="652">
        <v>0</v>
      </c>
      <c r="Q29" s="652">
        <v>45861.428571428572</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6844</v>
      </c>
      <c r="N58" s="610">
        <f>SUM(N28:N57)</f>
        <v>30798</v>
      </c>
      <c r="O58" s="610">
        <f t="shared" ref="O58:W58" si="2">SUM(O28:O57)</f>
        <v>43997.142857142855</v>
      </c>
      <c r="P58" s="610">
        <f t="shared" si="2"/>
        <v>0</v>
      </c>
      <c r="Q58" s="610">
        <f t="shared" si="2"/>
        <v>87994.28571428571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6844</v>
      </c>
      <c r="N61" s="615">
        <f t="shared" si="4"/>
        <v>30798</v>
      </c>
      <c r="O61" s="615">
        <f t="shared" si="4"/>
        <v>43997.142857142855</v>
      </c>
      <c r="P61" s="615">
        <f t="shared" si="4"/>
        <v>0</v>
      </c>
      <c r="Q61" s="615">
        <f t="shared" si="4"/>
        <v>87994.28571428571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36232.941176470587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51761.344537815123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21530.234742625864</v>
      </c>
      <c r="C4" s="477">
        <f>huishoudens!C8</f>
        <v>0</v>
      </c>
      <c r="D4" s="477">
        <f>huishoudens!D8</f>
        <v>57131.645543104001</v>
      </c>
      <c r="E4" s="477">
        <f>huishoudens!E8</f>
        <v>5260.001662277853</v>
      </c>
      <c r="F4" s="477">
        <f>huishoudens!F8</f>
        <v>8422.3853318313559</v>
      </c>
      <c r="G4" s="477">
        <f>huishoudens!G8</f>
        <v>0</v>
      </c>
      <c r="H4" s="477">
        <f>huishoudens!H8</f>
        <v>0</v>
      </c>
      <c r="I4" s="477">
        <f>huishoudens!I8</f>
        <v>0</v>
      </c>
      <c r="J4" s="477">
        <f>huishoudens!J8</f>
        <v>0</v>
      </c>
      <c r="K4" s="477">
        <f>huishoudens!K8</f>
        <v>0</v>
      </c>
      <c r="L4" s="477">
        <f>huishoudens!L8</f>
        <v>0</v>
      </c>
      <c r="M4" s="477">
        <f>huishoudens!M8</f>
        <v>0</v>
      </c>
      <c r="N4" s="477">
        <f>huishoudens!N8</f>
        <v>25472.486826091343</v>
      </c>
      <c r="O4" s="477">
        <f>huishoudens!O8</f>
        <v>284.52666666666664</v>
      </c>
      <c r="P4" s="478">
        <f>huishoudens!P8</f>
        <v>858</v>
      </c>
      <c r="Q4" s="479">
        <f>SUM(B4:P4)</f>
        <v>118959.28077259706</v>
      </c>
    </row>
    <row r="5" spans="1:17">
      <c r="A5" s="476" t="s">
        <v>156</v>
      </c>
      <c r="B5" s="477">
        <f ca="1">tertiair!B16</f>
        <v>42974.387089440002</v>
      </c>
      <c r="C5" s="477">
        <f ca="1">tertiair!C16</f>
        <v>0</v>
      </c>
      <c r="D5" s="477">
        <f ca="1">tertiair!D16</f>
        <v>12966.209545859239</v>
      </c>
      <c r="E5" s="477">
        <f>tertiair!E16</f>
        <v>263.30108217854922</v>
      </c>
      <c r="F5" s="477">
        <f ca="1">tertiair!F16</f>
        <v>9857.8365472600271</v>
      </c>
      <c r="G5" s="477">
        <f>tertiair!G16</f>
        <v>0</v>
      </c>
      <c r="H5" s="477">
        <f>tertiair!H16</f>
        <v>0</v>
      </c>
      <c r="I5" s="477">
        <f>tertiair!I16</f>
        <v>0</v>
      </c>
      <c r="J5" s="477">
        <f>tertiair!J16</f>
        <v>0</v>
      </c>
      <c r="K5" s="477">
        <f>tertiair!K16</f>
        <v>0</v>
      </c>
      <c r="L5" s="477">
        <f ca="1">tertiair!L16</f>
        <v>0</v>
      </c>
      <c r="M5" s="477">
        <f>tertiair!M16</f>
        <v>0</v>
      </c>
      <c r="N5" s="477">
        <f ca="1">tertiair!N16</f>
        <v>26856.913087467987</v>
      </c>
      <c r="O5" s="477">
        <f>tertiair!O16</f>
        <v>7.8166666666666664</v>
      </c>
      <c r="P5" s="478">
        <f>tertiair!P16</f>
        <v>38.133333333333333</v>
      </c>
      <c r="Q5" s="476">
        <f t="shared" ref="Q5:Q14" ca="1" si="0">SUM(B5:P5)</f>
        <v>92964.59735220579</v>
      </c>
    </row>
    <row r="6" spans="1:17">
      <c r="A6" s="476" t="s">
        <v>194</v>
      </c>
      <c r="B6" s="477">
        <f>'openbare verlichting'!B8</f>
        <v>826.46299999999997</v>
      </c>
      <c r="C6" s="477"/>
      <c r="D6" s="477"/>
      <c r="E6" s="477"/>
      <c r="F6" s="477"/>
      <c r="G6" s="477"/>
      <c r="H6" s="477"/>
      <c r="I6" s="477"/>
      <c r="J6" s="477"/>
      <c r="K6" s="477"/>
      <c r="L6" s="477"/>
      <c r="M6" s="477"/>
      <c r="N6" s="477"/>
      <c r="O6" s="477"/>
      <c r="P6" s="478"/>
      <c r="Q6" s="476">
        <f t="shared" si="0"/>
        <v>826.46299999999997</v>
      </c>
    </row>
    <row r="7" spans="1:17">
      <c r="A7" s="476" t="s">
        <v>112</v>
      </c>
      <c r="B7" s="477">
        <f>landbouw!B8</f>
        <v>5442.0606780600001</v>
      </c>
      <c r="C7" s="477">
        <f>landbouw!C8</f>
        <v>43997.142857142855</v>
      </c>
      <c r="D7" s="477">
        <f>landbouw!D8</f>
        <v>1331.1488396536001</v>
      </c>
      <c r="E7" s="477">
        <f>landbouw!E8</f>
        <v>140.32984978994523</v>
      </c>
      <c r="F7" s="477">
        <f>landbouw!F8</f>
        <v>19891.768168420567</v>
      </c>
      <c r="G7" s="477">
        <f>landbouw!G8</f>
        <v>0</v>
      </c>
      <c r="H7" s="477">
        <f>landbouw!H8</f>
        <v>0</v>
      </c>
      <c r="I7" s="477">
        <f>landbouw!I8</f>
        <v>0</v>
      </c>
      <c r="J7" s="477">
        <f>landbouw!J8</f>
        <v>783.45654242069986</v>
      </c>
      <c r="K7" s="477">
        <f>landbouw!K8</f>
        <v>0</v>
      </c>
      <c r="L7" s="477">
        <f>landbouw!L8</f>
        <v>0</v>
      </c>
      <c r="M7" s="477">
        <f>landbouw!M8</f>
        <v>0</v>
      </c>
      <c r="N7" s="477">
        <f>landbouw!N8</f>
        <v>0</v>
      </c>
      <c r="O7" s="477">
        <f>landbouw!O8</f>
        <v>0</v>
      </c>
      <c r="P7" s="478">
        <f>landbouw!P8</f>
        <v>0</v>
      </c>
      <c r="Q7" s="476">
        <f t="shared" si="0"/>
        <v>71585.90693548767</v>
      </c>
    </row>
    <row r="8" spans="1:17">
      <c r="A8" s="476" t="s">
        <v>638</v>
      </c>
      <c r="B8" s="477">
        <f>industrie!B18</f>
        <v>19143.961737990001</v>
      </c>
      <c r="C8" s="477">
        <f>industrie!C18</f>
        <v>0</v>
      </c>
      <c r="D8" s="477">
        <f>industrie!D18</f>
        <v>8131.8882591381607</v>
      </c>
      <c r="E8" s="477">
        <f>industrie!E18</f>
        <v>2173.0404908165797</v>
      </c>
      <c r="F8" s="477">
        <f>industrie!F18</f>
        <v>9333.4211994995785</v>
      </c>
      <c r="G8" s="477">
        <f>industrie!G18</f>
        <v>0</v>
      </c>
      <c r="H8" s="477">
        <f>industrie!H18</f>
        <v>0</v>
      </c>
      <c r="I8" s="477">
        <f>industrie!I18</f>
        <v>0</v>
      </c>
      <c r="J8" s="477">
        <f>industrie!J18</f>
        <v>130.43016772634024</v>
      </c>
      <c r="K8" s="477">
        <f>industrie!K18</f>
        <v>0</v>
      </c>
      <c r="L8" s="477">
        <f>industrie!L18</f>
        <v>0</v>
      </c>
      <c r="M8" s="477">
        <f>industrie!M18</f>
        <v>0</v>
      </c>
      <c r="N8" s="477">
        <f>industrie!N18</f>
        <v>5947.4679201698336</v>
      </c>
      <c r="O8" s="477">
        <f>industrie!O18</f>
        <v>0</v>
      </c>
      <c r="P8" s="478">
        <f>industrie!P18</f>
        <v>0</v>
      </c>
      <c r="Q8" s="476">
        <f t="shared" si="0"/>
        <v>44860.209775340496</v>
      </c>
    </row>
    <row r="9" spans="1:17" s="482" customFormat="1">
      <c r="A9" s="480" t="s">
        <v>564</v>
      </c>
      <c r="B9" s="481">
        <f>transport!B14</f>
        <v>18.264810569144313</v>
      </c>
      <c r="C9" s="481">
        <f>transport!C14</f>
        <v>0</v>
      </c>
      <c r="D9" s="481">
        <f>transport!D14</f>
        <v>41.258125836658508</v>
      </c>
      <c r="E9" s="481">
        <f>transport!E14</f>
        <v>175.45163630152493</v>
      </c>
      <c r="F9" s="481">
        <f>transport!F14</f>
        <v>0</v>
      </c>
      <c r="G9" s="481">
        <f>transport!G14</f>
        <v>79473.308111849969</v>
      </c>
      <c r="H9" s="481">
        <f>transport!H14</f>
        <v>11290.666557280094</v>
      </c>
      <c r="I9" s="481">
        <f>transport!I14</f>
        <v>0</v>
      </c>
      <c r="J9" s="481">
        <f>transport!J14</f>
        <v>0</v>
      </c>
      <c r="K9" s="481">
        <f>transport!K14</f>
        <v>0</v>
      </c>
      <c r="L9" s="481">
        <f>transport!L14</f>
        <v>0</v>
      </c>
      <c r="M9" s="481">
        <f>transport!M14</f>
        <v>2841.9558247864297</v>
      </c>
      <c r="N9" s="481">
        <f>transport!N14</f>
        <v>0</v>
      </c>
      <c r="O9" s="481">
        <f>transport!O14</f>
        <v>0</v>
      </c>
      <c r="P9" s="481">
        <f>transport!P14</f>
        <v>0</v>
      </c>
      <c r="Q9" s="480">
        <f>SUM(B9:P9)</f>
        <v>93840.905066623833</v>
      </c>
    </row>
    <row r="10" spans="1:17">
      <c r="A10" s="476" t="s">
        <v>554</v>
      </c>
      <c r="B10" s="477">
        <f>transport!B54</f>
        <v>0</v>
      </c>
      <c r="C10" s="477">
        <f>transport!C54</f>
        <v>0</v>
      </c>
      <c r="D10" s="477">
        <f>transport!D54</f>
        <v>0</v>
      </c>
      <c r="E10" s="477">
        <f>transport!E54</f>
        <v>0</v>
      </c>
      <c r="F10" s="477">
        <f>transport!F54</f>
        <v>0</v>
      </c>
      <c r="G10" s="477">
        <f>transport!G54</f>
        <v>747.50615634341978</v>
      </c>
      <c r="H10" s="477">
        <f>transport!H54</f>
        <v>0</v>
      </c>
      <c r="I10" s="477">
        <f>transport!I54</f>
        <v>0</v>
      </c>
      <c r="J10" s="477">
        <f>transport!J54</f>
        <v>0</v>
      </c>
      <c r="K10" s="477">
        <f>transport!K54</f>
        <v>0</v>
      </c>
      <c r="L10" s="477">
        <f>transport!L54</f>
        <v>0</v>
      </c>
      <c r="M10" s="477">
        <f>transport!M54</f>
        <v>23.185968662389143</v>
      </c>
      <c r="N10" s="477">
        <f>transport!N54</f>
        <v>0</v>
      </c>
      <c r="O10" s="477">
        <f>transport!O54</f>
        <v>0</v>
      </c>
      <c r="P10" s="478">
        <f>transport!P54</f>
        <v>0</v>
      </c>
      <c r="Q10" s="476">
        <f t="shared" si="0"/>
        <v>770.69212500580898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1241.3060194000002</v>
      </c>
      <c r="C14" s="484"/>
      <c r="D14" s="484">
        <f>'SEAP template'!E25</f>
        <v>1750.5595697000001</v>
      </c>
      <c r="E14" s="484"/>
      <c r="F14" s="484"/>
      <c r="G14" s="484"/>
      <c r="H14" s="484"/>
      <c r="I14" s="484"/>
      <c r="J14" s="484"/>
      <c r="K14" s="484"/>
      <c r="L14" s="484"/>
      <c r="M14" s="484"/>
      <c r="N14" s="484"/>
      <c r="O14" s="484"/>
      <c r="P14" s="485"/>
      <c r="Q14" s="476">
        <f t="shared" si="0"/>
        <v>2991.8655891000003</v>
      </c>
    </row>
    <row r="15" spans="1:17" s="486" customFormat="1">
      <c r="A15" s="1038" t="s">
        <v>558</v>
      </c>
      <c r="B15" s="978">
        <f ca="1">SUM(B4:B14)</f>
        <v>91176.678078085024</v>
      </c>
      <c r="C15" s="978">
        <f t="shared" ref="C15:Q15" ca="1" si="1">SUM(C4:C14)</f>
        <v>43997.142857142855</v>
      </c>
      <c r="D15" s="978">
        <f t="shared" ca="1" si="1"/>
        <v>81352.709883291653</v>
      </c>
      <c r="E15" s="978">
        <f t="shared" si="1"/>
        <v>8012.124721364451</v>
      </c>
      <c r="F15" s="978">
        <f t="shared" ca="1" si="1"/>
        <v>47505.411247011529</v>
      </c>
      <c r="G15" s="978">
        <f t="shared" si="1"/>
        <v>80220.814268193382</v>
      </c>
      <c r="H15" s="978">
        <f t="shared" si="1"/>
        <v>11290.666557280094</v>
      </c>
      <c r="I15" s="978">
        <f t="shared" si="1"/>
        <v>0</v>
      </c>
      <c r="J15" s="978">
        <f t="shared" si="1"/>
        <v>913.88671014704005</v>
      </c>
      <c r="K15" s="978">
        <f t="shared" si="1"/>
        <v>0</v>
      </c>
      <c r="L15" s="978">
        <f t="shared" ca="1" si="1"/>
        <v>0</v>
      </c>
      <c r="M15" s="978">
        <f t="shared" si="1"/>
        <v>2865.141793448819</v>
      </c>
      <c r="N15" s="978">
        <f t="shared" ca="1" si="1"/>
        <v>58276.867833729164</v>
      </c>
      <c r="O15" s="978">
        <f t="shared" si="1"/>
        <v>292.34333333333331</v>
      </c>
      <c r="P15" s="978">
        <f t="shared" si="1"/>
        <v>896.13333333333333</v>
      </c>
      <c r="Q15" s="978">
        <f t="shared" ca="1" si="1"/>
        <v>426799.92061636061</v>
      </c>
    </row>
    <row r="17" spans="1:17">
      <c r="A17" s="487" t="s">
        <v>559</v>
      </c>
      <c r="B17" s="786">
        <f ca="1">huishoudens!B10</f>
        <v>5.6985959128081923E-2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1226.921077061287</v>
      </c>
      <c r="C22" s="477">
        <f t="shared" ref="C22:C32" ca="1" si="3">C4*$C$17</f>
        <v>0</v>
      </c>
      <c r="D22" s="477">
        <f t="shared" ref="D22:D32" si="4">D4*$D$17</f>
        <v>11540.592399707009</v>
      </c>
      <c r="E22" s="477">
        <f t="shared" ref="E22:E32" si="5">E4*$E$17</f>
        <v>1194.0203773370727</v>
      </c>
      <c r="F22" s="477">
        <f t="shared" ref="F22:F32" si="6">F4*$F$17</f>
        <v>2248.7768835989723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16210.31073770434</v>
      </c>
    </row>
    <row r="23" spans="1:17">
      <c r="A23" s="476" t="s">
        <v>156</v>
      </c>
      <c r="B23" s="477">
        <f t="shared" ca="1" si="2"/>
        <v>2448.9366662331995</v>
      </c>
      <c r="C23" s="477">
        <f t="shared" ca="1" si="3"/>
        <v>0</v>
      </c>
      <c r="D23" s="477">
        <f t="shared" ca="1" si="4"/>
        <v>2619.1743282635666</v>
      </c>
      <c r="E23" s="477">
        <f t="shared" si="5"/>
        <v>59.769345654530674</v>
      </c>
      <c r="F23" s="477">
        <f t="shared" ca="1" si="6"/>
        <v>2632.0423581184273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7759.9226982697237</v>
      </c>
    </row>
    <row r="24" spans="1:17">
      <c r="A24" s="476" t="s">
        <v>194</v>
      </c>
      <c r="B24" s="477">
        <f t="shared" ca="1" si="2"/>
        <v>47.09678673887197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47.09678673887197</v>
      </c>
    </row>
    <row r="25" spans="1:17">
      <c r="A25" s="476" t="s">
        <v>112</v>
      </c>
      <c r="B25" s="477">
        <f t="shared" ca="1" si="2"/>
        <v>310.12104737246898</v>
      </c>
      <c r="C25" s="477">
        <f t="shared" ca="1" si="3"/>
        <v>0</v>
      </c>
      <c r="D25" s="477">
        <f t="shared" si="4"/>
        <v>268.89206561002726</v>
      </c>
      <c r="E25" s="477">
        <f t="shared" si="5"/>
        <v>31.854875902317566</v>
      </c>
      <c r="F25" s="477">
        <f t="shared" si="6"/>
        <v>5311.1021009682918</v>
      </c>
      <c r="G25" s="477">
        <f t="shared" si="7"/>
        <v>0</v>
      </c>
      <c r="H25" s="477">
        <f t="shared" si="8"/>
        <v>0</v>
      </c>
      <c r="I25" s="477">
        <f t="shared" si="9"/>
        <v>0</v>
      </c>
      <c r="J25" s="477">
        <f t="shared" si="10"/>
        <v>277.34361601692774</v>
      </c>
      <c r="K25" s="477">
        <f t="shared" si="11"/>
        <v>0</v>
      </c>
      <c r="L25" s="477">
        <f t="shared" si="12"/>
        <v>0</v>
      </c>
      <c r="M25" s="477">
        <f t="shared" si="13"/>
        <v>0</v>
      </c>
      <c r="N25" s="477">
        <f t="shared" si="14"/>
        <v>0</v>
      </c>
      <c r="O25" s="477">
        <f t="shared" si="15"/>
        <v>0</v>
      </c>
      <c r="P25" s="478">
        <f t="shared" si="16"/>
        <v>0</v>
      </c>
      <c r="Q25" s="476">
        <f t="shared" ca="1" si="17"/>
        <v>6199.3137058700331</v>
      </c>
    </row>
    <row r="26" spans="1:17">
      <c r="A26" s="476" t="s">
        <v>638</v>
      </c>
      <c r="B26" s="477">
        <f t="shared" ca="1" si="2"/>
        <v>1090.9370211506623</v>
      </c>
      <c r="C26" s="477">
        <f t="shared" ca="1" si="3"/>
        <v>0</v>
      </c>
      <c r="D26" s="477">
        <f t="shared" si="4"/>
        <v>1642.6414283459085</v>
      </c>
      <c r="E26" s="477">
        <f t="shared" si="5"/>
        <v>493.28019141536362</v>
      </c>
      <c r="F26" s="477">
        <f t="shared" si="6"/>
        <v>2492.0234602663877</v>
      </c>
      <c r="G26" s="477">
        <f t="shared" si="7"/>
        <v>0</v>
      </c>
      <c r="H26" s="477">
        <f t="shared" si="8"/>
        <v>0</v>
      </c>
      <c r="I26" s="477">
        <f t="shared" si="9"/>
        <v>0</v>
      </c>
      <c r="J26" s="477">
        <f t="shared" si="10"/>
        <v>46.172279375124447</v>
      </c>
      <c r="K26" s="477">
        <f t="shared" si="11"/>
        <v>0</v>
      </c>
      <c r="L26" s="477">
        <f t="shared" si="12"/>
        <v>0</v>
      </c>
      <c r="M26" s="477">
        <f t="shared" si="13"/>
        <v>0</v>
      </c>
      <c r="N26" s="477">
        <f t="shared" si="14"/>
        <v>0</v>
      </c>
      <c r="O26" s="477">
        <f t="shared" si="15"/>
        <v>0</v>
      </c>
      <c r="P26" s="478">
        <f t="shared" si="16"/>
        <v>0</v>
      </c>
      <c r="Q26" s="476">
        <f t="shared" ca="1" si="17"/>
        <v>5765.0543805534462</v>
      </c>
    </row>
    <row r="27" spans="1:17" s="482" customFormat="1">
      <c r="A27" s="480" t="s">
        <v>564</v>
      </c>
      <c r="B27" s="780">
        <f t="shared" ca="1" si="2"/>
        <v>1.0408377485754166</v>
      </c>
      <c r="C27" s="481">
        <f t="shared" ca="1" si="3"/>
        <v>0</v>
      </c>
      <c r="D27" s="481">
        <f t="shared" si="4"/>
        <v>8.3341414190050198</v>
      </c>
      <c r="E27" s="481">
        <f t="shared" si="5"/>
        <v>39.827521440446162</v>
      </c>
      <c r="F27" s="481">
        <f t="shared" si="6"/>
        <v>0</v>
      </c>
      <c r="G27" s="481">
        <f t="shared" si="7"/>
        <v>21219.373265863942</v>
      </c>
      <c r="H27" s="481">
        <f t="shared" si="8"/>
        <v>2811.3759727627435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24079.951739234712</v>
      </c>
    </row>
    <row r="28" spans="1:17">
      <c r="A28" s="476" t="s">
        <v>554</v>
      </c>
      <c r="B28" s="477">
        <f t="shared" ca="1" si="2"/>
        <v>0</v>
      </c>
      <c r="C28" s="477">
        <f t="shared" ca="1" si="3"/>
        <v>0</v>
      </c>
      <c r="D28" s="477">
        <f t="shared" si="4"/>
        <v>0</v>
      </c>
      <c r="E28" s="477">
        <f t="shared" si="5"/>
        <v>0</v>
      </c>
      <c r="F28" s="477">
        <f t="shared" si="6"/>
        <v>0</v>
      </c>
      <c r="G28" s="477">
        <f t="shared" si="7"/>
        <v>199.58414374369309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199.58414374369309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70.737014086970476</v>
      </c>
      <c r="C32" s="477">
        <f t="shared" ca="1" si="3"/>
        <v>0</v>
      </c>
      <c r="D32" s="477">
        <f t="shared" si="4"/>
        <v>353.61303307940005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424.35004716637053</v>
      </c>
    </row>
    <row r="33" spans="1:17" s="486" customFormat="1">
      <c r="A33" s="1038" t="s">
        <v>558</v>
      </c>
      <c r="B33" s="978">
        <f ca="1">SUM(B22:B32)</f>
        <v>5195.7904503920363</v>
      </c>
      <c r="C33" s="978">
        <f t="shared" ref="C33:Q33" ca="1" si="18">SUM(C22:C32)</f>
        <v>0</v>
      </c>
      <c r="D33" s="978">
        <f t="shared" ca="1" si="18"/>
        <v>16433.247396424918</v>
      </c>
      <c r="E33" s="978">
        <f t="shared" si="18"/>
        <v>1818.7523117497308</v>
      </c>
      <c r="F33" s="978">
        <f t="shared" ca="1" si="18"/>
        <v>12683.944802952079</v>
      </c>
      <c r="G33" s="978">
        <f t="shared" si="18"/>
        <v>21418.957409607636</v>
      </c>
      <c r="H33" s="978">
        <f t="shared" si="18"/>
        <v>2811.3759727627435</v>
      </c>
      <c r="I33" s="978">
        <f t="shared" si="18"/>
        <v>0</v>
      </c>
      <c r="J33" s="978">
        <f t="shared" si="18"/>
        <v>323.51589539205219</v>
      </c>
      <c r="K33" s="978">
        <f t="shared" si="18"/>
        <v>0</v>
      </c>
      <c r="L33" s="978">
        <f t="shared" ca="1" si="18"/>
        <v>0</v>
      </c>
      <c r="M33" s="978">
        <f t="shared" si="18"/>
        <v>0</v>
      </c>
      <c r="N33" s="978">
        <f t="shared" ca="1" si="18"/>
        <v>0</v>
      </c>
      <c r="O33" s="978">
        <f t="shared" si="18"/>
        <v>0</v>
      </c>
      <c r="P33" s="978">
        <f t="shared" si="18"/>
        <v>0</v>
      </c>
      <c r="Q33" s="978">
        <f t="shared" ca="1" si="18"/>
        <v>60685.58423928119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28398.00584985939</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8470.3081993023952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30798</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36232.941176470587</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67666.314049161781</v>
      </c>
      <c r="C10" s="1059">
        <f>SUM(C4:C9)</f>
        <v>0</v>
      </c>
      <c r="D10" s="1059">
        <f t="shared" ref="D10:H10" si="0">SUM(D8:D9)</f>
        <v>0</v>
      </c>
      <c r="E10" s="1059">
        <f t="shared" si="0"/>
        <v>0</v>
      </c>
      <c r="F10" s="1059">
        <f t="shared" si="0"/>
        <v>0</v>
      </c>
      <c r="G10" s="1059">
        <f t="shared" si="0"/>
        <v>0</v>
      </c>
      <c r="H10" s="1059">
        <f t="shared" si="0"/>
        <v>0</v>
      </c>
      <c r="I10" s="1059">
        <f>SUM(I8:I9)</f>
        <v>0</v>
      </c>
      <c r="J10" s="1059">
        <f>SUM(J8:J9)</f>
        <v>36232.941176470587</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5.6985959128081923E-2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43997.142857142855</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51761.344537815123</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43997.142857142855</v>
      </c>
      <c r="C20" s="1059">
        <f>SUM(C17:C19)</f>
        <v>0</v>
      </c>
      <c r="D20" s="1059">
        <f t="shared" ref="D20:H20" si="2">SUM(D17:D19)</f>
        <v>0</v>
      </c>
      <c r="E20" s="1059">
        <f t="shared" si="2"/>
        <v>0</v>
      </c>
      <c r="F20" s="1059">
        <f t="shared" si="2"/>
        <v>0</v>
      </c>
      <c r="G20" s="1059">
        <f t="shared" si="2"/>
        <v>0</v>
      </c>
      <c r="H20" s="1059">
        <f t="shared" si="2"/>
        <v>0</v>
      </c>
      <c r="I20" s="1059">
        <f>SUM(I17:I19)</f>
        <v>0</v>
      </c>
      <c r="J20" s="1059">
        <f>SUM(J17:J19)</f>
        <v>51761.344537815123</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5.6985959128081923E-2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2019-08-12T08:22:42Z</dcterms:modified>
</cp:coreProperties>
</file>