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B72" i="14" s="1"/>
  <c r="B4" i="59" s="1"/>
  <c r="D5" i="17"/>
  <c r="B19" i="6"/>
  <c r="B18"/>
  <c r="B5"/>
  <c r="B6"/>
  <c r="P7" i="48"/>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P25"/>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K18" i="59" l="1"/>
  <c r="K90" i="14"/>
  <c r="N19" i="59"/>
  <c r="N90" i="14"/>
  <c r="L18" i="59"/>
  <c r="L90" i="14"/>
  <c r="O78"/>
  <c r="O9" i="59"/>
  <c r="O10" s="1"/>
  <c r="L78" i="14"/>
  <c r="L8" i="59"/>
  <c r="L10" s="1"/>
  <c r="O29" i="48"/>
  <c r="R9" i="14"/>
  <c r="O31" i="48"/>
  <c r="G78" i="14"/>
  <c r="N10" i="59"/>
  <c r="L20"/>
  <c r="B8" i="18"/>
  <c r="B10" s="1"/>
  <c r="O19"/>
  <c r="K78" i="14"/>
  <c r="B98" i="18"/>
  <c r="C102" s="1"/>
  <c r="H90" i="14"/>
  <c r="H18" i="59"/>
  <c r="H20" s="1"/>
  <c r="H78" i="14"/>
  <c r="H8" i="59"/>
  <c r="H10" s="1"/>
  <c r="O90" i="14"/>
  <c r="E20" i="59"/>
  <c r="K10" i="18"/>
  <c r="N20" i="59"/>
  <c r="B20" i="18"/>
  <c r="K20" i="59"/>
  <c r="D14" i="48"/>
  <c r="R25" i="14"/>
  <c r="O25" i="48"/>
  <c r="F13" i="15"/>
  <c r="L13"/>
  <c r="N13"/>
  <c r="Q77" i="14"/>
  <c r="P9" i="59" s="1"/>
  <c r="O9" i="18"/>
  <c r="O18"/>
  <c r="G88" i="14"/>
  <c r="F89"/>
  <c r="I101" i="18"/>
  <c r="H8" s="1"/>
  <c r="E101"/>
  <c r="E8" s="1"/>
  <c r="H101"/>
  <c r="D101"/>
  <c r="G101"/>
  <c r="C101"/>
  <c r="F101"/>
  <c r="B101"/>
  <c r="C8" s="1"/>
  <c r="I102"/>
  <c r="H17" s="1"/>
  <c r="E102"/>
  <c r="E17" s="1"/>
  <c r="H102"/>
  <c r="D102"/>
  <c r="G102"/>
  <c r="F102"/>
  <c r="B102"/>
  <c r="C17" s="1"/>
  <c r="Q88" i="14"/>
  <c r="P18" i="59" s="1"/>
  <c r="B88" i="14"/>
  <c r="B18" i="59" s="1"/>
  <c r="B77" i="14"/>
  <c r="B9" i="59" s="1"/>
  <c r="Q14" i="48"/>
  <c r="O24"/>
  <c r="O30"/>
  <c r="P24"/>
  <c r="P30"/>
  <c r="C77" i="14"/>
  <c r="C9" i="59" s="1"/>
  <c r="E78" i="14"/>
  <c r="E90"/>
  <c r="N78"/>
  <c r="G90" l="1"/>
  <c r="G18" i="59"/>
  <c r="G20" s="1"/>
  <c r="C89" i="14"/>
  <c r="C19" i="59" s="1"/>
  <c r="F19"/>
  <c r="C88" i="14"/>
  <c r="C18" i="59" s="1"/>
  <c r="B89" i="14"/>
  <c r="B19"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H10"/>
  <c r="H16" s="1"/>
  <c r="G5" i="48"/>
  <c r="M90" i="14"/>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27"/>
  <c r="J32"/>
  <c r="J28"/>
  <c r="J24"/>
  <c r="J29"/>
  <c r="J30"/>
  <c r="O4"/>
  <c r="P11" i="14"/>
  <c r="I27" i="48"/>
  <c r="I25"/>
  <c r="I29"/>
  <c r="I26"/>
  <c r="I28"/>
  <c r="I32"/>
  <c r="I31"/>
  <c r="I30"/>
  <c r="I24"/>
  <c r="I22"/>
  <c r="E11" i="14"/>
  <c r="D4" i="48"/>
  <c r="D22" s="1"/>
  <c r="H32"/>
  <c r="H29"/>
  <c r="H25"/>
  <c r="H26"/>
  <c r="H22"/>
  <c r="H30"/>
  <c r="H28"/>
  <c r="H24"/>
  <c r="H23"/>
  <c r="P4"/>
  <c r="Q11" i="14"/>
  <c r="D11"/>
  <c r="C4" i="48"/>
  <c r="G32"/>
  <c r="G25"/>
  <c r="G29"/>
  <c r="G26"/>
  <c r="G24"/>
  <c r="G22"/>
  <c r="G30"/>
  <c r="G23"/>
  <c r="K28"/>
  <c r="K27"/>
  <c r="K32"/>
  <c r="K24"/>
  <c r="K25"/>
  <c r="K22"/>
  <c r="K29"/>
  <c r="K26"/>
  <c r="K31"/>
  <c r="K30"/>
  <c r="C11" i="14"/>
  <c r="B4" i="48"/>
  <c r="F29"/>
  <c r="F28"/>
  <c r="F32"/>
  <c r="F30"/>
  <c r="F27"/>
  <c r="F31"/>
  <c r="F24"/>
  <c r="N32"/>
  <c r="N29"/>
  <c r="N28"/>
  <c r="N31"/>
  <c r="N24"/>
  <c r="N27"/>
  <c r="N30"/>
  <c r="C19" i="14"/>
  <c r="B10" i="48"/>
  <c r="E32"/>
  <c r="E28"/>
  <c r="E29"/>
  <c r="E24"/>
  <c r="E31"/>
  <c r="E30"/>
  <c r="M26"/>
  <c r="M22"/>
  <c r="M32"/>
  <c r="M25"/>
  <c r="M30"/>
  <c r="M24"/>
  <c r="M29"/>
  <c r="M23"/>
  <c r="K5"/>
  <c r="L10" i="14"/>
  <c r="L16" s="1"/>
  <c r="L27" s="1"/>
  <c r="D28" i="48"/>
  <c r="D30"/>
  <c r="D29"/>
  <c r="D24"/>
  <c r="D31"/>
  <c r="D32"/>
  <c r="L28"/>
  <c r="L27"/>
  <c r="L32"/>
  <c r="L22"/>
  <c r="L30"/>
  <c r="L29"/>
  <c r="L31"/>
  <c r="L24"/>
  <c r="P5"/>
  <c r="P23" s="1"/>
  <c r="Q10" i="14"/>
  <c r="C2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I18" i="14"/>
  <c r="H13" i="48"/>
  <c r="H31" s="1"/>
  <c r="P8"/>
  <c r="P26" s="1"/>
  <c r="Q13" i="14"/>
  <c r="Q16" s="1"/>
  <c r="Q27" s="1"/>
  <c r="Q63" s="1"/>
  <c r="J10"/>
  <c r="J16" s="1"/>
  <c r="J27" s="1"/>
  <c r="J63" s="1"/>
  <c r="I5" i="48"/>
  <c r="P22"/>
  <c r="M12" i="22"/>
  <c r="N18" i="14"/>
  <c r="M13" i="48"/>
  <c r="M31" s="1"/>
  <c r="K24" i="14"/>
  <c r="K26" s="1"/>
  <c r="J7" i="48"/>
  <c r="J25" s="1"/>
  <c r="J46" i="14"/>
  <c r="J61" s="1"/>
  <c r="G11"/>
  <c r="F4" i="48"/>
  <c r="F22" s="1"/>
  <c r="F20" i="14"/>
  <c r="F22" s="1"/>
  <c r="E9" i="48"/>
  <c r="E27" s="1"/>
  <c r="E20" i="14"/>
  <c r="E22" s="1"/>
  <c r="D9" i="48"/>
  <c r="D27" s="1"/>
  <c r="O5"/>
  <c r="O23" s="1"/>
  <c r="P10" i="14"/>
  <c r="B9" i="48"/>
  <c r="C20" i="14"/>
  <c r="K23" i="48"/>
  <c r="K33" s="1"/>
  <c r="K15"/>
  <c r="C22" i="14"/>
  <c r="O22" i="48"/>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E4" i="48"/>
  <c r="F11" i="14"/>
  <c r="R18"/>
  <c r="H19"/>
  <c r="G10" i="48"/>
  <c r="G31"/>
  <c r="Q13"/>
  <c r="F24" i="14"/>
  <c r="F26" s="1"/>
  <c r="E7" i="48"/>
  <c r="E25" s="1"/>
  <c r="O22" i="16"/>
  <c r="P43" i="14" s="1"/>
  <c r="P13"/>
  <c r="P16" s="1"/>
  <c r="P27" s="1"/>
  <c r="O8" i="48"/>
  <c r="I23"/>
  <c r="I33" s="1"/>
  <c r="I15"/>
  <c r="I20" i="14"/>
  <c r="H9" i="48"/>
  <c r="P46" i="14"/>
  <c r="P61" s="1"/>
  <c r="G14" i="22"/>
  <c r="P15" i="48"/>
  <c r="J4"/>
  <c r="K11" i="14"/>
  <c r="N19"/>
  <c r="M10" i="48"/>
  <c r="M28" s="1"/>
  <c r="I22" i="14"/>
  <c r="I27" s="1"/>
  <c r="M14" i="22"/>
  <c r="M18" s="1"/>
  <c r="N50" i="14" s="1"/>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N52"/>
  <c r="N61" s="1"/>
  <c r="R11"/>
  <c r="N20"/>
  <c r="M9" i="48"/>
  <c r="O26"/>
  <c r="O33" s="1"/>
  <c r="O15"/>
  <c r="E5"/>
  <c r="E23" s="1"/>
  <c r="F10" i="14"/>
  <c r="J22" i="48"/>
  <c r="I63" i="14"/>
  <c r="R24"/>
  <c r="R26" s="1"/>
  <c r="G9" i="48"/>
  <c r="H20" i="14"/>
  <c r="R20" s="1"/>
  <c r="G28" i="48"/>
  <c r="Q10"/>
  <c r="E22"/>
  <c r="Q4"/>
  <c r="J5"/>
  <c r="J23" s="1"/>
  <c r="K10" i="14"/>
  <c r="H27" i="48"/>
  <c r="H33" s="1"/>
  <c r="H15"/>
  <c r="P63" i="14"/>
  <c r="R19"/>
  <c r="R22" s="1"/>
  <c r="Q7" i="48"/>
  <c r="E20" i="15"/>
  <c r="F40" i="14" s="1"/>
  <c r="J18" i="16"/>
  <c r="E18"/>
  <c r="F18"/>
  <c r="F22" s="1"/>
  <c r="G43" i="14" s="1"/>
  <c r="N18" i="16"/>
  <c r="G18" i="22"/>
  <c r="H50" i="14" s="1"/>
  <c r="H18" i="22"/>
  <c r="I50" i="14" s="1"/>
  <c r="I52" s="1"/>
  <c r="I61" s="1"/>
  <c r="H63" l="1"/>
  <c r="J22" i="16"/>
  <c r="K43" i="14" s="1"/>
  <c r="K46" s="1"/>
  <c r="K61" s="1"/>
  <c r="J8" i="48"/>
  <c r="K13" i="14"/>
  <c r="G27" i="48"/>
  <c r="G33" s="1"/>
  <c r="G15"/>
  <c r="Q9"/>
  <c r="E8"/>
  <c r="E26" s="1"/>
  <c r="E33" s="1"/>
  <c r="F13" i="14"/>
  <c r="M27" i="48"/>
  <c r="M33" s="1"/>
  <c r="M15"/>
  <c r="N63" i="14"/>
  <c r="H22"/>
  <c r="H27" s="1"/>
  <c r="E22" i="16"/>
  <c r="F43" i="14" s="1"/>
  <c r="K16"/>
  <c r="K27" s="1"/>
  <c r="F16"/>
  <c r="F27" s="1"/>
  <c r="F46"/>
  <c r="F61" s="1"/>
  <c r="N8" i="48"/>
  <c r="N26" s="1"/>
  <c r="O13" i="14"/>
  <c r="N22" i="16"/>
  <c r="O43" i="14" s="1"/>
  <c r="G13"/>
  <c r="R13" s="1"/>
  <c r="F8" i="48"/>
  <c r="J26" l="1"/>
  <c r="J33" s="1"/>
  <c r="J15"/>
  <c r="K63" i="14"/>
  <c r="E15" i="48"/>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<sst xmlns="http://schemas.openxmlformats.org/spreadsheetml/2006/main" count="2644" uniqueCount="980">
  <si>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</si>
  <si>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</si>
  <si>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</si>
  <si>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</si>
  <si>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</si>
  <si>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</si>
  <si>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</si>
  <si>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</si>
  <si>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</si>
  <si>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</si>
  <si>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</si>
  <si>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</si>
  <si>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</si>
  <si>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</si>
  <si>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</si>
  <si>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</si>
  <si>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</si>
  <si>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</si>
  <si>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</si>
  <si>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</si>
  <si>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</si>
  <si>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</si>
  <si>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</si>
  <si>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</si>
  <si>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</si>
  <si>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</si>
  <si>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</si>
  <si>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</si>
  <si>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</si>
  <si>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</si>
  <si>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</si>
  <si>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</si>
  <si>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</si>
  <si>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</si>
  <si>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</si>
  <si>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</si>
  <si>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</si>
  <si>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</si>
  <si>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</si>
  <si>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</si>
  <si>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</si>
  <si>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</si>
  <si>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</si>
  <si>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</si>
  <si>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</si>
  <si>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</si>
  <si>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</si>
  <si>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</si>
  <si>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</si>
  <si>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</si>
  <si>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</si>
  <si>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</si>
  <si>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</si>
  <si>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</si>
  <si>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</si>
  <si>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</si>
  <si>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</si>
  <si>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</si>
  <si>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</si>
  <si>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</si>
  <si>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</si>
  <si>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</si>
  <si>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</si>
  <si>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</si>
  <si>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</si>
  <si>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</si>
  <si>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</si>
  <si>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</si>
  <si>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</si>
  <si>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</si>
  <si>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</si>
  <si>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</si>
  <si>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</si>
  <si>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</si>
  <si>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</si>
  <si>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</si>
  <si>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</si>
  <si>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</si>
  <si>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</si>
  <si>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</si>
  <si>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</si>
  <si>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</si>
  <si>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</si>
  <si>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</si>
  <si>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</si>
  <si>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</si>
  <si>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</si>
  <si>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</si>
  <si>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</si>
  <si>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</si>
  <si>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</si>
  <si>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</si>
  <si>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</si>
  <si>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</si>
  <si>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</si>
  <si>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</si>
  <si>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</si>
  <si>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</si>
  <si>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</si>
  <si>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</si>
  <si>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</si>
  <si>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</si>
  <si>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</si>
  <si>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</si>
  <si>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</si>
  <si>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</si>
  <si>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</si>
  <si>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</si>
  <si>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</si>
  <si>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</si>
  <si>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</si>
  <si>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</si>
  <si>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</si>
  <si>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</si>
  <si>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</si>
  <si>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</si>
  <si>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</si>
  <si>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</si>
  <si>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</si>
  <si>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</si>
  <si>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</si>
  <si>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</si>
  <si>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</si>
  <si>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</si>
  <si>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</si>
  <si>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</si>
  <si>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</si>
  <si>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</si>
  <si>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</si>
  <si>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</si>
  <si>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</si>
  <si>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</si>
  <si>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</si>
  <si>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</si>
  <si>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</si>
  <si>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</si>
  <si>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</si>
  <si>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</si>
  <si>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</si>
  <si>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</si>
  <si>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</si>
  <si>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</si>
  <si>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</si>
  <si>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</si>
  <si>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</si>
  <si>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</si>
  <si>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</si>
  <si>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</si>
  <si>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</si>
  <si>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</si>
  <si>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</si>
  <si>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</si>
  <si>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</si>
  <si>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</si>
  <si>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</si>
  <si>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</si>
  <si>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</si>
  <si>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</si>
  <si>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</si>
  <si>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</si>
  <si>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</si>
  <si>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</si>
  <si>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</si>
  <si>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</si>
  <si>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</si>
  <si>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</si>
  <si>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</si>
  <si>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</si>
  <si>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</si>
  <si>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</si>
  <si>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</si>
  <si>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</si>
  <si>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</si>
  <si>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</si>
  <si>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</si>
  <si>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</si>
  <si>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</si>
  <si>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</si>
  <si>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</si>
  <si>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</si>
  <si>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</si>
  <si>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</si>
  <si>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</si>
  <si>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</si>
  <si>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</si>
  <si>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</si>
  <si>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</si>
  <si>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</si>
  <si>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</si>
  <si>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</si>
  <si>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</si>
  <si>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</si>
  <si>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</si>
  <si>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</si>
  <si>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</si>
  <si>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</si>
  <si>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</si>
  <si>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</si>
  <si>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</si>
  <si>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</si>
  <si>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</si>
  <si>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</si>
  <si>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</si>
  <si>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</si>
  <si>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</si>
  <si>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</si>
  <si>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</si>
  <si>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</si>
  <si>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</si>
  <si>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</si>
  <si>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</si>
  <si>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</si>
  <si>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</si>
  <si>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</si>
  <si>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</si>
  <si>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</si>
  <si>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</si>
  <si>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</si>
  <si>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</si>
  <si>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</si>
  <si>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</si>
  <si>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</si>
  <si>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</si>
  <si>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</si>
  <si>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</si>
  <si>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</si>
  <si>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</si>
  <si>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</si>
  <si>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</si>
  <si>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</si>
  <si>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</si>
  <si>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</si>
  <si>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</si>
  <si>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</si>
  <si>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</si>
  <si>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</si>
  <si>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</si>
  <si>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</si>
  <si>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</si>
  <si>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</si>
  <si>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</si>
  <si>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</si>
  <si>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</si>
  <si>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</si>
  <si>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</si>
  <si>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</si>
  <si>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</si>
  <si>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</si>
  <si>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</si>
  <si>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</si>
  <si>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</si>
  <si>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</si>
  <si>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</si>
  <si>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</si>
  <si>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</si>
  <si>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</si>
  <si>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</si>
  <si>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</si>
  <si>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</si>
  <si>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</si>
  <si>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</si>
  <si>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</si>
  <si>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</si>
  <si>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</si>
  <si>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</si>
  <si>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</si>
  <si>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</si>
  <si>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</si>
  <si>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</si>
  <si>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</si>
  <si>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</si>
  <si>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</si>
  <si>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</si>
  <si>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</si>
  <si>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</si>
  <si>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</si>
  <si>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</si>
  <si>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</si>
  <si>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</si>
  <si>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</si>
  <si>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</si>
  <si>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</si>
  <si>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</si>
  <si>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</si>
  <si>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</si>
  <si>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</si>
  <si>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</si>
  <si>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</si>
  <si>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</si>
  <si>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</si>
  <si>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</si>
  <si>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</si>
  <si>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</si>
  <si>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</si>
  <si>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</si>
  <si>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</si>
  <si>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</si>
  <si>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</si>
  <si>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</si>
  <si>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</si>
  <si>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</si>
  <si>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</si>
  <si>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</si>
  <si>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</si>
  <si>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</si>
  <si>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</si>
  <si>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</si>
  <si>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</si>
  <si>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</si>
  <si>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</si>
  <si>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</si>
  <si>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</si>
  <si>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</si>
  <si>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</si>
  <si>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</si>
  <si>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</si>
  <si>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</si>
  <si>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</si>
  <si>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</si>
  <si>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</si>
  <si>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</si>
  <si>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</si>
  <si>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</si>
  <si>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</si>
  <si>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</si>
  <si>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</si>
  <si>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</si>
  <si>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</si>
  <si>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</si>
  <si>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</si>
  <si>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</si>
  <si>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</si>
  <si>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</si>
  <si>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</si>
  <si>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</si>
  <si>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</si>
  <si>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</si>
  <si>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</si>
  <si>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</si>
  <si>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</si>
  <si>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</si>
  <si>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</si>
  <si>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</si>
  <si>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</si>
  <si>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</si>
  <si>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</si>
  <si>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</si>
  <si>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</si>
  <si>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</si>
  <si>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</si>
  <si>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</si>
  <si>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</si>
  <si>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</si>
  <si>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</si>
  <si>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</si>
  <si>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</si>
  <si>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</si>
  <si>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</si>
  <si>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</si>
  <si>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</si>
  <si>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</si>
  <si>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</si>
  <si>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</si>
  <si>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</si>
  <si>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</si>
  <si>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</si>
  <si>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</si>
  <si>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</si>
  <si>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</si>
  <si>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</si>
  <si>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</si>
  <si>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</si>
  <si>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</si>
  <si>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</si>
  <si>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</si>
  <si>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</si>
  <si>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</si>
  <si>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</si>
  <si>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</si>
  <si>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</si>
  <si>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</si>
  <si>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</si>
  <si>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</si>
  <si>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</si>
  <si>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</si>
  <si>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</si>
  <si>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</si>
  <si>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</si>
  <si>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</si>
  <si>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</si>
  <si>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</si>
  <si>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</si>
  <si>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</si>
  <si>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</si>
  <si>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</si>
  <si>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</si>
  <si>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</si>
  <si>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</si>
  <si>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</si>
  <si>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</si>
  <si>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</si>
  <si>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</si>
  <si>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</si>
  <si>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</si>
  <si>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</si>
  <si>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</si>
  <si>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</si>
  <si>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</si>
  <si>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</si>
  <si>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</si>
  <si>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</si>
  <si>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</si>
  <si>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</si>
  <si>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</si>
  <si>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</si>
  <si>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</si>
  <si>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</si>
  <si>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</si>
  <si>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</si>
  <si>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</si>
  <si>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</si>
  <si>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</si>
  <si>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</si>
  <si>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</si>
  <si>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</si>
  <si>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</si>
  <si>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</si>
  <si>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</si>
  <si>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</si>
  <si>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</si>
  <si>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</si>
  <si>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</si>
  <si>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</si>
  <si>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</si>
  <si>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</si>
  <si>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</si>
  <si>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</si>
  <si>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</si>
  <si>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</si>
  <si>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</si>
  <si>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</si>
  <si>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</si>
  <si>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</si>
  <si>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</si>
  <si>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</si>
  <si>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</si>
  <si>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</si>
  <si>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</si>
  <si>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</si>
  <si>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</si>
  <si>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</si>
  <si>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</si>
  <si>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</si>
  <si>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</si>
  <si>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</si>
  <si>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</si>
  <si>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</si>
  <si>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</si>
  <si>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</si>
  <si>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</si>
  <si>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</si>
  <si>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</si>
  <si>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</si>
  <si>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</si>
  <si>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</si>
  <si>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</si>
  <si>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</si>
  <si>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</si>
  <si>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</si>
  <si>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</si>
  <si>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</si>
  <si>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</si>
  <si>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</si>
  <si>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</si>
  <si>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</si>
  <si>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</si>
  <si>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</si>
  <si>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</si>
  <si>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</si>
  <si>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</si>
  <si>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</si>
  <si>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</si>
  <si>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</si>
  <si>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</si>
  <si>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</si>
  <si>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</si>
  <si>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</si>
  <si>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</si>
  <si>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</si>
  <si>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</si>
  <si>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</si>
  <si>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</si>
  <si>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</si>
  <si>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</si>
  <si>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</si>
  <si>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</si>
  <si>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</si>
  <si>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</si>
  <si>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</si>
  <si>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</si>
  <si>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</si>
  <si>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</si>
  <si>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</si>
  <si>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</si>
  <si>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</si>
  <si>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</si>
  <si>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</si>
  <si>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</si>
  <si>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</si>
  <si>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</si>
  <si>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</si>
  <si>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</si>
  <si>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</si>
  <si>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</si>
  <si>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</si>
  <si>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</si>
  <si>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</si>
  <si>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</si>
  <si>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</si>
  <si>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</si>
  <si>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</si>
  <si>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</si>
  <si>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</si>
  <si>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</si>
  <si>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</si>
  <si>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</si>
  <si>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</si>
  <si>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</si>
  <si>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</si>
  <si>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</si>
  <si>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</si>
  <si>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</si>
  <si>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</si>
  <si>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</si>
  <si>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</si>
  <si>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</si>
  <si>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</si>
  <si>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</si>
  <si>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</si>
  <si>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</si>
  <si>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</si>
  <si>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</si>
  <si>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</si>
  <si>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</si>
  <si>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</si>
  <si>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</si>
  <si>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</si>
  <si>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</si>
  <si>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</si>
  <si>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</si>
  <si>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</si>
  <si>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</si>
  <si>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</si>
  <si>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</si>
  <si>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</si>
  <si>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</si>
  <si>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</si>
  <si>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</si>
  <si>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</si>
  <si>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</si>
  <si>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</si>
  <si>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</si>
  <si>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</si>
  <si>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</si>
  <si>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</si>
  <si>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</si>
  <si>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</si>
  <si>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</si>
  <si>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</si>
  <si>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</si>
  <si>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</si>
  <si>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</si>
  <si>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</si>
  <si>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</si>
  <si>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</si>
  <si>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</si>
  <si>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</si>
  <si>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</si>
  <si>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</si>
  <si>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</si>
  <si>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</si>
  <si>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</si>
  <si>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</si>
  <si>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</si>
  <si>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</si>
  <si>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</si>
  <si>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</si>
  <si>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</si>
  <si>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</si>
  <si>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</si>
  <si>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</si>
  <si>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</si>
  <si>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</si>
  <si>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</si>
  <si>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</si>
  <si>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</si>
  <si>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</si>
  <si>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</si>
  <si>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</si>
  <si>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</si>
  <si>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</si>
  <si>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</si>
  <si>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</si>
  <si>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</si>
  <si>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</si>
  <si>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</si>
  <si>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</si>
  <si>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</si>
  <si>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</si>
  <si>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</si>
  <si>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</si>
  <si>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</si>
  <si>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</si>
  <si>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</si>
  <si>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</si>
  <si>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</si>
  <si>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</si>
  <si>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</si>
  <si>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</si>
  <si>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</si>
  <si>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</si>
  <si>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</si>
  <si>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</si>
  <si>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</si>
  <si>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</si>
  <si>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</si>
  <si>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</si>
  <si>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</si>
  <si>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</si>
  <si>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</si>
  <si>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</si>
  <si>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</si>
  <si>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</si>
  <si>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</si>
  <si>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</si>
  <si>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</si>
  <si>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</si>
  <si>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</si>
  <si>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</si>
  <si>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</si>
  <si>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</si>
  <si>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</si>
  <si>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</si>
  <si>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</si>
  <si>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</si>
  <si>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</si>
  <si>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</si>
  <si>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</si>
  <si>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</si>
  <si>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</si>
  <si>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</si>
  <si>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</si>
  <si>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</si>
  <si>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</si>
  <si>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</si>
  <si>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</si>
  <si>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</si>
  <si>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</si>
  <si>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</si>
  <si>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</si>
  <si>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</si>
  <si>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</si>
  <si>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</si>
  <si>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</si>
  <si>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</si>
  <si>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</si>
  <si>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</si>
  <si>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</si>
  <si>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</si>
  <si>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</si>
  <si>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</si>
  <si>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</si>
  <si>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</si>
  <si>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</si>
  <si>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</si>
  <si>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</si>
  <si>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</si>
  <si>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</si>
  <si>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</si>
  <si>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</si>
  <si>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</si>
  <si>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</si>
  <si>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</si>
  <si>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</si>
  <si>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</si>
  <si>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</si>
  <si>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</si>
  <si>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</si>
  <si>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</si>
  <si>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</si>
  <si>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</si>
  <si>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</si>
  <si>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</si>
  <si>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</si>
  <si>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</si>
  <si>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</si>
  <si>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</si>
  <si>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</si>
  <si>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</si>
  <si>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</si>
  <si>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</si>
  <si>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</si>
  <si>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</si>
  <si>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</si>
  <si>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</si>
  <si>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</si>
  <si>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</si>
  <si>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</si>
  <si>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</si>
  <si>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</si>
  <si>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</si>
  <si>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</si>
  <si>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</si>
  <si>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</si>
  <si>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</si>
  <si>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</si>
  <si>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</si>
  <si>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</si>
  <si>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</si>
  <si>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</si>
  <si>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</si>
  <si>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</si>
  <si>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</si>
  <si>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</si>
  <si>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</si>
  <si>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</si>
  <si>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</si>
  <si>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</si>
  <si>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</si>
  <si>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</si>
  <si>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</si>
  <si>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</si>
  <si>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</si>
  <si>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</si>
  <si>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</si>
  <si>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</si>
  <si>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</si>
  <si>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</si>
  <si>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</si>
  <si>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</si>
  <si>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</si>
  <si>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</si>
  <si>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</si>
  <si>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</si>
  <si>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</si>
  <si>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</si>
  <si>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</si>
  <si>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</si>
  <si>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</si>
  <si>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</si>
  <si>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</si>
  <si>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</si>
  <si>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</si>
  <si>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</si>
  <si>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</si>
  <si>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</si>
  <si>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</si>
  <si>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</si>
  <si>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</si>
  <si>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</si>
  <si>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</si>
  <si>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</si>
  <si>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</si>
  <si>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</si>
  <si>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</si>
  <si>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</si>
  <si>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</si>
  <si>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</si>
  <si>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</si>
  <si>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</si>
  <si>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</si>
  <si>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</si>
  <si>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</si>
  <si>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</si>
  <si>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</si>
  <si>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</si>
  <si>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</si>
  <si>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</si>
  <si>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</si>
  <si>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</si>
  <si>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</si>
  <si>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</si>
  <si>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</si>
  <si>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</si>
  <si>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</si>
  <si>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</si>
  <si>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</si>
  <si>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</si>
  <si>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</si>
  <si>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</si>
  <si>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</si>
  <si>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</si>
  <si>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</si>
  <si>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</si>
  <si>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</si>
  <si>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</si>
  <si>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</si>
  <si>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</si>
  <si>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</si>
  <si>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</si>
  <si>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</si>
  <si>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</si>
  <si>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</si>
  <si>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</si>
  <si>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</si>
  <si>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</si>
  <si>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</si>
  <si>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</si>
  <si>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</si>
  <si>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</si>
  <si>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</si>
  <si>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</si>
  <si>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</si>
  <si>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</si>
  <si>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</si>
  <si>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</si>
  <si>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</si>
  <si>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</si>
  <si>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</si>
  <si>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</si>
  <si>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</si>
  <si>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</si>
  <si>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</si>
  <si>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</si>
  <si>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</si>
  <si>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</si>
  <si>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</si>
  <si>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</si>
  <si>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</si>
  <si>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</si>
  <si>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</si>
  <si>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</si>
  <si>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</si>
  <si>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</si>
  <si>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</si>
  <si>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</si>
  <si>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</si>
  <si>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</si>
  <si>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</si>
  <si>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</si>
  <si>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</si>
  <si>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</si>
  <si>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</si>
  <si>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</si>
  <si>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</si>
  <si>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</si>
  <si>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</si>
  <si>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</si>
  <si>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</si>
  <si>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</si>
  <si>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</si>
  <si>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</si>
  <si>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</si>
  <si>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</si>
  <si>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</si>
  <si>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</si>
  <si>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</si>
  <si>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</si>
  <si>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</si>
  <si>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</si>
  <si>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</si>
  <si>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</si>
  <si>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</si>
  <si>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</si>
  <si>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</si>
  <si>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</si>
  <si>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</si>
  <si>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</si>
  <si>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</si>
  <si>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</si>
  <si>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</si>
  <si>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</si>
  <si>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</si>
  <si>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</si>
  <si>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</si>
  <si>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</si>
  <si>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</si>
  <si>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</si>
  <si>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</si>
  <si>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</si>
  <si>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</si>
  <si>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</si>
  <si>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12035</t>
  </si>
  <si>
    <t>SINT-KATELIJNE-WAVER</t>
  </si>
  <si>
    <t>Paarden&amp;pony's 200 - 600 kg</t>
  </si>
  <si>
    <t>Paarden&amp;pony's &lt; 200 kg</t>
  </si>
  <si>
    <t>referentietaak LNE (2017); Jaarverslag De Lijn (2015)</t>
  </si>
  <si>
    <t>op basis van VEA (maart 2018) en Inventaris Hernieuwbare Energiebronnen (juni 2018)</t>
  </si>
  <si>
    <t>VEA (januari 2017)</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</si>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</sst>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158395.51989260639</c:v>
                </c:pt>
                <c:pt idx="1">
                  <c:v>114343.66739754233</c:v>
                </c:pt>
                <c:pt idx="2">
                  <c:v>1496.998</c:v>
                </c:pt>
                <c:pt idx="3">
                  <c:v>275961.84526691429</c:v>
                </c:pt>
                <c:pt idx="4">
                  <c:v>15878.228076679819</c:v>
                </c:pt>
                <c:pt idx="5">
                  <c:v>68204.473129753111</c:v>
                </c:pt>
                <c:pt idx="6">
                  <c:v>2499.7829887242983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158395.51989260639</c:v>
                </c:pt>
                <c:pt idx="1">
                  <c:v>114343.66739754233</c:v>
                </c:pt>
                <c:pt idx="2">
                  <c:v>1496.998</c:v>
                </c:pt>
                <c:pt idx="3">
                  <c:v>275961.84526691429</c:v>
                </c:pt>
                <c:pt idx="4">
                  <c:v>15878.228076679819</c:v>
                </c:pt>
                <c:pt idx="5">
                  <c:v>68204.473129753111</c:v>
                </c:pt>
                <c:pt idx="6">
                  <c:v>2499.7829887242983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32259.859737148487</c:v>
                </c:pt>
                <c:pt idx="2">
                  <c:v>24222.588685561626</c:v>
                </c:pt>
                <c:pt idx="3">
                  <c:v>314.47860655585356</c:v>
                </c:pt>
                <c:pt idx="4">
                  <c:v>61346.050828532723</c:v>
                </c:pt>
                <c:pt idx="5">
                  <c:v>3146.4994205203297</c:v>
                </c:pt>
                <c:pt idx="6">
                  <c:v>17439.406956395243</c:v>
                </c:pt>
                <c:pt idx="7">
                  <c:v>647.36232687706342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13568"/>
      </c:barChart>
      <c:catAx>
        <c:axId val="183823360"/>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32259.859737148487</c:v>
                </c:pt>
                <c:pt idx="2">
                  <c:v>24222.588685561626</c:v>
                </c:pt>
                <c:pt idx="3">
                  <c:v>314.47860655585356</c:v>
                </c:pt>
                <c:pt idx="4">
                  <c:v>61346.050828532723</c:v>
                </c:pt>
                <c:pt idx="5">
                  <c:v>3146.4994205203297</c:v>
                </c:pt>
                <c:pt idx="6">
                  <c:v>17439.406956395243</c:v>
                </c:pt>
                <c:pt idx="7">
                  <c:v>647.36232687706342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0.21007283012793174</v>
      </c>
      <c r="C17" s="524">
        <f ca="1">'EF ele_warmte'!B22</f>
        <v>0.22224334193648712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0.21007283012793174</v>
      </c>
      <c r="C29" s="525">
        <f ca="1">'EF ele_warmte'!B22</f>
        <v>0.22224334193648712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7946</v>
      </c>
      <c r="C9" s="342">
        <v>8507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1221.69</v>
      </c>
    </row>
    <row r="15" spans="1:6">
      <c r="A15" s="348" t="s">
        <v>184</v>
      </c>
      <c r="B15" s="334">
        <v>3</v>
      </c>
    </row>
    <row r="16" spans="1:6">
      <c r="A16" s="348" t="s">
        <v>6</v>
      </c>
      <c r="B16" s="334">
        <v>383</v>
      </c>
    </row>
    <row r="17" spans="1:6">
      <c r="A17" s="348" t="s">
        <v>7</v>
      </c>
      <c r="B17" s="334">
        <v>200</v>
      </c>
    </row>
    <row r="18" spans="1:6">
      <c r="A18" s="348" t="s">
        <v>8</v>
      </c>
      <c r="B18" s="334">
        <v>336</v>
      </c>
    </row>
    <row r="19" spans="1:6">
      <c r="A19" s="348" t="s">
        <v>9</v>
      </c>
      <c r="B19" s="334">
        <v>266</v>
      </c>
    </row>
    <row r="20" spans="1:6">
      <c r="A20" s="348" t="s">
        <v>10</v>
      </c>
      <c r="B20" s="334">
        <v>254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89</v>
      </c>
    </row>
    <row r="27" spans="1:6">
      <c r="A27" s="348" t="s">
        <v>17</v>
      </c>
      <c r="B27" s="334">
        <v>0</v>
      </c>
    </row>
    <row r="28" spans="1:6" s="356" customFormat="1">
      <c r="A28" s="355" t="s">
        <v>18</v>
      </c>
      <c r="B28" s="355">
        <v>15873</v>
      </c>
    </row>
    <row r="29" spans="1:6">
      <c r="A29" s="355" t="s">
        <v>884</v>
      </c>
      <c r="B29" s="355">
        <v>488</v>
      </c>
      <c r="C29" s="356"/>
      <c r="D29" s="356"/>
      <c r="E29" s="356"/>
      <c r="F29" s="356"/>
    </row>
    <row r="30" spans="1:6">
      <c r="A30" s="355" t="s">
        <v>885</v>
      </c>
      <c r="B30" s="341">
        <v>82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29567921.423</v>
      </c>
      <c r="E38" s="334">
        <v>5</v>
      </c>
      <c r="F38" s="334">
        <v>491212.27028</v>
      </c>
    </row>
    <row r="39" spans="1:6">
      <c r="A39" s="348" t="s">
        <v>30</v>
      </c>
      <c r="B39" s="348" t="s">
        <v>31</v>
      </c>
      <c r="C39" s="334">
        <v>5145</v>
      </c>
      <c r="D39" s="334">
        <v>87009356.544</v>
      </c>
      <c r="E39" s="334">
        <v>7642</v>
      </c>
      <c r="F39" s="334">
        <v>30350355.590999998</v>
      </c>
    </row>
    <row r="40" spans="1:6">
      <c r="A40" s="348" t="s">
        <v>30</v>
      </c>
      <c r="B40" s="348" t="s">
        <v>29</v>
      </c>
      <c r="C40" s="334">
        <v>0</v>
      </c>
      <c r="D40" s="334">
        <v>0</v>
      </c>
      <c r="E40" s="334">
        <v>0</v>
      </c>
      <c r="F40" s="334">
        <v>0</v>
      </c>
    </row>
    <row r="41" spans="1:6">
      <c r="A41" s="348" t="s">
        <v>32</v>
      </c>
      <c r="B41" s="348" t="s">
        <v>33</v>
      </c>
      <c r="C41" s="334">
        <v>44</v>
      </c>
      <c r="D41" s="334">
        <v>1171183.5769</v>
      </c>
      <c r="E41" s="334">
        <v>114</v>
      </c>
      <c r="F41" s="334">
        <v>1400883.7453999999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327314.10421999998</v>
      </c>
      <c r="E44" s="334">
        <v>8</v>
      </c>
      <c r="F44" s="334">
        <v>432020.46007999999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39</v>
      </c>
      <c r="D48" s="334">
        <v>5430431.7126000002</v>
      </c>
      <c r="E48" s="334">
        <v>57</v>
      </c>
      <c r="F48" s="334">
        <v>2759945.6058</v>
      </c>
    </row>
    <row r="49" spans="1:6">
      <c r="A49" s="348" t="s">
        <v>32</v>
      </c>
      <c r="B49" s="348" t="s">
        <v>40</v>
      </c>
      <c r="C49" s="334">
        <v>0</v>
      </c>
      <c r="D49" s="334">
        <v>0</v>
      </c>
      <c r="E49" s="334">
        <v>0</v>
      </c>
      <c r="F49" s="334">
        <v>0</v>
      </c>
    </row>
    <row r="50" spans="1:6">
      <c r="A50" s="348" t="s">
        <v>32</v>
      </c>
      <c r="B50" s="348" t="s">
        <v>41</v>
      </c>
      <c r="C50" s="334">
        <v>5</v>
      </c>
      <c r="D50" s="334">
        <v>292836.64059999998</v>
      </c>
      <c r="E50" s="334">
        <v>13</v>
      </c>
      <c r="F50" s="334">
        <v>746523.27807999996</v>
      </c>
    </row>
    <row r="51" spans="1:6">
      <c r="A51" s="348" t="s">
        <v>42</v>
      </c>
      <c r="B51" s="348" t="s">
        <v>43</v>
      </c>
      <c r="C51" s="334">
        <v>53</v>
      </c>
      <c r="D51" s="334">
        <v>486449297.79000002</v>
      </c>
      <c r="E51" s="334">
        <v>170</v>
      </c>
      <c r="F51" s="334">
        <v>5832088.4463999998</v>
      </c>
    </row>
    <row r="52" spans="1:6">
      <c r="A52" s="348" t="s">
        <v>42</v>
      </c>
      <c r="B52" s="348" t="s">
        <v>29</v>
      </c>
      <c r="C52" s="334">
        <v>9</v>
      </c>
      <c r="D52" s="334">
        <v>7544413.0176999997</v>
      </c>
      <c r="E52" s="334">
        <v>13</v>
      </c>
      <c r="F52" s="334">
        <v>479925.94498999999</v>
      </c>
    </row>
    <row r="53" spans="1:6">
      <c r="A53" s="348" t="s">
        <v>44</v>
      </c>
      <c r="B53" s="348" t="s">
        <v>45</v>
      </c>
      <c r="C53" s="334">
        <v>118</v>
      </c>
      <c r="D53" s="334">
        <v>2893360.7422000002</v>
      </c>
      <c r="E53" s="334">
        <v>247</v>
      </c>
      <c r="F53" s="334">
        <v>1047795.4642</v>
      </c>
    </row>
    <row r="54" spans="1:6">
      <c r="A54" s="348" t="s">
        <v>46</v>
      </c>
      <c r="B54" s="348" t="s">
        <v>47</v>
      </c>
      <c r="C54" s="334">
        <v>0</v>
      </c>
      <c r="D54" s="334">
        <v>0</v>
      </c>
      <c r="E54" s="334">
        <v>1</v>
      </c>
      <c r="F54" s="334">
        <v>1496998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762625.60085000005</v>
      </c>
      <c r="E57" s="334">
        <v>66</v>
      </c>
      <c r="F57" s="334">
        <v>509377.20659999998</v>
      </c>
    </row>
    <row r="58" spans="1:6">
      <c r="A58" s="348" t="s">
        <v>49</v>
      </c>
      <c r="B58" s="348" t="s">
        <v>51</v>
      </c>
      <c r="C58" s="334">
        <v>36</v>
      </c>
      <c r="D58" s="334">
        <v>7314461.8110999996</v>
      </c>
      <c r="E58" s="334">
        <v>50</v>
      </c>
      <c r="F58" s="334">
        <v>1764442.0405999999</v>
      </c>
    </row>
    <row r="59" spans="1:6">
      <c r="A59" s="348" t="s">
        <v>49</v>
      </c>
      <c r="B59" s="348" t="s">
        <v>52</v>
      </c>
      <c r="C59" s="334">
        <v>102</v>
      </c>
      <c r="D59" s="334">
        <v>5748880.2432000004</v>
      </c>
      <c r="E59" s="334">
        <v>200</v>
      </c>
      <c r="F59" s="334">
        <v>30551850.338</v>
      </c>
    </row>
    <row r="60" spans="1:6">
      <c r="A60" s="348" t="s">
        <v>49</v>
      </c>
      <c r="B60" s="348" t="s">
        <v>53</v>
      </c>
      <c r="C60" s="334">
        <v>70</v>
      </c>
      <c r="D60" s="334">
        <v>4807546.5508000003</v>
      </c>
      <c r="E60" s="334">
        <v>127</v>
      </c>
      <c r="F60" s="334">
        <v>2745780.7853999999</v>
      </c>
    </row>
    <row r="61" spans="1:6">
      <c r="A61" s="348" t="s">
        <v>49</v>
      </c>
      <c r="B61" s="348" t="s">
        <v>54</v>
      </c>
      <c r="C61" s="334">
        <v>123</v>
      </c>
      <c r="D61" s="334">
        <v>5577366.9455000004</v>
      </c>
      <c r="E61" s="334">
        <v>237</v>
      </c>
      <c r="F61" s="334">
        <v>3112324.0893000001</v>
      </c>
    </row>
    <row r="62" spans="1:6">
      <c r="A62" s="348" t="s">
        <v>49</v>
      </c>
      <c r="B62" s="348" t="s">
        <v>55</v>
      </c>
      <c r="C62" s="334">
        <v>6</v>
      </c>
      <c r="D62" s="334">
        <v>2087609.5889000001</v>
      </c>
      <c r="E62" s="334">
        <v>11</v>
      </c>
      <c r="F62" s="334">
        <v>657492.11898000003</v>
      </c>
    </row>
    <row r="63" spans="1:6">
      <c r="A63" s="348" t="s">
        <v>49</v>
      </c>
      <c r="B63" s="348" t="s">
        <v>29</v>
      </c>
      <c r="C63" s="334">
        <v>129</v>
      </c>
      <c r="D63" s="334">
        <v>26603773.511999998</v>
      </c>
      <c r="E63" s="334">
        <v>157</v>
      </c>
      <c r="F63" s="334">
        <v>14187659.836999999</v>
      </c>
    </row>
    <row r="64" spans="1:6">
      <c r="A64" s="348" t="s">
        <v>56</v>
      </c>
      <c r="B64" s="348" t="s">
        <v>57</v>
      </c>
      <c r="C64" s="334">
        <v>0</v>
      </c>
      <c r="D64" s="334">
        <v>0</v>
      </c>
      <c r="E64" s="334">
        <v>0</v>
      </c>
      <c r="F64" s="334">
        <v>0</v>
      </c>
    </row>
    <row r="65" spans="1:6">
      <c r="A65" s="348" t="s">
        <v>56</v>
      </c>
      <c r="B65" s="348" t="s">
        <v>29</v>
      </c>
      <c r="C65" s="334">
        <v>5</v>
      </c>
      <c r="D65" s="334">
        <v>185454.32745000001</v>
      </c>
      <c r="E65" s="334">
        <v>7</v>
      </c>
      <c r="F65" s="334">
        <v>79643.604154000001</v>
      </c>
    </row>
    <row r="66" spans="1:6">
      <c r="A66" s="348" t="s">
        <v>56</v>
      </c>
      <c r="B66" s="348" t="s">
        <v>58</v>
      </c>
      <c r="C66" s="334">
        <v>0</v>
      </c>
      <c r="D66" s="334">
        <v>0</v>
      </c>
      <c r="E66" s="334">
        <v>11</v>
      </c>
      <c r="F66" s="334">
        <v>202325</v>
      </c>
    </row>
    <row r="67" spans="1:6">
      <c r="A67" s="355" t="s">
        <v>56</v>
      </c>
      <c r="B67" s="355" t="s">
        <v>59</v>
      </c>
      <c r="C67" s="334">
        <v>0</v>
      </c>
      <c r="D67" s="334">
        <v>0</v>
      </c>
      <c r="E67" s="334">
        <v>0</v>
      </c>
      <c r="F67" s="334">
        <v>0</v>
      </c>
    </row>
    <row r="68" spans="1:6">
      <c r="A68" s="341" t="s">
        <v>56</v>
      </c>
      <c r="B68" s="341" t="s">
        <v>60</v>
      </c>
      <c r="C68" s="334">
        <v>6</v>
      </c>
      <c r="D68" s="334">
        <v>293048.56955999997</v>
      </c>
      <c r="E68" s="334">
        <v>10</v>
      </c>
      <c r="F68" s="334">
        <v>160797.17673000001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65898199</v>
      </c>
      <c r="E73" s="475">
        <v>71680464.487665668</v>
      </c>
    </row>
    <row r="74" spans="1:6">
      <c r="A74" s="348" t="s">
        <v>64</v>
      </c>
      <c r="B74" s="348" t="s">
        <v>667</v>
      </c>
      <c r="C74" s="1294" t="s">
        <v>669</v>
      </c>
      <c r="D74" s="475">
        <v>5084542.1844949648</v>
      </c>
      <c r="E74" s="475">
        <v>5539265.7813266115</v>
      </c>
    </row>
    <row r="75" spans="1:6">
      <c r="A75" s="348" t="s">
        <v>65</v>
      </c>
      <c r="B75" s="348" t="s">
        <v>666</v>
      </c>
      <c r="C75" s="1294" t="s">
        <v>670</v>
      </c>
      <c r="D75" s="475">
        <v>15729934</v>
      </c>
      <c r="E75" s="475">
        <v>16905058.577839609</v>
      </c>
    </row>
    <row r="76" spans="1:6">
      <c r="A76" s="348" t="s">
        <v>65</v>
      </c>
      <c r="B76" s="348" t="s">
        <v>667</v>
      </c>
      <c r="C76" s="1294" t="s">
        <v>671</v>
      </c>
      <c r="D76" s="475">
        <v>434035.18449496466</v>
      </c>
      <c r="E76" s="475">
        <v>492064.90704583691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671407.63101007068</v>
      </c>
      <c r="C83" s="475">
        <v>671407.63101007068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4572.0899584184463</v>
      </c>
    </row>
    <row r="92" spans="1:6">
      <c r="A92" s="341" t="s">
        <v>69</v>
      </c>
      <c r="B92" s="342">
        <v>5325.9275889904929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4</v>
      </c>
    </row>
    <row r="131" spans="1:6">
      <c r="A131" s="348" t="s">
        <v>296</v>
      </c>
      <c r="B131" s="334">
        <v>2</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108302.93125860672</v>
      </c>
      <c r="C3" s="43" t="s">
        <v>170</v>
      </c>
      <c r="D3" s="43"/>
      <c r="E3" s="154"/>
      <c r="F3" s="43"/>
      <c r="G3" s="43"/>
      <c r="H3" s="43"/>
      <c r="I3" s="43"/>
      <c r="J3" s="43"/>
      <c r="K3" s="96"/>
    </row>
    <row r="4" spans="1:11">
      <c r="A4" s="383" t="s">
        <v>171</v>
      </c>
      <c r="B4" s="49">
        <f>IF(ISERROR('SEAP template'!B78+'SEAP template'!C78),0,'SEAP template'!B78+'SEAP template'!C78)</f>
        <v>180745.76754740893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37969.774922329474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0.21007283012793174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52989.273649099094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238429.07142857133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0.22224334193648712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1496.998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1496.998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0.21007283012793174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314.47860655585356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30350.355591</v>
      </c>
      <c r="C5" s="17">
        <f>IF(ISERROR('Eigen informatie GS &amp; warmtenet'!B57),0,'Eigen informatie GS &amp; warmtenet'!B57)</f>
        <v>0</v>
      </c>
      <c r="D5" s="30">
        <f>(SUM(HH_hh_gas_kWh,HH_rest_gas_kWh)/1000)*0.902</f>
        <v>78482.439602687999</v>
      </c>
      <c r="E5" s="17">
        <f>B46*B57</f>
        <v>3700.1923416340555</v>
      </c>
      <c r="F5" s="17">
        <f>B51*B62</f>
        <v>30447.166396111734</v>
      </c>
      <c r="G5" s="18"/>
      <c r="H5" s="17"/>
      <c r="I5" s="17"/>
      <c r="J5" s="17">
        <f>B50*B61+C50*C61</f>
        <v>284.78213711248361</v>
      </c>
      <c r="K5" s="17"/>
      <c r="L5" s="17"/>
      <c r="M5" s="17"/>
      <c r="N5" s="17">
        <f>B48*B59+C48*C59</f>
        <v>8827.3838656416683</v>
      </c>
      <c r="O5" s="17">
        <f>B69*B70*B71</f>
        <v>339.2433333333334</v>
      </c>
      <c r="P5" s="17">
        <f>B77*B78*B79/1000-B77*B78*B79/1000/B80</f>
        <v>1391.8666666666668</v>
      </c>
    </row>
    <row r="6" spans="1:16">
      <c r="A6" s="16" t="s">
        <v>624</v>
      </c>
      <c r="B6" s="788">
        <f>kWh_PV_kleiner_dan_10kW</f>
        <v>4572.0899584184463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34922.445549418444</v>
      </c>
      <c r="C8" s="21">
        <f>C5</f>
        <v>0</v>
      </c>
      <c r="D8" s="21">
        <f>D5</f>
        <v>78482.439602687999</v>
      </c>
      <c r="E8" s="21">
        <f>E5</f>
        <v>3700.1923416340555</v>
      </c>
      <c r="F8" s="21">
        <f>F5</f>
        <v>30447.166396111734</v>
      </c>
      <c r="G8" s="21"/>
      <c r="H8" s="21"/>
      <c r="I8" s="21"/>
      <c r="J8" s="21">
        <f>J5</f>
        <v>284.78213711248361</v>
      </c>
      <c r="K8" s="21"/>
      <c r="L8" s="21">
        <f>L5</f>
        <v>0</v>
      </c>
      <c r="M8" s="21">
        <f>M5</f>
        <v>0</v>
      </c>
      <c r="N8" s="21">
        <f>N5</f>
        <v>8827.3838656416683</v>
      </c>
      <c r="O8" s="21">
        <f>O5</f>
        <v>339.2433333333334</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0.21007283012793174</v>
      </c>
      <c r="C10" s="25">
        <f ca="1">'EF ele_warmte'!B22</f>
        <v>0.22224334193648712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7336.2569715549262</v>
      </c>
      <c r="C12" s="23">
        <f ca="1">C10*C8</f>
        <v>0</v>
      </c>
      <c r="D12" s="23">
        <f>D8*D10</f>
        <v>15853.452799742976</v>
      </c>
      <c r="E12" s="23">
        <f>E10*E8</f>
        <v>839.94366155093064</v>
      </c>
      <c r="F12" s="23">
        <f>F10*F8</f>
        <v>8129.3934277618337</v>
      </c>
      <c r="G12" s="23"/>
      <c r="H12" s="23"/>
      <c r="I12" s="23"/>
      <c r="J12" s="23">
        <f>J10*J8</f>
        <v>100.81287653781919</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7946</v>
      </c>
      <c r="C28" s="36"/>
      <c r="D28" s="228"/>
    </row>
    <row r="29" spans="1:7" s="15" customFormat="1">
      <c r="A29" s="230" t="s">
        <v>699</v>
      </c>
      <c r="B29" s="37">
        <f>SUM(HH_hh_gas_aantal,HH_rest_gas_aantal)</f>
        <v>5145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5145</v>
      </c>
      <c r="C32" s="167">
        <f>IF(ISERROR(B32/SUM($B$32,$B$34,$B$35,$B$36,$B$38,$B$39)*100),0,B32/SUM($B$32,$B$34,$B$35,$B$36,$B$38,$B$39)*100)</f>
        <v>65.349930140988192</v>
      </c>
      <c r="D32" s="233"/>
      <c r="G32" s="15"/>
    </row>
    <row r="33" spans="1:7">
      <c r="A33" s="171" t="s">
        <v>72</v>
      </c>
      <c r="B33" s="34" t="s">
        <v>111</v>
      </c>
      <c r="C33" s="167"/>
      <c r="D33" s="233"/>
      <c r="G33" s="15"/>
    </row>
    <row r="34" spans="1:7">
      <c r="A34" s="171" t="s">
        <v>73</v>
      </c>
      <c r="B34" s="33">
        <f>IF((($B$28-$B$32-$B$39-$B$77-$B$38)*C20/100)&lt;0,0,($B$28-$B$32-$B$39-$B$77-$B$38)*C20/100)</f>
        <v>163.59583952451712</v>
      </c>
      <c r="C34" s="167">
        <f>IF(ISERROR(B34/SUM($B$32,$B$34,$B$35,$B$36,$B$38,$B$39)*100),0,B34/SUM($B$32,$B$34,$B$35,$B$36,$B$38,$B$39)*100)</f>
        <v>2.0779352156041804</v>
      </c>
      <c r="D34" s="233"/>
      <c r="G34" s="15"/>
    </row>
    <row r="35" spans="1:7">
      <c r="A35" s="171" t="s">
        <v>74</v>
      </c>
      <c r="B35" s="33">
        <f>IF((($B$28-$B$32-$B$39-$B$77-$B$38)*C21/100)&lt;0,0,($B$28-$B$32-$B$39-$B$77-$B$38)*C21/100)</f>
        <v>1166.9836552748886</v>
      </c>
      <c r="C35" s="167">
        <f>IF(ISERROR(B35/SUM($B$32,$B$34,$B$35,$B$36,$B$38,$B$39)*100),0,B35/SUM($B$32,$B$34,$B$35,$B$36,$B$38,$B$39)*100)</f>
        <v>14.822604537976487</v>
      </c>
      <c r="D35" s="233"/>
      <c r="G35" s="15"/>
    </row>
    <row r="36" spans="1:7">
      <c r="A36" s="171" t="s">
        <v>75</v>
      </c>
      <c r="B36" s="33">
        <f>IF((($B$28-$B$32-$B$39-$B$77-$B$38)*C22/100)&lt;0,0,($B$28-$B$32-$B$39-$B$77-$B$38)*C22/100)</f>
        <v>137.42050520059436</v>
      </c>
      <c r="C36" s="167">
        <f>IF(ISERROR(B36/SUM($B$32,$B$34,$B$35,$B$36,$B$38,$B$39)*100),0,B36/SUM($B$32,$B$34,$B$35,$B$36,$B$38,$B$39)*100)</f>
        <v>1.7454655811075113</v>
      </c>
      <c r="D36" s="233"/>
      <c r="G36" s="15"/>
    </row>
    <row r="37" spans="1:7">
      <c r="A37" s="171" t="s">
        <v>76</v>
      </c>
      <c r="B37" s="34" t="s">
        <v>111</v>
      </c>
      <c r="C37" s="167"/>
      <c r="D37" s="173"/>
      <c r="G37" s="15"/>
    </row>
    <row r="38" spans="1:7">
      <c r="A38" s="171" t="s">
        <v>77</v>
      </c>
      <c r="B38" s="33">
        <f>IF((B24-(B29-B18)*0.1)&lt;0,0,B24-(B29-B18)*0.1)</f>
        <v>9.1999999999999886</v>
      </c>
      <c r="C38" s="167">
        <f>IF(ISERROR(B38/SUM($B$32,$B$34,$B$35,$B$36,$B$38,$B$39)*100),0,B38/SUM($B$32,$B$34,$B$35,$B$36,$B$38,$B$39)*100)</f>
        <v>0.11685507430458514</v>
      </c>
      <c r="D38" s="234"/>
      <c r="G38" s="15"/>
    </row>
    <row r="39" spans="1:7">
      <c r="A39" s="171" t="s">
        <v>78</v>
      </c>
      <c r="B39" s="33">
        <f>IF((B25-(B29-B18))&lt;0,0,B25-(B29-B18)*0.9)</f>
        <v>1250.8</v>
      </c>
      <c r="C39" s="167">
        <f>IF(ISERROR(B39/SUM($B$32,$B$34,$B$35,$B$36,$B$38,$B$39)*100),0,B39/SUM($B$32,$B$34,$B$35,$B$36,$B$38,$B$39)*100)</f>
        <v>15.887209450019052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5145</v>
      </c>
      <c r="C44" s="34" t="s">
        <v>111</v>
      </c>
      <c r="D44" s="174"/>
    </row>
    <row r="45" spans="1:7">
      <c r="A45" s="171" t="s">
        <v>72</v>
      </c>
      <c r="B45" s="33" t="str">
        <f t="shared" si="0"/>
        <v>-</v>
      </c>
      <c r="C45" s="34" t="s">
        <v>111</v>
      </c>
      <c r="D45" s="174"/>
    </row>
    <row r="46" spans="1:7">
      <c r="A46" s="171" t="s">
        <v>73</v>
      </c>
      <c r="B46" s="33">
        <f t="shared" si="0"/>
        <v>163.59583952451712</v>
      </c>
      <c r="C46" s="34" t="s">
        <v>111</v>
      </c>
      <c r="D46" s="174"/>
    </row>
    <row r="47" spans="1:7">
      <c r="A47" s="171" t="s">
        <v>74</v>
      </c>
      <c r="B47" s="33">
        <f t="shared" si="0"/>
        <v>1166.9836552748886</v>
      </c>
      <c r="C47" s="34" t="s">
        <v>111</v>
      </c>
      <c r="D47" s="174"/>
    </row>
    <row r="48" spans="1:7">
      <c r="A48" s="171" t="s">
        <v>75</v>
      </c>
      <c r="B48" s="33">
        <f t="shared" si="0"/>
        <v>137.42050520059436</v>
      </c>
      <c r="C48" s="33">
        <f>B48*10</f>
        <v>1374.2050520059436</v>
      </c>
      <c r="D48" s="234"/>
    </row>
    <row r="49" spans="1:6">
      <c r="A49" s="171" t="s">
        <v>76</v>
      </c>
      <c r="B49" s="33" t="str">
        <f t="shared" si="0"/>
        <v>-</v>
      </c>
      <c r="C49" s="34" t="s">
        <v>111</v>
      </c>
      <c r="D49" s="234"/>
    </row>
    <row r="50" spans="1:6">
      <c r="A50" s="171" t="s">
        <v>77</v>
      </c>
      <c r="B50" s="33">
        <f t="shared" si="0"/>
        <v>9.1999999999999886</v>
      </c>
      <c r="C50" s="33">
        <f>B50*2</f>
        <v>18.399999999999977</v>
      </c>
      <c r="D50" s="234"/>
    </row>
    <row r="51" spans="1:6">
      <c r="A51" s="171" t="s">
        <v>78</v>
      </c>
      <c r="B51" s="33">
        <f t="shared" si="0"/>
        <v>1250.8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53528.92641588</v>
      </c>
      <c r="C5" s="17">
        <f>IF(ISERROR('Eigen informatie GS &amp; warmtenet'!B58),0,'Eigen informatie GS &amp; warmtenet'!B58)</f>
        <v>0</v>
      </c>
      <c r="D5" s="30">
        <f>SUM(D6:D12)</f>
        <v>47717.842355619709</v>
      </c>
      <c r="E5" s="17">
        <f>SUM(E6:E12)</f>
        <v>1347.8208566919802</v>
      </c>
      <c r="F5" s="17">
        <f>SUM(F6:F12)</f>
        <v>12404.864432311606</v>
      </c>
      <c r="G5" s="18"/>
      <c r="H5" s="17"/>
      <c r="I5" s="17"/>
      <c r="J5" s="17">
        <f>SUM(J6:J12)</f>
        <v>0</v>
      </c>
      <c r="K5" s="17"/>
      <c r="L5" s="17"/>
      <c r="M5" s="17"/>
      <c r="N5" s="17">
        <f>SUM(N6:N12)</f>
        <v>1715.362384658092</v>
      </c>
      <c r="O5" s="17">
        <f>B38*B39*B40</f>
        <v>6.2533333333333339</v>
      </c>
      <c r="P5" s="17">
        <f>B46*B47*B48/1000-B46*B47*B48/1000/B49</f>
        <v>38.133333333333333</v>
      </c>
      <c r="R5" s="32"/>
    </row>
    <row r="6" spans="1:18">
      <c r="A6" s="32" t="s">
        <v>54</v>
      </c>
      <c r="B6" s="37">
        <f>B26</f>
        <v>3112.3240893000002</v>
      </c>
      <c r="C6" s="33"/>
      <c r="D6" s="37">
        <f>IF(ISERROR(TER_kantoor_gas_kWh/1000),0,TER_kantoor_gas_kWh/1000)*0.902</f>
        <v>5030.7849848409996</v>
      </c>
      <c r="E6" s="33">
        <f>$C$26*'E Balans VL '!I12/100/3.6*1000000</f>
        <v>40.744156156294622</v>
      </c>
      <c r="F6" s="33">
        <f>$C$26*('E Balans VL '!L12+'E Balans VL '!N12)/100/3.6*1000000</f>
        <v>793.610481215753</v>
      </c>
      <c r="G6" s="34"/>
      <c r="H6" s="33"/>
      <c r="I6" s="33"/>
      <c r="J6" s="33">
        <f>$C$26*('E Balans VL '!D12+'E Balans VL '!E12)/100/3.6*1000000</f>
        <v>0</v>
      </c>
      <c r="K6" s="33"/>
      <c r="L6" s="33"/>
      <c r="M6" s="33"/>
      <c r="N6" s="33">
        <f>$C$26*'E Balans VL '!Y12/100/3.6*1000000</f>
        <v>3.1228046739658963</v>
      </c>
      <c r="O6" s="33"/>
      <c r="P6" s="33"/>
      <c r="R6" s="32"/>
    </row>
    <row r="7" spans="1:18">
      <c r="A7" s="32" t="s">
        <v>53</v>
      </c>
      <c r="B7" s="37">
        <f t="shared" ref="B7:B12" si="0">B27</f>
        <v>2745.7807853999998</v>
      </c>
      <c r="C7" s="33"/>
      <c r="D7" s="37">
        <f>IF(ISERROR(TER_horeca_gas_kWh/1000),0,TER_horeca_gas_kWh/1000)*0.902</f>
        <v>4336.4069888216009</v>
      </c>
      <c r="E7" s="33">
        <f>$C$27*'E Balans VL '!I9/100/3.6*1000000</f>
        <v>90.868641972507504</v>
      </c>
      <c r="F7" s="33">
        <f>$C$27*('E Balans VL '!L9+'E Balans VL '!N9)/100/3.6*1000000</f>
        <v>1180.6752146153844</v>
      </c>
      <c r="G7" s="34"/>
      <c r="H7" s="33"/>
      <c r="I7" s="33"/>
      <c r="J7" s="33">
        <f>$C$27*('E Balans VL '!D9+'E Balans VL '!E9)/100/3.6*1000000</f>
        <v>0</v>
      </c>
      <c r="K7" s="33"/>
      <c r="L7" s="33"/>
      <c r="M7" s="33"/>
      <c r="N7" s="33">
        <f>$C$27*'E Balans VL '!Y9/100/3.6*1000000</f>
        <v>0.6609493081584944</v>
      </c>
      <c r="O7" s="33"/>
      <c r="P7" s="33"/>
      <c r="R7" s="32"/>
    </row>
    <row r="8" spans="1:18">
      <c r="A8" s="6" t="s">
        <v>52</v>
      </c>
      <c r="B8" s="37">
        <f t="shared" si="0"/>
        <v>30551.850338</v>
      </c>
      <c r="C8" s="33"/>
      <c r="D8" s="37">
        <f>IF(ISERROR(TER_handel_gas_kWh/1000),0,TER_handel_gas_kWh/1000)*0.902</f>
        <v>5185.4899793663999</v>
      </c>
      <c r="E8" s="33">
        <f>$C$28*'E Balans VL '!I13/100/3.6*1000000</f>
        <v>964.26307850503758</v>
      </c>
      <c r="F8" s="33">
        <f>$C$28*('E Balans VL '!L13+'E Balans VL '!N13)/100/3.6*1000000</f>
        <v>5991.7558359652012</v>
      </c>
      <c r="G8" s="34"/>
      <c r="H8" s="33"/>
      <c r="I8" s="33"/>
      <c r="J8" s="33">
        <f>$C$28*('E Balans VL '!D13+'E Balans VL '!E13)/100/3.6*1000000</f>
        <v>0</v>
      </c>
      <c r="K8" s="33"/>
      <c r="L8" s="33"/>
      <c r="M8" s="33"/>
      <c r="N8" s="33">
        <f>$C$28*'E Balans VL '!Y13/100/3.6*1000000</f>
        <v>36.259114782281578</v>
      </c>
      <c r="O8" s="33"/>
      <c r="P8" s="33"/>
      <c r="R8" s="32"/>
    </row>
    <row r="9" spans="1:18">
      <c r="A9" s="32" t="s">
        <v>51</v>
      </c>
      <c r="B9" s="37">
        <f t="shared" si="0"/>
        <v>1764.4420405999999</v>
      </c>
      <c r="C9" s="33"/>
      <c r="D9" s="37">
        <f>IF(ISERROR(TER_gezond_gas_kWh/1000),0,TER_gezond_gas_kWh/1000)*0.902</f>
        <v>6597.6445536122001</v>
      </c>
      <c r="E9" s="33">
        <f>$C$29*'E Balans VL '!I10/100/3.6*1000000</f>
        <v>0.22590019880339982</v>
      </c>
      <c r="F9" s="33">
        <f>$C$29*('E Balans VL '!L10+'E Balans VL '!N10)/100/3.6*1000000</f>
        <v>367.60723160034604</v>
      </c>
      <c r="G9" s="34"/>
      <c r="H9" s="33"/>
      <c r="I9" s="33"/>
      <c r="J9" s="33">
        <f>$C$29*('E Balans VL '!D10+'E Balans VL '!E10)/100/3.6*1000000</f>
        <v>0</v>
      </c>
      <c r="K9" s="33"/>
      <c r="L9" s="33"/>
      <c r="M9" s="33"/>
      <c r="N9" s="33">
        <f>$C$29*'E Balans VL '!Y10/100/3.6*1000000</f>
        <v>20.7242057517959</v>
      </c>
      <c r="O9" s="33"/>
      <c r="P9" s="33"/>
      <c r="R9" s="32"/>
    </row>
    <row r="10" spans="1:18">
      <c r="A10" s="32" t="s">
        <v>50</v>
      </c>
      <c r="B10" s="37">
        <f t="shared" si="0"/>
        <v>509.37720659999997</v>
      </c>
      <c r="C10" s="33"/>
      <c r="D10" s="37">
        <f>IF(ISERROR(TER_ander_gas_kWh/1000),0,TER_ander_gas_kWh/1000)*0.902</f>
        <v>687.88829196670008</v>
      </c>
      <c r="E10" s="33">
        <f>$C$30*'E Balans VL '!I14/100/3.6*1000000</f>
        <v>0.76598353073613645</v>
      </c>
      <c r="F10" s="33">
        <f>$C$30*('E Balans VL '!L14+'E Balans VL '!N14)/100/3.6*1000000</f>
        <v>112.4540676483106</v>
      </c>
      <c r="G10" s="34"/>
      <c r="H10" s="33"/>
      <c r="I10" s="33"/>
      <c r="J10" s="33">
        <f>$C$30*('E Balans VL '!D14+'E Balans VL '!E14)/100/3.6*1000000</f>
        <v>0</v>
      </c>
      <c r="K10" s="33"/>
      <c r="L10" s="33"/>
      <c r="M10" s="33"/>
      <c r="N10" s="33">
        <f>$C$30*'E Balans VL '!Y14/100/3.6*1000000</f>
        <v>401.42351859432728</v>
      </c>
      <c r="O10" s="33"/>
      <c r="P10" s="33"/>
      <c r="R10" s="32"/>
    </row>
    <row r="11" spans="1:18">
      <c r="A11" s="32" t="s">
        <v>55</v>
      </c>
      <c r="B11" s="37">
        <f t="shared" si="0"/>
        <v>657.49211897999999</v>
      </c>
      <c r="C11" s="33"/>
      <c r="D11" s="37">
        <f>IF(ISERROR(TER_onderwijs_gas_kWh/1000),0,TER_onderwijs_gas_kWh/1000)*0.902</f>
        <v>1883.0238491878004</v>
      </c>
      <c r="E11" s="33">
        <f>$C$31*'E Balans VL '!I11/100/3.6*1000000</f>
        <v>1.1578987191728978</v>
      </c>
      <c r="F11" s="33">
        <f>$C$31*('E Balans VL '!L11+'E Balans VL '!N11)/100/3.6*1000000</f>
        <v>303.57600863328167</v>
      </c>
      <c r="G11" s="34"/>
      <c r="H11" s="33"/>
      <c r="I11" s="33"/>
      <c r="J11" s="33">
        <f>$C$31*('E Balans VL '!D11+'E Balans VL '!E11)/100/3.6*1000000</f>
        <v>0</v>
      </c>
      <c r="K11" s="33"/>
      <c r="L11" s="33"/>
      <c r="M11" s="33"/>
      <c r="N11" s="33">
        <f>$C$31*'E Balans VL '!Y11/100/3.6*1000000</f>
        <v>1.2249169099727573</v>
      </c>
      <c r="O11" s="33"/>
      <c r="P11" s="33"/>
      <c r="R11" s="32"/>
    </row>
    <row r="12" spans="1:18">
      <c r="A12" s="32" t="s">
        <v>260</v>
      </c>
      <c r="B12" s="37">
        <f t="shared" si="0"/>
        <v>14187.659836999999</v>
      </c>
      <c r="C12" s="33"/>
      <c r="D12" s="37">
        <f>IF(ISERROR(TER_rest_gas_kWh/1000),0,TER_rest_gas_kWh/1000)*0.902</f>
        <v>23996.603707824001</v>
      </c>
      <c r="E12" s="33">
        <f>$C$32*'E Balans VL '!I8/100/3.6*1000000</f>
        <v>249.79519760942819</v>
      </c>
      <c r="F12" s="33">
        <f>$C$32*('E Balans VL '!L8+'E Balans VL '!N8)/100/3.6*1000000</f>
        <v>3655.1855926333296</v>
      </c>
      <c r="G12" s="34"/>
      <c r="H12" s="33"/>
      <c r="I12" s="33"/>
      <c r="J12" s="33">
        <f>$C$32*('E Balans VL '!D8+'E Balans VL '!E8)/100/3.6*1000000</f>
        <v>0</v>
      </c>
      <c r="K12" s="33"/>
      <c r="L12" s="33"/>
      <c r="M12" s="33"/>
      <c r="N12" s="33">
        <f>$C$32*'E Balans VL '!Y8/100/3.6*1000000</f>
        <v>1251.9468746375901</v>
      </c>
      <c r="O12" s="33"/>
      <c r="P12" s="33"/>
      <c r="R12" s="32"/>
    </row>
    <row r="13" spans="1:18">
      <c r="A13" s="16" t="s">
        <v>491</v>
      </c>
      <c r="B13" s="247">
        <f ca="1">'lokale energieproductie'!N91+'lokale energieproductie'!N60</f>
        <v>5636.25</v>
      </c>
      <c r="C13" s="247">
        <f ca="1">'lokale energieproductie'!O91+'lokale energieproductie'!O60</f>
        <v>8051.7857142857147</v>
      </c>
      <c r="D13" s="310">
        <f ca="1">('lokale energieproductie'!P60+'lokale energieproductie'!P91)*(-1)</f>
        <v>-16103.571428571429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59165.17641588</v>
      </c>
      <c r="C16" s="21">
        <f t="shared" ca="1" si="1"/>
        <v>8051.7857142857147</v>
      </c>
      <c r="D16" s="21">
        <f t="shared" ca="1" si="1"/>
        <v>31614.270927048281</v>
      </c>
      <c r="E16" s="21">
        <f t="shared" si="1"/>
        <v>1347.8208566919802</v>
      </c>
      <c r="F16" s="21">
        <f t="shared" ca="1" si="1"/>
        <v>12404.864432311606</v>
      </c>
      <c r="G16" s="21">
        <f t="shared" si="1"/>
        <v>0</v>
      </c>
      <c r="H16" s="21">
        <f t="shared" si="1"/>
        <v>0</v>
      </c>
      <c r="I16" s="21">
        <f t="shared" si="1"/>
        <v>0</v>
      </c>
      <c r="J16" s="21">
        <f t="shared" si="1"/>
        <v>0</v>
      </c>
      <c r="K16" s="21">
        <f t="shared" si="1"/>
        <v>0</v>
      </c>
      <c r="L16" s="21">
        <f t="shared" ca="1" si="1"/>
        <v>0</v>
      </c>
      <c r="M16" s="21">
        <f t="shared" si="1"/>
        <v>0</v>
      </c>
      <c r="N16" s="21">
        <f t="shared" ca="1" si="1"/>
        <v>1715.362384658092</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0.21007283012793174</v>
      </c>
      <c r="C18" s="25">
        <f ca="1">'EF ele_warmte'!B22</f>
        <v>0.22224334193648712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12428.996054702273</v>
      </c>
      <c r="C20" s="23">
        <f t="shared" ref="C20:P20" ca="1" si="2">C16*C18</f>
        <v>1789.4557656993222</v>
      </c>
      <c r="D20" s="23">
        <f t="shared" ca="1" si="2"/>
        <v>6386.0827272637534</v>
      </c>
      <c r="E20" s="23">
        <f t="shared" si="2"/>
        <v>305.9553344690795</v>
      </c>
      <c r="F20" s="23">
        <f t="shared" ca="1" si="2"/>
        <v>3312.0988034271991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3112.3240893000002</v>
      </c>
      <c r="C26" s="39">
        <f>IF(ISERROR(B26*3.6/1000000/'E Balans VL '!Z12*100),0,B26*3.6/1000000/'E Balans VL '!Z12*100)</f>
        <v>6.6668399863240246E-2</v>
      </c>
      <c r="D26" s="237" t="s">
        <v>660</v>
      </c>
      <c r="F26" s="6"/>
    </row>
    <row r="27" spans="1:18">
      <c r="A27" s="231" t="s">
        <v>53</v>
      </c>
      <c r="B27" s="33">
        <f>IF(ISERROR(TER_horeca_ele_kWh/1000),0,TER_horeca_ele_kWh/1000)</f>
        <v>2745.7807853999998</v>
      </c>
      <c r="C27" s="39">
        <f>IF(ISERROR(B27*3.6/1000000/'E Balans VL '!Z9*100),0,B27*3.6/1000000/'E Balans VL '!Z9*100)</f>
        <v>0.2203393637917595</v>
      </c>
      <c r="D27" s="237" t="s">
        <v>660</v>
      </c>
      <c r="F27" s="6"/>
    </row>
    <row r="28" spans="1:18">
      <c r="A28" s="171" t="s">
        <v>52</v>
      </c>
      <c r="B28" s="33">
        <f>IF(ISERROR(TER_handel_ele_kWh/1000),0,TER_handel_ele_kWh/1000)</f>
        <v>30551.850338</v>
      </c>
      <c r="C28" s="39">
        <f>IF(ISERROR(B28*3.6/1000000/'E Balans VL '!Z13*100),0,B28*3.6/1000000/'E Balans VL '!Z13*100)</f>
        <v>0.9011043465471541</v>
      </c>
      <c r="D28" s="237" t="s">
        <v>660</v>
      </c>
      <c r="F28" s="6"/>
    </row>
    <row r="29" spans="1:18">
      <c r="A29" s="231" t="s">
        <v>51</v>
      </c>
      <c r="B29" s="33">
        <f>IF(ISERROR(TER_gezond_ele_kWh/1000),0,TER_gezond_ele_kWh/1000)</f>
        <v>1764.4420405999999</v>
      </c>
      <c r="C29" s="39">
        <f>IF(ISERROR(B29*3.6/1000000/'E Balans VL '!Z10*100),0,B29*3.6/1000000/'E Balans VL '!Z10*100)</f>
        <v>0.18839510347099367</v>
      </c>
      <c r="D29" s="237" t="s">
        <v>660</v>
      </c>
      <c r="F29" s="6"/>
    </row>
    <row r="30" spans="1:18">
      <c r="A30" s="231" t="s">
        <v>50</v>
      </c>
      <c r="B30" s="33">
        <f>IF(ISERROR(TER_ander_ele_kWh/1000),0,TER_ander_ele_kWh/1000)</f>
        <v>509.37720659999997</v>
      </c>
      <c r="C30" s="39">
        <f>IF(ISERROR(B30*3.6/1000000/'E Balans VL '!Z14*100),0,B30*3.6/1000000/'E Balans VL '!Z14*100)</f>
        <v>3.8475260658105144E-2</v>
      </c>
      <c r="D30" s="237" t="s">
        <v>660</v>
      </c>
      <c r="F30" s="6"/>
    </row>
    <row r="31" spans="1:18">
      <c r="A31" s="231" t="s">
        <v>55</v>
      </c>
      <c r="B31" s="33">
        <f>IF(ISERROR(TER_onderwijs_ele_kWh/1000),0,TER_onderwijs_ele_kWh/1000)</f>
        <v>657.49211897999999</v>
      </c>
      <c r="C31" s="39">
        <f>IF(ISERROR(B31*3.6/1000000/'E Balans VL '!Z11*100),0,B31*3.6/1000000/'E Balans VL '!Z11*100)</f>
        <v>0.13276960760462944</v>
      </c>
      <c r="D31" s="237" t="s">
        <v>660</v>
      </c>
    </row>
    <row r="32" spans="1:18">
      <c r="A32" s="231" t="s">
        <v>260</v>
      </c>
      <c r="B32" s="33">
        <f>IF(ISERROR(TER_rest_ele_kWh/1000),0,TER_rest_ele_kWh/1000)</f>
        <v>14187.659836999999</v>
      </c>
      <c r="C32" s="39">
        <f>IF(ISERROR(B32*3.6/1000000/'E Balans VL '!Z8*100),0,B32*3.6/1000000/'E Balans VL '!Z8*100)</f>
        <v>0.11763545622252962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5339.3730893600004</v>
      </c>
      <c r="C5" s="17">
        <f>IF(ISERROR('Eigen informatie GS &amp; warmtenet'!B59),0,'Eigen informatie GS &amp; warmtenet'!B59)</f>
        <v>0</v>
      </c>
      <c r="D5" s="30">
        <f>SUM(D6:D15)</f>
        <v>6514.0329629566404</v>
      </c>
      <c r="E5" s="17">
        <f>SUM(E6:E15)</f>
        <v>541.78711000673388</v>
      </c>
      <c r="F5" s="17">
        <f>SUM(F6:F15)</f>
        <v>2165.172479287367</v>
      </c>
      <c r="G5" s="18"/>
      <c r="H5" s="17"/>
      <c r="I5" s="17"/>
      <c r="J5" s="17">
        <f>SUM(J6:J15)</f>
        <v>22.375197940844643</v>
      </c>
      <c r="K5" s="17"/>
      <c r="L5" s="17"/>
      <c r="M5" s="17"/>
      <c r="N5" s="17">
        <f>SUM(N6:N15)</f>
        <v>1295.4872371282345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432.02046007999996</v>
      </c>
      <c r="C8" s="33"/>
      <c r="D8" s="37">
        <f>IF( ISERROR(IND_metaal_Gas_kWH/1000),0,IND_metaal_Gas_kWH/1000)*0.902</f>
        <v>295.23732200644002</v>
      </c>
      <c r="E8" s="33">
        <f>C30*'E Balans VL '!I18/100/3.6*1000000</f>
        <v>15.545403104165706</v>
      </c>
      <c r="F8" s="33">
        <f>C30*'E Balans VL '!L18/100/3.6*1000000+C30*'E Balans VL '!N18/100/3.6*1000000</f>
        <v>188.64933032037291</v>
      </c>
      <c r="G8" s="34"/>
      <c r="H8" s="33"/>
      <c r="I8" s="33"/>
      <c r="J8" s="40">
        <f>C30*'E Balans VL '!D18/100/3.6*1000000+C30*'E Balans VL '!E18/100/3.6*1000000</f>
        <v>0</v>
      </c>
      <c r="K8" s="33"/>
      <c r="L8" s="33"/>
      <c r="M8" s="33"/>
      <c r="N8" s="33">
        <f>C30*'E Balans VL '!Y18/100/3.6*1000000</f>
        <v>21.652571870198397</v>
      </c>
      <c r="O8" s="33"/>
      <c r="P8" s="33"/>
      <c r="R8" s="32"/>
    </row>
    <row r="9" spans="1:18">
      <c r="A9" s="6" t="s">
        <v>33</v>
      </c>
      <c r="B9" s="37">
        <f t="shared" si="0"/>
        <v>1400.8837454</v>
      </c>
      <c r="C9" s="33"/>
      <c r="D9" s="37">
        <f>IF( ISERROR(IND_andere_gas_kWh/1000),0,IND_andere_gas_kWh/1000)*0.902</f>
        <v>1056.4075863638</v>
      </c>
      <c r="E9" s="33">
        <f>C31*'E Balans VL '!I19/100/3.6*1000000</f>
        <v>357.47383594357166</v>
      </c>
      <c r="F9" s="33">
        <f>C31*'E Balans VL '!L19/100/3.6*1000000+C31*'E Balans VL '!N19/100/3.6*1000000</f>
        <v>1206.0556102735966</v>
      </c>
      <c r="G9" s="34"/>
      <c r="H9" s="33"/>
      <c r="I9" s="33"/>
      <c r="J9" s="40">
        <f>C31*'E Balans VL '!D19/100/3.6*1000000+C31*'E Balans VL '!E19/100/3.6*1000000</f>
        <v>0</v>
      </c>
      <c r="K9" s="33"/>
      <c r="L9" s="33"/>
      <c r="M9" s="33"/>
      <c r="N9" s="33">
        <f>C31*'E Balans VL '!Y19/100/3.6*1000000</f>
        <v>438.10432244438266</v>
      </c>
      <c r="O9" s="33"/>
      <c r="P9" s="33"/>
      <c r="R9" s="32"/>
    </row>
    <row r="10" spans="1:18">
      <c r="A10" s="6" t="s">
        <v>41</v>
      </c>
      <c r="B10" s="37">
        <f t="shared" si="0"/>
        <v>746.52327807999995</v>
      </c>
      <c r="C10" s="33"/>
      <c r="D10" s="37">
        <f>IF( ISERROR(IND_voed_gas_kWh/1000),0,IND_voed_gas_kWh/1000)*0.902</f>
        <v>264.13864982120003</v>
      </c>
      <c r="E10" s="33">
        <f>C32*'E Balans VL '!I20/100/3.6*1000000</f>
        <v>18.977646789256376</v>
      </c>
      <c r="F10" s="33">
        <f>C32*'E Balans VL '!L20/100/3.6*1000000+C32*'E Balans VL '!N20/100/3.6*1000000</f>
        <v>168.9270115486697</v>
      </c>
      <c r="G10" s="34"/>
      <c r="H10" s="33"/>
      <c r="I10" s="33"/>
      <c r="J10" s="40">
        <f>C32*'E Balans VL '!D20/100/3.6*1000000+C32*'E Balans VL '!E20/100/3.6*1000000</f>
        <v>0</v>
      </c>
      <c r="K10" s="33"/>
      <c r="L10" s="33"/>
      <c r="M10" s="33"/>
      <c r="N10" s="33">
        <f>C32*'E Balans VL '!Y20/100/3.6*1000000</f>
        <v>279.96646458938113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2759.9456058000001</v>
      </c>
      <c r="C15" s="33"/>
      <c r="D15" s="37">
        <f>IF( ISERROR(IND_rest_gas_kWh/1000),0,IND_rest_gas_kWh/1000)*0.902</f>
        <v>4898.2494047652008</v>
      </c>
      <c r="E15" s="33">
        <f>C37*'E Balans VL '!I15/100/3.6*1000000</f>
        <v>149.79022416974013</v>
      </c>
      <c r="F15" s="33">
        <f>C37*'E Balans VL '!L15/100/3.6*1000000+C37*'E Balans VL '!N15/100/3.6*1000000</f>
        <v>601.54052714472778</v>
      </c>
      <c r="G15" s="34"/>
      <c r="H15" s="33"/>
      <c r="I15" s="33"/>
      <c r="J15" s="40">
        <f>C37*'E Balans VL '!D15/100/3.6*1000000+C37*'E Balans VL '!E15/100/3.6*1000000</f>
        <v>22.375197940844643</v>
      </c>
      <c r="K15" s="33"/>
      <c r="L15" s="33"/>
      <c r="M15" s="33"/>
      <c r="N15" s="33">
        <f>C37*'E Balans VL '!Y15/100/3.6*1000000</f>
        <v>555.76387822427239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5339.3730893600004</v>
      </c>
      <c r="C18" s="21">
        <f>C5+C16</f>
        <v>0</v>
      </c>
      <c r="D18" s="21">
        <f>MAX((D5+D16),0)</f>
        <v>6514.0329629566404</v>
      </c>
      <c r="E18" s="21">
        <f>MAX((E5+E16),0)</f>
        <v>541.78711000673388</v>
      </c>
      <c r="F18" s="21">
        <f>MAX((F5+F16),0)</f>
        <v>2165.172479287367</v>
      </c>
      <c r="G18" s="21"/>
      <c r="H18" s="21"/>
      <c r="I18" s="21"/>
      <c r="J18" s="21">
        <f>MAX((J5+J16),0)</f>
        <v>22.375197940844643</v>
      </c>
      <c r="K18" s="21"/>
      <c r="L18" s="21">
        <f>MAX((L5+L16),0)</f>
        <v>0</v>
      </c>
      <c r="M18" s="21"/>
      <c r="N18" s="21">
        <f>MAX((N5+N16),0)</f>
        <v>1295.4872371282345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0.21007283012793174</v>
      </c>
      <c r="C20" s="25">
        <f ca="1">'EF ele_warmte'!B22</f>
        <v>0.22224334193648712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1121.6572159907735</v>
      </c>
      <c r="C22" s="23">
        <f ca="1">C18*C20</f>
        <v>0</v>
      </c>
      <c r="D22" s="23">
        <f>D18*D20</f>
        <v>1315.8346585172415</v>
      </c>
      <c r="E22" s="23">
        <f>E18*E20</f>
        <v>122.9856739715286</v>
      </c>
      <c r="F22" s="23">
        <f>F18*F20</f>
        <v>578.101051969727</v>
      </c>
      <c r="G22" s="23"/>
      <c r="H22" s="23"/>
      <c r="I22" s="23"/>
      <c r="J22" s="23">
        <f>J18*J20</f>
        <v>7.9208200710590031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432.02046007999996</v>
      </c>
      <c r="C30" s="39">
        <f>IF(ISERROR(B30*3.6/1000000/'E Balans VL '!Z18*100),0,B30*3.6/1000000/'E Balans VL '!Z18*100)</f>
        <v>9.1535873216400138E-2</v>
      </c>
      <c r="D30" s="237" t="s">
        <v>660</v>
      </c>
    </row>
    <row r="31" spans="1:18">
      <c r="A31" s="6" t="s">
        <v>33</v>
      </c>
      <c r="B31" s="37">
        <f>IF( ISERROR(IND_ander_ele_kWh/1000),0,IND_ander_ele_kWh/1000)</f>
        <v>1400.8837454</v>
      </c>
      <c r="C31" s="39">
        <f>IF(ISERROR(B31*3.6/1000000/'E Balans VL '!Z19*100),0,B31*3.6/1000000/'E Balans VL '!Z19*100)</f>
        <v>5.8966377781766555E-2</v>
      </c>
      <c r="D31" s="237" t="s">
        <v>660</v>
      </c>
    </row>
    <row r="32" spans="1:18">
      <c r="A32" s="171" t="s">
        <v>41</v>
      </c>
      <c r="B32" s="37">
        <f>IF( ISERROR(IND_voed_ele_kWh/1000),0,IND_voed_ele_kWh/1000)</f>
        <v>746.52327807999995</v>
      </c>
      <c r="C32" s="39">
        <f>IF(ISERROR(B32*3.6/1000000/'E Balans VL '!Z20*100),0,B32*3.6/1000000/'E Balans VL '!Z20*100)</f>
        <v>0.12471515993324499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2759.9456058000001</v>
      </c>
      <c r="C37" s="39">
        <f>IF(ISERROR(B37*3.6/1000000/'E Balans VL '!Z15*100),0,B37*3.6/1000000/'E Balans VL '!Z15*100)</f>
        <v>2.2282109575544488E-2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6312.0143913899992</v>
      </c>
      <c r="C5" s="17">
        <f>'Eigen informatie GS &amp; warmtenet'!B60</f>
        <v>0</v>
      </c>
      <c r="D5" s="30">
        <f>IF(ISERROR(SUM(LB_lb_gas_kWh,LB_rest_gas_kWh)/1000),0,SUM(LB_lb_gas_kWh,LB_rest_gas_kWh)/1000)*0.902</f>
        <v>445582.32714854548</v>
      </c>
      <c r="E5" s="17">
        <f>B17*'E Balans VL '!I25/3.6*1000000/100</f>
        <v>162.76261582064734</v>
      </c>
      <c r="F5" s="17">
        <f>B17*('E Balans VL '!L25/3.6*1000000+'E Balans VL '!N25/3.6*1000000)/100</f>
        <v>23071.614665278419</v>
      </c>
      <c r="G5" s="18"/>
      <c r="H5" s="17"/>
      <c r="I5" s="17"/>
      <c r="J5" s="17">
        <f>('E Balans VL '!D25+'E Balans VL '!E25)/3.6*1000000*landbouw!B17/100</f>
        <v>908.69787445129714</v>
      </c>
      <c r="K5" s="17"/>
      <c r="L5" s="17">
        <f>L6*(-1)</f>
        <v>34830</v>
      </c>
      <c r="M5" s="17"/>
      <c r="N5" s="17">
        <f>N6*(-1)</f>
        <v>115.71428571428572</v>
      </c>
      <c r="O5" s="17"/>
      <c r="P5" s="17"/>
      <c r="R5" s="32"/>
    </row>
    <row r="6" spans="1:18">
      <c r="A6" s="16" t="s">
        <v>491</v>
      </c>
      <c r="B6" s="17" t="s">
        <v>211</v>
      </c>
      <c r="C6" s="17">
        <f>'lokale energieproductie'!O92+'lokale energieproductie'!O61</f>
        <v>230377.28571428562</v>
      </c>
      <c r="D6" s="310">
        <f>('lokale energieproductie'!P61+'lokale energieproductie'!P92)*(-1)</f>
        <v>-418842.85714285716</v>
      </c>
      <c r="E6" s="248"/>
      <c r="F6" s="310">
        <f>('lokale energieproductie'!S61+'lokale energieproductie'!S92)*(-1)</f>
        <v>-11610</v>
      </c>
      <c r="G6" s="249"/>
      <c r="H6" s="248"/>
      <c r="I6" s="248"/>
      <c r="J6" s="248"/>
      <c r="K6" s="248"/>
      <c r="L6" s="310">
        <f>('lokale energieproductie'!T61+'lokale energieproductie'!U61+'lokale energieproductie'!T92+'lokale energieproductie'!U92)*(-1)</f>
        <v>-34830</v>
      </c>
      <c r="M6" s="248"/>
      <c r="N6" s="310">
        <f>('lokale energieproductie'!V61+'lokale energieproductie'!R61+'lokale energieproductie'!Q61+'lokale energieproductie'!Q92+'lokale energieproductie'!R92+'lokale energieproductie'!V92)*(-1)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6312.0143913899992</v>
      </c>
      <c r="C8" s="21">
        <f>C5+C6</f>
        <v>230377.28571428562</v>
      </c>
      <c r="D8" s="21">
        <f>MAX((D5+D6),0)</f>
        <v>26739.470005688316</v>
      </c>
      <c r="E8" s="21">
        <f>MAX((E5+E6),0)</f>
        <v>162.76261582064734</v>
      </c>
      <c r="F8" s="21">
        <f>MAX((F5+F6),0)</f>
        <v>11461.614665278419</v>
      </c>
      <c r="G8" s="21"/>
      <c r="H8" s="21"/>
      <c r="I8" s="21"/>
      <c r="J8" s="21">
        <f>MAX((J5+J6),0)</f>
        <v>908.69787445129714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0.21007283012793174</v>
      </c>
      <c r="C10" s="31">
        <f ca="1">'EF ele_warmte'!B22</f>
        <v>0.22224334193648712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1325.9827270075318</v>
      </c>
      <c r="C12" s="23">
        <f ca="1">C8*C10</f>
        <v>51199.817883399766</v>
      </c>
      <c r="D12" s="23">
        <f>D8*D10</f>
        <v>5401.3729411490403</v>
      </c>
      <c r="E12" s="23">
        <f>E8*E10</f>
        <v>36.947113791286945</v>
      </c>
      <c r="F12" s="23">
        <f>F8*F10</f>
        <v>3060.2511156293381</v>
      </c>
      <c r="G12" s="23"/>
      <c r="H12" s="23"/>
      <c r="I12" s="23"/>
      <c r="J12" s="23">
        <f>J8*J10</f>
        <v>321.67904755575915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0.89003583903182171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121.87587459351455</v>
      </c>
      <c r="C26" s="247">
        <f>B26*'GWP N2O_CH4'!B5</f>
        <v>2559.3933664638057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18.668250515742098</v>
      </c>
      <c r="C27" s="247">
        <f>B27*'GWP N2O_CH4'!B5</f>
        <v>392.03326083058408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1.372004569469591</v>
      </c>
      <c r="C28" s="247">
        <f>B28*'GWP N2O_CH4'!B4</f>
        <v>425.32141653557323</v>
      </c>
      <c r="D28" s="50"/>
    </row>
    <row r="29" spans="1:4">
      <c r="A29" s="41" t="s">
        <v>277</v>
      </c>
      <c r="B29" s="247">
        <f>B34*'ha_N2O bodem landbouw'!B4</f>
        <v>8.0595874176006852</v>
      </c>
      <c r="C29" s="247">
        <f>B29*'GWP N2O_CH4'!B4</f>
        <v>2498.4720994562126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1.8138451396807298E-3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6.8862054089837121E-5</v>
      </c>
      <c r="C5" s="463" t="s">
        <v>211</v>
      </c>
      <c r="D5" s="448">
        <f>SUM(D6:D11)</f>
        <v>1.5714981994718809E-4</v>
      </c>
      <c r="E5" s="448">
        <f>SUM(E6:E11)</f>
        <v>6.0462860244632531E-4</v>
      </c>
      <c r="F5" s="461" t="s">
        <v>211</v>
      </c>
      <c r="G5" s="448">
        <f>SUM(G6:G11)</f>
        <v>0.19511548990206842</v>
      </c>
      <c r="H5" s="448">
        <f>SUM(H6:H11)</f>
        <v>4.2178988900381083E-2</v>
      </c>
      <c r="I5" s="463" t="s">
        <v>211</v>
      </c>
      <c r="J5" s="463" t="s">
        <v>211</v>
      </c>
      <c r="K5" s="463" t="s">
        <v>211</v>
      </c>
      <c r="L5" s="463" t="s">
        <v>211</v>
      </c>
      <c r="M5" s="448">
        <f>SUM(M6:M11)</f>
        <v>7.4109839881783685E-3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5.5592173643869214E-5</v>
      </c>
      <c r="C6" s="449"/>
      <c r="D6" s="892">
        <f>vkm_2011_GW_PW*SUMIFS(TableVerdeelsleutelVkm[CNG],TableVerdeelsleutelVkm[Voertuigtype],"Lichte voertuigen")*SUMIFS(TableECFTransport[EnergieConsumptieFactor (PJ per km)],TableECFTransport[Index],CONCATENATE($A6,"_CNG_CNG"))</f>
        <v>1.1046262281259355E-4</v>
      </c>
      <c r="E6" s="892">
        <f>vkm_2011_GW_PW*SUMIFS(TableVerdeelsleutelVkm[LPG],TableVerdeelsleutelVkm[Voertuigtype],"Lichte voertuigen")*SUMIFS(TableECFTransport[EnergieConsumptieFactor (PJ per km)],TableECFTransport[Index],CONCATENATE($A6,"_LPG_LPG"))</f>
        <v>4.3471001864939978E-4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0.10335912666432354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2.9905555189907555E-2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4.1526505449843171E-3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4.8721088347592395E-2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1.5738992584858653E-5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1.5351269468614533E-3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1.3269880445967914E-5</v>
      </c>
      <c r="C8" s="449"/>
      <c r="D8" s="451">
        <f>vkm_2011_NGW_PW*SUMIFS(TableVerdeelsleutelVkm[CNG],TableVerdeelsleutelVkm[Voertuigtype],"Lichte voertuigen")*SUMIFS(TableECFTransport[EnergieConsumptieFactor (PJ per km)],TableECFTransport[Index],CONCATENATE($A8,"_CNG_CNG"))</f>
        <v>4.6687197134594532E-5</v>
      </c>
      <c r="E8" s="451">
        <f>vkm_2011_NGW_PW*SUMIFS(TableVerdeelsleutelVkm[LPG],TableVerdeelsleutelVkm[Voertuigtype],"Lichte voertuigen")*SUMIFS(TableECFTransport[EnergieConsumptieFactor (PJ per km)],TableECFTransport[Index],CONCATENATE($A8,"_LPG_LPG"))</f>
        <v>1.6991858379692548E-4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3.7726702188212703E-2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1.2256072903916278E-2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1.5559442848366916E-3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5.3085727019397972E-3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1.6218139723898168E-6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1.6726221149590621E-4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19.12834835828809</v>
      </c>
      <c r="C14" s="21"/>
      <c r="D14" s="21">
        <f t="shared" ref="D14:M14" si="0">((D5)*10^9/3600)+D12</f>
        <v>43.652727763107798</v>
      </c>
      <c r="E14" s="21">
        <f t="shared" si="0"/>
        <v>167.95238956842371</v>
      </c>
      <c r="F14" s="21"/>
      <c r="G14" s="21">
        <f t="shared" si="0"/>
        <v>54198.747195019008</v>
      </c>
      <c r="H14" s="21">
        <f t="shared" si="0"/>
        <v>11716.385805661412</v>
      </c>
      <c r="I14" s="21"/>
      <c r="J14" s="21"/>
      <c r="K14" s="21"/>
      <c r="L14" s="21"/>
      <c r="M14" s="21">
        <f t="shared" si="0"/>
        <v>2058.60666338288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0.21007283012793174</v>
      </c>
      <c r="C16" s="56">
        <f ca="1">'EF ele_warmte'!B22</f>
        <v>0.22224334193648712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4.0183462752985557</v>
      </c>
      <c r="C18" s="23"/>
      <c r="D18" s="23">
        <f t="shared" ref="D18:M18" si="1">D14*D16</f>
        <v>8.817851008147775</v>
      </c>
      <c r="E18" s="23">
        <f t="shared" si="1"/>
        <v>38.125192432032186</v>
      </c>
      <c r="F18" s="23"/>
      <c r="G18" s="23">
        <f t="shared" si="1"/>
        <v>14471.065501070076</v>
      </c>
      <c r="H18" s="23">
        <f t="shared" si="1"/>
        <v>2917.3800656096914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8.728480811825574E-3</v>
      </c>
      <c r="H50" s="321">
        <f t="shared" si="2"/>
        <v>0</v>
      </c>
      <c r="I50" s="321">
        <f t="shared" si="2"/>
        <v>0</v>
      </c>
      <c r="J50" s="321">
        <f t="shared" si="2"/>
        <v>0</v>
      </c>
      <c r="K50" s="321">
        <f t="shared" si="2"/>
        <v>0</v>
      </c>
      <c r="L50" s="321">
        <f t="shared" si="2"/>
        <v>0</v>
      </c>
      <c r="M50" s="321">
        <f t="shared" si="2"/>
        <v>2.7073794758190048E-4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8.728480811825574E-3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2.7073794758190048E-4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2424.5780032848816</v>
      </c>
      <c r="H54" s="21">
        <f t="shared" si="3"/>
        <v>0</v>
      </c>
      <c r="I54" s="21">
        <f t="shared" si="3"/>
        <v>0</v>
      </c>
      <c r="J54" s="21">
        <f t="shared" si="3"/>
        <v>0</v>
      </c>
      <c r="K54" s="21">
        <f t="shared" si="3"/>
        <v>0</v>
      </c>
      <c r="L54" s="21">
        <f t="shared" si="3"/>
        <v>0</v>
      </c>
      <c r="M54" s="21">
        <f t="shared" si="3"/>
        <v>75.204985439416788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0.21007283012793174</v>
      </c>
      <c r="C56" s="56">
        <f ca="1">'EF ele_warmte'!B22</f>
        <v>0.22224334193648712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647.36232687706342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60662.174415879999</v>
      </c>
      <c r="D10" s="1012">
        <f ca="1">tertiair!C16</f>
        <v>8051.7857142857147</v>
      </c>
      <c r="E10" s="1012">
        <f ca="1">tertiair!D16</f>
        <v>31614.270927048281</v>
      </c>
      <c r="F10" s="1012">
        <f>tertiair!E16</f>
        <v>1347.8208566919802</v>
      </c>
      <c r="G10" s="1012">
        <f ca="1">tertiair!F16</f>
        <v>12404.864432311606</v>
      </c>
      <c r="H10" s="1012">
        <f>tertiair!G16</f>
        <v>0</v>
      </c>
      <c r="I10" s="1012">
        <f>tertiair!H16</f>
        <v>0</v>
      </c>
      <c r="J10" s="1012">
        <f>tertiair!I16</f>
        <v>0</v>
      </c>
      <c r="K10" s="1012">
        <f>tertiair!J16</f>
        <v>0</v>
      </c>
      <c r="L10" s="1012">
        <f>tertiair!K16</f>
        <v>0</v>
      </c>
      <c r="M10" s="1012">
        <f ca="1">tertiair!L16</f>
        <v>0</v>
      </c>
      <c r="N10" s="1012">
        <f>tertiair!M16</f>
        <v>0</v>
      </c>
      <c r="O10" s="1012">
        <f ca="1">tertiair!N16</f>
        <v>1715.362384658092</v>
      </c>
      <c r="P10" s="1012">
        <f>tertiair!O16</f>
        <v>6.2533333333333339</v>
      </c>
      <c r="Q10" s="1013">
        <f>tertiair!P16</f>
        <v>38.133333333333333</v>
      </c>
      <c r="R10" s="700">
        <f ca="1">SUM(C10:Q10)</f>
        <v>115840.66539754233</v>
      </c>
      <c r="S10" s="67"/>
    </row>
    <row r="11" spans="1:19" s="473" customFormat="1">
      <c r="A11" s="809" t="s">
        <v>225</v>
      </c>
      <c r="B11" s="814"/>
      <c r="C11" s="1012">
        <f>huishoudens!B8</f>
        <v>34922.445549418444</v>
      </c>
      <c r="D11" s="1012">
        <f>huishoudens!C8</f>
        <v>0</v>
      </c>
      <c r="E11" s="1012">
        <f>huishoudens!D8</f>
        <v>78482.439602687999</v>
      </c>
      <c r="F11" s="1012">
        <f>huishoudens!E8</f>
        <v>3700.1923416340555</v>
      </c>
      <c r="G11" s="1012">
        <f>huishoudens!F8</f>
        <v>30447.166396111734</v>
      </c>
      <c r="H11" s="1012">
        <f>huishoudens!G8</f>
        <v>0</v>
      </c>
      <c r="I11" s="1012">
        <f>huishoudens!H8</f>
        <v>0</v>
      </c>
      <c r="J11" s="1012">
        <f>huishoudens!I8</f>
        <v>0</v>
      </c>
      <c r="K11" s="1012">
        <f>huishoudens!J8</f>
        <v>284.78213711248361</v>
      </c>
      <c r="L11" s="1012">
        <f>huishoudens!K8</f>
        <v>0</v>
      </c>
      <c r="M11" s="1012">
        <f>huishoudens!L8</f>
        <v>0</v>
      </c>
      <c r="N11" s="1012">
        <f>huishoudens!M8</f>
        <v>0</v>
      </c>
      <c r="O11" s="1012">
        <f>huishoudens!N8</f>
        <v>8827.3838656416683</v>
      </c>
      <c r="P11" s="1012">
        <f>huishoudens!O8</f>
        <v>339.2433333333334</v>
      </c>
      <c r="Q11" s="1013">
        <f>huishoudens!P8</f>
        <v>1391.8666666666668</v>
      </c>
      <c r="R11" s="700">
        <f>SUM(C11:Q11)</f>
        <v>158395.51989260639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5339.3730893600004</v>
      </c>
      <c r="D13" s="1012">
        <f>industrie!C18</f>
        <v>0</v>
      </c>
      <c r="E13" s="1012">
        <f>industrie!D18</f>
        <v>6514.0329629566404</v>
      </c>
      <c r="F13" s="1012">
        <f>industrie!E18</f>
        <v>541.78711000673388</v>
      </c>
      <c r="G13" s="1012">
        <f>industrie!F18</f>
        <v>2165.172479287367</v>
      </c>
      <c r="H13" s="1012">
        <f>industrie!G18</f>
        <v>0</v>
      </c>
      <c r="I13" s="1012">
        <f>industrie!H18</f>
        <v>0</v>
      </c>
      <c r="J13" s="1012">
        <f>industrie!I18</f>
        <v>0</v>
      </c>
      <c r="K13" s="1012">
        <f>industrie!J18</f>
        <v>22.375197940844643</v>
      </c>
      <c r="L13" s="1012">
        <f>industrie!K18</f>
        <v>0</v>
      </c>
      <c r="M13" s="1012">
        <f>industrie!L18</f>
        <v>0</v>
      </c>
      <c r="N13" s="1012">
        <f>industrie!M18</f>
        <v>0</v>
      </c>
      <c r="O13" s="1012">
        <f>industrie!N18</f>
        <v>1295.4872371282345</v>
      </c>
      <c r="P13" s="1012">
        <f>industrie!O18</f>
        <v>0</v>
      </c>
      <c r="Q13" s="1013">
        <f>industrie!P18</f>
        <v>0</v>
      </c>
      <c r="R13" s="700">
        <f>SUM(C13:Q13)</f>
        <v>15878.228076679819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100923.99305465845</v>
      </c>
      <c r="D16" s="732">
        <f t="shared" ref="D16:R16" ca="1" si="0">SUM(D9:D15)</f>
        <v>8051.7857142857147</v>
      </c>
      <c r="E16" s="732">
        <f t="shared" ca="1" si="0"/>
        <v>116610.74349269291</v>
      </c>
      <c r="F16" s="732">
        <f t="shared" si="0"/>
        <v>5589.8003083327703</v>
      </c>
      <c r="G16" s="732">
        <f t="shared" ca="1" si="0"/>
        <v>45017.203307710704</v>
      </c>
      <c r="H16" s="732">
        <f t="shared" si="0"/>
        <v>0</v>
      </c>
      <c r="I16" s="732">
        <f t="shared" si="0"/>
        <v>0</v>
      </c>
      <c r="J16" s="732">
        <f t="shared" si="0"/>
        <v>0</v>
      </c>
      <c r="K16" s="732">
        <f t="shared" si="0"/>
        <v>307.15733505332827</v>
      </c>
      <c r="L16" s="732">
        <f t="shared" si="0"/>
        <v>0</v>
      </c>
      <c r="M16" s="732">
        <f t="shared" ca="1" si="0"/>
        <v>0</v>
      </c>
      <c r="N16" s="732">
        <f t="shared" si="0"/>
        <v>0</v>
      </c>
      <c r="O16" s="732">
        <f t="shared" ca="1" si="0"/>
        <v>11838.233487427995</v>
      </c>
      <c r="P16" s="732">
        <f t="shared" si="0"/>
        <v>345.49666666666673</v>
      </c>
      <c r="Q16" s="732">
        <f t="shared" si="0"/>
        <v>1430.0000000000002</v>
      </c>
      <c r="R16" s="732">
        <f t="shared" ca="1" si="0"/>
        <v>290114.41336682852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2424.5780032848816</v>
      </c>
      <c r="I19" s="1012">
        <f>transport!H54</f>
        <v>0</v>
      </c>
      <c r="J19" s="1012">
        <f>transport!I54</f>
        <v>0</v>
      </c>
      <c r="K19" s="1012">
        <f>transport!J54</f>
        <v>0</v>
      </c>
      <c r="L19" s="1012">
        <f>transport!K54</f>
        <v>0</v>
      </c>
      <c r="M19" s="1012">
        <f>transport!L54</f>
        <v>0</v>
      </c>
      <c r="N19" s="1012">
        <f>transport!M54</f>
        <v>75.204985439416788</v>
      </c>
      <c r="O19" s="1012">
        <f>transport!N54</f>
        <v>0</v>
      </c>
      <c r="P19" s="1012">
        <f>transport!O54</f>
        <v>0</v>
      </c>
      <c r="Q19" s="1013">
        <f>transport!P54</f>
        <v>0</v>
      </c>
      <c r="R19" s="700">
        <f>SUM(C19:Q19)</f>
        <v>2499.7829887242983</v>
      </c>
      <c r="S19" s="67"/>
    </row>
    <row r="20" spans="1:19" s="473" customFormat="1">
      <c r="A20" s="809" t="s">
        <v>307</v>
      </c>
      <c r="B20" s="814"/>
      <c r="C20" s="1012">
        <f>transport!B14</f>
        <v>19.12834835828809</v>
      </c>
      <c r="D20" s="1012">
        <f>transport!C14</f>
        <v>0</v>
      </c>
      <c r="E20" s="1012">
        <f>transport!D14</f>
        <v>43.652727763107798</v>
      </c>
      <c r="F20" s="1012">
        <f>transport!E14</f>
        <v>167.95238956842371</v>
      </c>
      <c r="G20" s="1012">
        <f>transport!F14</f>
        <v>0</v>
      </c>
      <c r="H20" s="1012">
        <f>transport!G14</f>
        <v>54198.747195019008</v>
      </c>
      <c r="I20" s="1012">
        <f>transport!H14</f>
        <v>11716.385805661412</v>
      </c>
      <c r="J20" s="1012">
        <f>transport!I14</f>
        <v>0</v>
      </c>
      <c r="K20" s="1012">
        <f>transport!J14</f>
        <v>0</v>
      </c>
      <c r="L20" s="1012">
        <f>transport!K14</f>
        <v>0</v>
      </c>
      <c r="M20" s="1012">
        <f>transport!L14</f>
        <v>0</v>
      </c>
      <c r="N20" s="1012">
        <f>transport!M14</f>
        <v>2058.60666338288</v>
      </c>
      <c r="O20" s="1012">
        <f>transport!N14</f>
        <v>0</v>
      </c>
      <c r="P20" s="1012">
        <f>transport!O14</f>
        <v>0</v>
      </c>
      <c r="Q20" s="1013">
        <f>transport!P14</f>
        <v>0</v>
      </c>
      <c r="R20" s="700">
        <f>SUM(C20:Q20)</f>
        <v>68204.473129753111</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19.12834835828809</v>
      </c>
      <c r="D22" s="812">
        <f t="shared" ref="D22:R22" si="1">SUM(D18:D21)</f>
        <v>0</v>
      </c>
      <c r="E22" s="812">
        <f t="shared" si="1"/>
        <v>43.652727763107798</v>
      </c>
      <c r="F22" s="812">
        <f t="shared" si="1"/>
        <v>167.95238956842371</v>
      </c>
      <c r="G22" s="812">
        <f t="shared" si="1"/>
        <v>0</v>
      </c>
      <c r="H22" s="812">
        <f t="shared" si="1"/>
        <v>56623.325198303894</v>
      </c>
      <c r="I22" s="812">
        <f t="shared" si="1"/>
        <v>11716.385805661412</v>
      </c>
      <c r="J22" s="812">
        <f t="shared" si="1"/>
        <v>0</v>
      </c>
      <c r="K22" s="812">
        <f t="shared" si="1"/>
        <v>0</v>
      </c>
      <c r="L22" s="812">
        <f t="shared" si="1"/>
        <v>0</v>
      </c>
      <c r="M22" s="812">
        <f t="shared" si="1"/>
        <v>0</v>
      </c>
      <c r="N22" s="812">
        <f t="shared" si="1"/>
        <v>2133.8116488222968</v>
      </c>
      <c r="O22" s="812">
        <f t="shared" si="1"/>
        <v>0</v>
      </c>
      <c r="P22" s="812">
        <f t="shared" si="1"/>
        <v>0</v>
      </c>
      <c r="Q22" s="812">
        <f t="shared" si="1"/>
        <v>0</v>
      </c>
      <c r="R22" s="812">
        <f t="shared" si="1"/>
        <v>70704.256118477409</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6312.0143913899992</v>
      </c>
      <c r="D24" s="1012">
        <f>+landbouw!C8</f>
        <v>230377.28571428562</v>
      </c>
      <c r="E24" s="1012">
        <f>+landbouw!D8</f>
        <v>26739.470005688316</v>
      </c>
      <c r="F24" s="1012">
        <f>+landbouw!E8</f>
        <v>162.76261582064734</v>
      </c>
      <c r="G24" s="1012">
        <f>+landbouw!F8</f>
        <v>11461.614665278419</v>
      </c>
      <c r="H24" s="1012">
        <f>+landbouw!G8</f>
        <v>0</v>
      </c>
      <c r="I24" s="1012">
        <f>+landbouw!H8</f>
        <v>0</v>
      </c>
      <c r="J24" s="1012">
        <f>+landbouw!I8</f>
        <v>0</v>
      </c>
      <c r="K24" s="1012">
        <f>+landbouw!J8</f>
        <v>908.69787445129714</v>
      </c>
      <c r="L24" s="1012">
        <f>+landbouw!K8</f>
        <v>0</v>
      </c>
      <c r="M24" s="1012">
        <f>+landbouw!L8</f>
        <v>0</v>
      </c>
      <c r="N24" s="1012">
        <f>+landbouw!M8</f>
        <v>0</v>
      </c>
      <c r="O24" s="1012">
        <f>+landbouw!N8</f>
        <v>0</v>
      </c>
      <c r="P24" s="1012">
        <f>+landbouw!O8</f>
        <v>0</v>
      </c>
      <c r="Q24" s="1013">
        <f>+landbouw!P8</f>
        <v>0</v>
      </c>
      <c r="R24" s="700">
        <f>SUM(C24:Q24)</f>
        <v>275961.84526691429</v>
      </c>
      <c r="S24" s="67"/>
    </row>
    <row r="25" spans="1:19" s="473" customFormat="1" ht="15" thickBot="1">
      <c r="A25" s="831" t="s">
        <v>848</v>
      </c>
      <c r="B25" s="1015"/>
      <c r="C25" s="1016">
        <f>IF(Onbekend_ele_kWh="---",0,Onbekend_ele_kWh)/1000+IF(REST_rest_ele_kWh="---",0,REST_rest_ele_kWh)/1000</f>
        <v>1047.7954642</v>
      </c>
      <c r="D25" s="1016"/>
      <c r="E25" s="1016">
        <f>IF(onbekend_gas_kWh="---",0,onbekend_gas_kWh)/1000+IF(REST_rest_gas_kWh="---",0,REST_rest_gas_kWh)/1000</f>
        <v>2893.3607422</v>
      </c>
      <c r="F25" s="1016"/>
      <c r="G25" s="1016"/>
      <c r="H25" s="1016"/>
      <c r="I25" s="1016"/>
      <c r="J25" s="1016"/>
      <c r="K25" s="1016"/>
      <c r="L25" s="1016"/>
      <c r="M25" s="1016"/>
      <c r="N25" s="1016"/>
      <c r="O25" s="1016"/>
      <c r="P25" s="1016"/>
      <c r="Q25" s="1017"/>
      <c r="R25" s="700">
        <f>SUM(C25:Q25)</f>
        <v>3941.1562064</v>
      </c>
      <c r="S25" s="67"/>
    </row>
    <row r="26" spans="1:19" s="473" customFormat="1" ht="15.75" thickBot="1">
      <c r="A26" s="705" t="s">
        <v>849</v>
      </c>
      <c r="B26" s="817"/>
      <c r="C26" s="812">
        <f>SUM(C24:C25)</f>
        <v>7359.8098555899996</v>
      </c>
      <c r="D26" s="812">
        <f t="shared" ref="D26:R26" si="2">SUM(D24:D25)</f>
        <v>230377.28571428562</v>
      </c>
      <c r="E26" s="812">
        <f t="shared" si="2"/>
        <v>29632.830747888314</v>
      </c>
      <c r="F26" s="812">
        <f t="shared" si="2"/>
        <v>162.76261582064734</v>
      </c>
      <c r="G26" s="812">
        <f t="shared" si="2"/>
        <v>11461.614665278419</v>
      </c>
      <c r="H26" s="812">
        <f t="shared" si="2"/>
        <v>0</v>
      </c>
      <c r="I26" s="812">
        <f t="shared" si="2"/>
        <v>0</v>
      </c>
      <c r="J26" s="812">
        <f t="shared" si="2"/>
        <v>0</v>
      </c>
      <c r="K26" s="812">
        <f t="shared" si="2"/>
        <v>908.69787445129714</v>
      </c>
      <c r="L26" s="812">
        <f t="shared" si="2"/>
        <v>0</v>
      </c>
      <c r="M26" s="812">
        <f t="shared" si="2"/>
        <v>0</v>
      </c>
      <c r="N26" s="812">
        <f t="shared" si="2"/>
        <v>0</v>
      </c>
      <c r="O26" s="812">
        <f t="shared" si="2"/>
        <v>0</v>
      </c>
      <c r="P26" s="812">
        <f t="shared" si="2"/>
        <v>0</v>
      </c>
      <c r="Q26" s="812">
        <f t="shared" si="2"/>
        <v>0</v>
      </c>
      <c r="R26" s="812">
        <f t="shared" si="2"/>
        <v>279903.0014733143</v>
      </c>
      <c r="S26" s="67"/>
    </row>
    <row r="27" spans="1:19" s="473" customFormat="1" ht="17.25" thickTop="1" thickBot="1">
      <c r="A27" s="706" t="s">
        <v>116</v>
      </c>
      <c r="B27" s="805"/>
      <c r="C27" s="707">
        <f ca="1">C22+C16+C26</f>
        <v>108302.93125860672</v>
      </c>
      <c r="D27" s="707">
        <f t="shared" ref="D27:R27" ca="1" si="3">D22+D16+D26</f>
        <v>238429.07142857133</v>
      </c>
      <c r="E27" s="707">
        <f t="shared" ca="1" si="3"/>
        <v>146287.22696834433</v>
      </c>
      <c r="F27" s="707">
        <f t="shared" si="3"/>
        <v>5920.5153137218413</v>
      </c>
      <c r="G27" s="707">
        <f t="shared" ca="1" si="3"/>
        <v>56478.817972989127</v>
      </c>
      <c r="H27" s="707">
        <f t="shared" si="3"/>
        <v>56623.325198303894</v>
      </c>
      <c r="I27" s="707">
        <f t="shared" si="3"/>
        <v>11716.385805661412</v>
      </c>
      <c r="J27" s="707">
        <f t="shared" si="3"/>
        <v>0</v>
      </c>
      <c r="K27" s="707">
        <f t="shared" si="3"/>
        <v>1215.8552095046255</v>
      </c>
      <c r="L27" s="707">
        <f t="shared" si="3"/>
        <v>0</v>
      </c>
      <c r="M27" s="707">
        <f t="shared" ca="1" si="3"/>
        <v>0</v>
      </c>
      <c r="N27" s="707">
        <f t="shared" si="3"/>
        <v>2133.8116488222968</v>
      </c>
      <c r="O27" s="707">
        <f t="shared" ca="1" si="3"/>
        <v>11838.233487427995</v>
      </c>
      <c r="P27" s="707">
        <f t="shared" si="3"/>
        <v>345.49666666666673</v>
      </c>
      <c r="Q27" s="707">
        <f t="shared" si="3"/>
        <v>1430.0000000000002</v>
      </c>
      <c r="R27" s="707">
        <f t="shared" ca="1" si="3"/>
        <v>640721.67095862026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12743.474661258126</v>
      </c>
      <c r="D40" s="1012">
        <f ca="1">tertiair!C20</f>
        <v>1789.4557656993222</v>
      </c>
      <c r="E40" s="1012">
        <f ca="1">tertiair!D20</f>
        <v>6386.0827272637534</v>
      </c>
      <c r="F40" s="1012">
        <f>tertiair!E20</f>
        <v>305.9553344690795</v>
      </c>
      <c r="G40" s="1012">
        <f ca="1">tertiair!F20</f>
        <v>3312.0988034271991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24537.067292117477</v>
      </c>
    </row>
    <row r="41" spans="1:18">
      <c r="A41" s="822" t="s">
        <v>225</v>
      </c>
      <c r="B41" s="829"/>
      <c r="C41" s="1012">
        <f ca="1">huishoudens!B12</f>
        <v>7336.2569715549262</v>
      </c>
      <c r="D41" s="1012">
        <f ca="1">huishoudens!C12</f>
        <v>0</v>
      </c>
      <c r="E41" s="1012">
        <f>huishoudens!D12</f>
        <v>15853.452799742976</v>
      </c>
      <c r="F41" s="1012">
        <f>huishoudens!E12</f>
        <v>839.94366155093064</v>
      </c>
      <c r="G41" s="1012">
        <f>huishoudens!F12</f>
        <v>8129.3934277618337</v>
      </c>
      <c r="H41" s="1012">
        <f>huishoudens!G12</f>
        <v>0</v>
      </c>
      <c r="I41" s="1012">
        <f>huishoudens!H12</f>
        <v>0</v>
      </c>
      <c r="J41" s="1012">
        <f>huishoudens!I12</f>
        <v>0</v>
      </c>
      <c r="K41" s="1012">
        <f>huishoudens!J12</f>
        <v>100.81287653781919</v>
      </c>
      <c r="L41" s="1012">
        <f>huishoudens!K12</f>
        <v>0</v>
      </c>
      <c r="M41" s="1012">
        <f>huishoudens!L12</f>
        <v>0</v>
      </c>
      <c r="N41" s="1012">
        <f>huishoudens!M12</f>
        <v>0</v>
      </c>
      <c r="O41" s="1012">
        <f>huishoudens!N12</f>
        <v>0</v>
      </c>
      <c r="P41" s="1012">
        <f>huishoudens!O12</f>
        <v>0</v>
      </c>
      <c r="Q41" s="774">
        <f>huishoudens!P12</f>
        <v>0</v>
      </c>
      <c r="R41" s="850">
        <f t="shared" ca="1" si="4"/>
        <v>32259.859737148487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1121.6572159907735</v>
      </c>
      <c r="D43" s="1012">
        <f ca="1">industrie!C22</f>
        <v>0</v>
      </c>
      <c r="E43" s="1012">
        <f>industrie!D22</f>
        <v>1315.8346585172415</v>
      </c>
      <c r="F43" s="1012">
        <f>industrie!E22</f>
        <v>122.9856739715286</v>
      </c>
      <c r="G43" s="1012">
        <f>industrie!F22</f>
        <v>578.101051969727</v>
      </c>
      <c r="H43" s="1012">
        <f>industrie!G22</f>
        <v>0</v>
      </c>
      <c r="I43" s="1012">
        <f>industrie!H22</f>
        <v>0</v>
      </c>
      <c r="J43" s="1012">
        <f>industrie!I22</f>
        <v>0</v>
      </c>
      <c r="K43" s="1012">
        <f>industrie!J22</f>
        <v>7.9208200710590031</v>
      </c>
      <c r="L43" s="1012">
        <f>industrie!K22</f>
        <v>0</v>
      </c>
      <c r="M43" s="1012">
        <f>industrie!L22</f>
        <v>0</v>
      </c>
      <c r="N43" s="1012">
        <f>industrie!M22</f>
        <v>0</v>
      </c>
      <c r="O43" s="1012">
        <f>industrie!N22</f>
        <v>0</v>
      </c>
      <c r="P43" s="1012">
        <f>industrie!O22</f>
        <v>0</v>
      </c>
      <c r="Q43" s="774">
        <f>industrie!P22</f>
        <v>0</v>
      </c>
      <c r="R43" s="849">
        <f t="shared" ca="1" si="4"/>
        <v>3146.4994205203297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21201.388848803825</v>
      </c>
      <c r="D46" s="732">
        <f t="shared" ref="D46:Q46" ca="1" si="5">SUM(D39:D45)</f>
        <v>1789.4557656993222</v>
      </c>
      <c r="E46" s="732">
        <f t="shared" ca="1" si="5"/>
        <v>23555.370185523971</v>
      </c>
      <c r="F46" s="732">
        <f t="shared" si="5"/>
        <v>1268.8846699915387</v>
      </c>
      <c r="G46" s="732">
        <f t="shared" ca="1" si="5"/>
        <v>12019.59328315876</v>
      </c>
      <c r="H46" s="732">
        <f t="shared" si="5"/>
        <v>0</v>
      </c>
      <c r="I46" s="732">
        <f t="shared" si="5"/>
        <v>0</v>
      </c>
      <c r="J46" s="732">
        <f t="shared" si="5"/>
        <v>0</v>
      </c>
      <c r="K46" s="732">
        <f t="shared" si="5"/>
        <v>108.73369660887819</v>
      </c>
      <c r="L46" s="732">
        <f t="shared" si="5"/>
        <v>0</v>
      </c>
      <c r="M46" s="732">
        <f t="shared" ca="1" si="5"/>
        <v>0</v>
      </c>
      <c r="N46" s="732">
        <f t="shared" si="5"/>
        <v>0</v>
      </c>
      <c r="O46" s="732">
        <f t="shared" ca="1" si="5"/>
        <v>0</v>
      </c>
      <c r="P46" s="732">
        <f t="shared" si="5"/>
        <v>0</v>
      </c>
      <c r="Q46" s="732">
        <f t="shared" si="5"/>
        <v>0</v>
      </c>
      <c r="R46" s="732">
        <f ca="1">SUM(R39:R45)</f>
        <v>59943.426449786297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647.36232687706342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647.36232687706342</v>
      </c>
    </row>
    <row r="50" spans="1:18">
      <c r="A50" s="825" t="s">
        <v>307</v>
      </c>
      <c r="B50" s="835"/>
      <c r="C50" s="703">
        <f ca="1">transport!B18</f>
        <v>4.0183462752985557</v>
      </c>
      <c r="D50" s="703">
        <f>transport!C18</f>
        <v>0</v>
      </c>
      <c r="E50" s="703">
        <f>transport!D18</f>
        <v>8.817851008147775</v>
      </c>
      <c r="F50" s="703">
        <f>transport!E18</f>
        <v>38.125192432032186</v>
      </c>
      <c r="G50" s="703">
        <f>transport!F18</f>
        <v>0</v>
      </c>
      <c r="H50" s="703">
        <f>transport!G18</f>
        <v>14471.065501070076</v>
      </c>
      <c r="I50" s="703">
        <f>transport!H18</f>
        <v>2917.3800656096914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17439.406956395243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4.0183462752985557</v>
      </c>
      <c r="D52" s="732">
        <f t="shared" ref="D52:Q52" ca="1" si="6">SUM(D48:D51)</f>
        <v>0</v>
      </c>
      <c r="E52" s="732">
        <f t="shared" si="6"/>
        <v>8.817851008147775</v>
      </c>
      <c r="F52" s="732">
        <f t="shared" si="6"/>
        <v>38.125192432032186</v>
      </c>
      <c r="G52" s="732">
        <f t="shared" si="6"/>
        <v>0</v>
      </c>
      <c r="H52" s="732">
        <f t="shared" si="6"/>
        <v>15118.42782794714</v>
      </c>
      <c r="I52" s="732">
        <f t="shared" si="6"/>
        <v>2917.3800656096914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18086.769283272308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1325.9827270075318</v>
      </c>
      <c r="D54" s="703">
        <f ca="1">+landbouw!C12</f>
        <v>51199.817883399766</v>
      </c>
      <c r="E54" s="703">
        <f>+landbouw!D12</f>
        <v>5401.3729411490403</v>
      </c>
      <c r="F54" s="703">
        <f>+landbouw!E12</f>
        <v>36.947113791286945</v>
      </c>
      <c r="G54" s="703">
        <f>+landbouw!F12</f>
        <v>3060.2511156293381</v>
      </c>
      <c r="H54" s="703">
        <f>+landbouw!G12</f>
        <v>0</v>
      </c>
      <c r="I54" s="703">
        <f>+landbouw!H12</f>
        <v>0</v>
      </c>
      <c r="J54" s="703">
        <f>+landbouw!I12</f>
        <v>0</v>
      </c>
      <c r="K54" s="703">
        <f>+landbouw!J12</f>
        <v>321.67904755575915</v>
      </c>
      <c r="L54" s="703">
        <f>+landbouw!K12</f>
        <v>0</v>
      </c>
      <c r="M54" s="703">
        <f>+landbouw!L12</f>
        <v>0</v>
      </c>
      <c r="N54" s="703">
        <f>+landbouw!M12</f>
        <v>0</v>
      </c>
      <c r="O54" s="703">
        <f>+landbouw!N12</f>
        <v>0</v>
      </c>
      <c r="P54" s="703">
        <f>+landbouw!O12</f>
        <v>0</v>
      </c>
      <c r="Q54" s="704">
        <f>+landbouw!P12</f>
        <v>0</v>
      </c>
      <c r="R54" s="731">
        <f ca="1">SUM(C54:Q54)</f>
        <v>61346.050828532723</v>
      </c>
    </row>
    <row r="55" spans="1:18" ht="15" thickBot="1">
      <c r="A55" s="825" t="s">
        <v>848</v>
      </c>
      <c r="B55" s="835"/>
      <c r="C55" s="703">
        <f ca="1">C25*'EF ele_warmte'!B12</f>
        <v>220.11335855970398</v>
      </c>
      <c r="D55" s="703"/>
      <c r="E55" s="703">
        <f>E25*EF_CO2_aardgas</f>
        <v>584.45886992440001</v>
      </c>
      <c r="F55" s="703"/>
      <c r="G55" s="703"/>
      <c r="H55" s="703"/>
      <c r="I55" s="703"/>
      <c r="J55" s="703"/>
      <c r="K55" s="703"/>
      <c r="L55" s="703"/>
      <c r="M55" s="703"/>
      <c r="N55" s="703"/>
      <c r="O55" s="703"/>
      <c r="P55" s="703"/>
      <c r="Q55" s="704"/>
      <c r="R55" s="731">
        <f ca="1">SUM(C55:Q55)</f>
        <v>804.57222848410402</v>
      </c>
    </row>
    <row r="56" spans="1:18" ht="15.75" thickBot="1">
      <c r="A56" s="823" t="s">
        <v>849</v>
      </c>
      <c r="B56" s="836"/>
      <c r="C56" s="732">
        <f ca="1">SUM(C54:C55)</f>
        <v>1546.0960855672358</v>
      </c>
      <c r="D56" s="732">
        <f t="shared" ref="D56:Q56" ca="1" si="7">SUM(D54:D55)</f>
        <v>51199.817883399766</v>
      </c>
      <c r="E56" s="732">
        <f t="shared" si="7"/>
        <v>5985.8318110734399</v>
      </c>
      <c r="F56" s="732">
        <f t="shared" si="7"/>
        <v>36.947113791286945</v>
      </c>
      <c r="G56" s="732">
        <f t="shared" si="7"/>
        <v>3060.2511156293381</v>
      </c>
      <c r="H56" s="732">
        <f t="shared" si="7"/>
        <v>0</v>
      </c>
      <c r="I56" s="732">
        <f t="shared" si="7"/>
        <v>0</v>
      </c>
      <c r="J56" s="732">
        <f t="shared" si="7"/>
        <v>0</v>
      </c>
      <c r="K56" s="732">
        <f t="shared" si="7"/>
        <v>321.67904755575915</v>
      </c>
      <c r="L56" s="732">
        <f t="shared" si="7"/>
        <v>0</v>
      </c>
      <c r="M56" s="732">
        <f t="shared" si="7"/>
        <v>0</v>
      </c>
      <c r="N56" s="732">
        <f t="shared" si="7"/>
        <v>0</v>
      </c>
      <c r="O56" s="732">
        <f t="shared" si="7"/>
        <v>0</v>
      </c>
      <c r="P56" s="732">
        <f t="shared" si="7"/>
        <v>0</v>
      </c>
      <c r="Q56" s="733">
        <f t="shared" si="7"/>
        <v>0</v>
      </c>
      <c r="R56" s="734">
        <f ca="1">SUM(R54:R55)</f>
        <v>62150.623057016826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22751.503280646357</v>
      </c>
      <c r="D61" s="740">
        <f t="shared" ref="D61:Q61" ca="1" si="8">D46+D52+D56</f>
        <v>52989.273649099086</v>
      </c>
      <c r="E61" s="740">
        <f t="shared" ca="1" si="8"/>
        <v>29550.019847605559</v>
      </c>
      <c r="F61" s="740">
        <f t="shared" si="8"/>
        <v>1343.9569762148578</v>
      </c>
      <c r="G61" s="740">
        <f t="shared" ca="1" si="8"/>
        <v>15079.844398788098</v>
      </c>
      <c r="H61" s="740">
        <f t="shared" si="8"/>
        <v>15118.42782794714</v>
      </c>
      <c r="I61" s="740">
        <f t="shared" si="8"/>
        <v>2917.3800656096914</v>
      </c>
      <c r="J61" s="740">
        <f t="shared" si="8"/>
        <v>0</v>
      </c>
      <c r="K61" s="740">
        <f t="shared" si="8"/>
        <v>430.41274416463733</v>
      </c>
      <c r="L61" s="740">
        <f t="shared" si="8"/>
        <v>0</v>
      </c>
      <c r="M61" s="740">
        <f t="shared" ca="1" si="8"/>
        <v>0</v>
      </c>
      <c r="N61" s="740">
        <f t="shared" si="8"/>
        <v>0</v>
      </c>
      <c r="O61" s="740">
        <f t="shared" ca="1" si="8"/>
        <v>0</v>
      </c>
      <c r="P61" s="740">
        <f t="shared" si="8"/>
        <v>0</v>
      </c>
      <c r="Q61" s="740">
        <f t="shared" si="8"/>
        <v>0</v>
      </c>
      <c r="R61" s="740">
        <f ca="1">R46+R52+R56</f>
        <v>140180.81879007543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0.21007283012793171</v>
      </c>
      <c r="D63" s="781">
        <f t="shared" ca="1" si="9"/>
        <v>0.22224334193648709</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9898.0175474089392</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12399.522507687994</v>
      </c>
      <c r="C76" s="750">
        <f>'lokale energieproductie'!B8*IFERROR(SUM(D76:H76)/SUM(D76:O76),0)</f>
        <v>158448.227492312</v>
      </c>
      <c r="D76" s="1033">
        <f>'lokale energieproductie'!C8</f>
        <v>181563.22274148892</v>
      </c>
      <c r="E76" s="1034">
        <f>'lokale energieproductie'!D8</f>
        <v>0</v>
      </c>
      <c r="F76" s="1034">
        <f>'lokale energieproductie'!E8</f>
        <v>4846.4566612311219</v>
      </c>
      <c r="G76" s="1034">
        <f>'lokale energieproductie'!F8</f>
        <v>0</v>
      </c>
      <c r="H76" s="1034">
        <f>'lokale energieproductie'!G8</f>
        <v>0</v>
      </c>
      <c r="I76" s="1034">
        <f>'lokale energieproductie'!I8</f>
        <v>14539.369983693367</v>
      </c>
      <c r="J76" s="1034">
        <f>'lokale energieproductie'!J8</f>
        <v>48.303554763100891</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37969.774922329474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22297.540055096935</v>
      </c>
      <c r="C78" s="755">
        <f>SUM(C72:C77)</f>
        <v>158448.227492312</v>
      </c>
      <c r="D78" s="756">
        <f t="shared" ref="D78:H78" si="10">SUM(D76:D77)</f>
        <v>181563.22274148892</v>
      </c>
      <c r="E78" s="756">
        <f t="shared" si="10"/>
        <v>0</v>
      </c>
      <c r="F78" s="756">
        <f t="shared" si="10"/>
        <v>4846.4566612311219</v>
      </c>
      <c r="G78" s="756">
        <f t="shared" si="10"/>
        <v>0</v>
      </c>
      <c r="H78" s="756">
        <f t="shared" si="10"/>
        <v>0</v>
      </c>
      <c r="I78" s="756">
        <f>SUM(I76:I77)</f>
        <v>14539.369983693367</v>
      </c>
      <c r="J78" s="756">
        <f>SUM(J76:J77)</f>
        <v>48.303554763100891</v>
      </c>
      <c r="K78" s="756">
        <f t="shared" ref="K78:L78" si="11">SUM(K76:K77)</f>
        <v>0</v>
      </c>
      <c r="L78" s="756">
        <f t="shared" si="11"/>
        <v>0</v>
      </c>
      <c r="M78" s="756">
        <f>SUM(M76:M77)</f>
        <v>0</v>
      </c>
      <c r="N78" s="756">
        <f>SUM(N76:N77)</f>
        <v>0</v>
      </c>
      <c r="O78" s="860">
        <f>SUM(O76:O77)</f>
        <v>0</v>
      </c>
      <c r="P78" s="757">
        <v>0</v>
      </c>
      <c r="Q78" s="757">
        <f>SUM(Q76:Q77)</f>
        <v>37969.774922329474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17304.334635169147</v>
      </c>
      <c r="C87" s="766">
        <f>'lokale energieproductie'!B17*IFERROR(SUM(D87:H87)/SUM(D87:O87),0)</f>
        <v>221124.73679340223</v>
      </c>
      <c r="D87" s="777">
        <f>'lokale energieproductie'!C17</f>
        <v>253383.2058299396</v>
      </c>
      <c r="E87" s="777">
        <f>'lokale energieproductie'!D17</f>
        <v>0</v>
      </c>
      <c r="F87" s="777">
        <f>'lokale energieproductie'!E17</f>
        <v>6763.5433387688781</v>
      </c>
      <c r="G87" s="777">
        <f>'lokale energieproductie'!F17</f>
        <v>0</v>
      </c>
      <c r="H87" s="777">
        <f>'lokale energieproductie'!G17</f>
        <v>0</v>
      </c>
      <c r="I87" s="777">
        <f>'lokale energieproductie'!I17</f>
        <v>20290.630016306633</v>
      </c>
      <c r="J87" s="777">
        <f>'lokale energieproductie'!J17</f>
        <v>67.410730951184831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52989.273649099094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17304.334635169147</v>
      </c>
      <c r="C90" s="755">
        <f>SUM(C87:C89)</f>
        <v>221124.73679340223</v>
      </c>
      <c r="D90" s="755">
        <f t="shared" ref="D90:H90" si="12">SUM(D87:D89)</f>
        <v>253383.2058299396</v>
      </c>
      <c r="E90" s="755">
        <f t="shared" si="12"/>
        <v>0</v>
      </c>
      <c r="F90" s="755">
        <f t="shared" si="12"/>
        <v>6763.5433387688781</v>
      </c>
      <c r="G90" s="755">
        <f t="shared" si="12"/>
        <v>0</v>
      </c>
      <c r="H90" s="755">
        <f t="shared" si="12"/>
        <v>0</v>
      </c>
      <c r="I90" s="755">
        <f>SUM(I87:I89)</f>
        <v>20290.630016306633</v>
      </c>
      <c r="J90" s="755">
        <f>SUM(J87:J89)</f>
        <v>67.410730951184831</v>
      </c>
      <c r="K90" s="755">
        <f t="shared" ref="K90:L90" si="13">SUM(K87:K89)</f>
        <v>0</v>
      </c>
      <c r="L90" s="755">
        <f t="shared" si="13"/>
        <v>0</v>
      </c>
      <c r="M90" s="755">
        <f>SUM(M87:M89)</f>
        <v>0</v>
      </c>
      <c r="N90" s="755">
        <f>SUM(N87:N89)</f>
        <v>0</v>
      </c>
      <c r="O90" s="755">
        <f>SUM(O87:O89)</f>
        <v>0</v>
      </c>
      <c r="P90" s="755">
        <v>0</v>
      </c>
      <c r="Q90" s="755">
        <f>SUM(Q87:Q89)</f>
        <v>52989.273649099094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9898.0175474089392</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170847.75</v>
      </c>
      <c r="C8" s="570">
        <f>B101</f>
        <v>181563.22274148892</v>
      </c>
      <c r="D8" s="1043"/>
      <c r="E8" s="1043">
        <f>E101</f>
        <v>4846.4566612311219</v>
      </c>
      <c r="F8" s="1044"/>
      <c r="G8" s="571"/>
      <c r="H8" s="1043">
        <f>I101</f>
        <v>0</v>
      </c>
      <c r="I8" s="1043">
        <f>G101+F101</f>
        <v>14539.369983693367</v>
      </c>
      <c r="J8" s="1043">
        <f>H101+D101+C101</f>
        <v>48.303554763100891</v>
      </c>
      <c r="K8" s="1043"/>
      <c r="L8" s="1043"/>
      <c r="M8" s="1043"/>
      <c r="N8" s="572"/>
      <c r="O8" s="573">
        <f>C8*$C$12+D8*$D$12+E8*$E$12+F8*$F$12+G8*$G$12+H8*$H$12+I8*$I$12+J8*$J$12</f>
        <v>37969.774922329474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180745.76754740893</v>
      </c>
      <c r="C10" s="583">
        <f t="shared" ref="C10:L10" si="0">SUM(C8:C9)</f>
        <v>181563.22274148892</v>
      </c>
      <c r="D10" s="583">
        <f t="shared" si="0"/>
        <v>0</v>
      </c>
      <c r="E10" s="583">
        <f t="shared" si="0"/>
        <v>4846.4566612311219</v>
      </c>
      <c r="F10" s="583">
        <f t="shared" si="0"/>
        <v>0</v>
      </c>
      <c r="G10" s="583">
        <f t="shared" si="0"/>
        <v>0</v>
      </c>
      <c r="H10" s="583">
        <f t="shared" si="0"/>
        <v>0</v>
      </c>
      <c r="I10" s="583">
        <f t="shared" si="0"/>
        <v>14539.369983693367</v>
      </c>
      <c r="J10" s="583">
        <f t="shared" si="0"/>
        <v>48.303554763100891</v>
      </c>
      <c r="K10" s="583">
        <f t="shared" si="0"/>
        <v>0</v>
      </c>
      <c r="L10" s="583">
        <f t="shared" si="0"/>
        <v>0</v>
      </c>
      <c r="M10" s="1046"/>
      <c r="N10" s="1046"/>
      <c r="O10" s="584">
        <f>SUM(O4:O9)</f>
        <v>37969.774922329474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238429.07142857136</v>
      </c>
      <c r="C17" s="595">
        <f>B102</f>
        <v>253383.2058299396</v>
      </c>
      <c r="D17" s="596"/>
      <c r="E17" s="596">
        <f>E102</f>
        <v>6763.5433387688781</v>
      </c>
      <c r="F17" s="1049"/>
      <c r="G17" s="597"/>
      <c r="H17" s="595">
        <f>I102</f>
        <v>0</v>
      </c>
      <c r="I17" s="596">
        <f>G102+F102</f>
        <v>20290.630016306633</v>
      </c>
      <c r="J17" s="596">
        <f>H102+D102+C102</f>
        <v>67.410730951184831</v>
      </c>
      <c r="K17" s="596"/>
      <c r="L17" s="596"/>
      <c r="M17" s="596"/>
      <c r="N17" s="1050"/>
      <c r="O17" s="598">
        <f>C17*$C$22+E17*$E$22+H17*$H$22+I17*$I$22+J17*$J$22+D17*$D$22+F17*$F$22+G17*$G$22+K17*$K$22+L17*$L$22</f>
        <v>52989.273649099094</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238429.07142857136</v>
      </c>
      <c r="C20" s="582">
        <f>SUM(C17:C19)</f>
        <v>253383.2058299396</v>
      </c>
      <c r="D20" s="582">
        <f t="shared" ref="D20:L20" si="1">SUM(D17:D19)</f>
        <v>0</v>
      </c>
      <c r="E20" s="582">
        <f t="shared" si="1"/>
        <v>6763.5433387688781</v>
      </c>
      <c r="F20" s="582">
        <f t="shared" si="1"/>
        <v>0</v>
      </c>
      <c r="G20" s="582">
        <f t="shared" si="1"/>
        <v>0</v>
      </c>
      <c r="H20" s="582">
        <f t="shared" si="1"/>
        <v>0</v>
      </c>
      <c r="I20" s="582">
        <f t="shared" si="1"/>
        <v>20290.630016306633</v>
      </c>
      <c r="J20" s="582">
        <f t="shared" si="1"/>
        <v>67.410730951184831</v>
      </c>
      <c r="K20" s="582">
        <f t="shared" si="1"/>
        <v>0</v>
      </c>
      <c r="L20" s="582">
        <f t="shared" si="1"/>
        <v>0</v>
      </c>
      <c r="M20" s="582"/>
      <c r="N20" s="582"/>
      <c r="O20" s="601">
        <f>SUM(O17:O19)</f>
        <v>52989.273649099094</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12035</v>
      </c>
      <c r="C28" s="796">
        <v>2860</v>
      </c>
      <c r="D28" s="653" t="s">
        <v>890</v>
      </c>
      <c r="E28" s="652" t="s">
        <v>891</v>
      </c>
      <c r="F28" s="652" t="s">
        <v>892</v>
      </c>
      <c r="G28" s="652" t="s">
        <v>893</v>
      </c>
      <c r="H28" s="652" t="s">
        <v>894</v>
      </c>
      <c r="I28" s="652" t="s">
        <v>891</v>
      </c>
      <c r="J28" s="795">
        <v>40568</v>
      </c>
      <c r="K28" s="795">
        <v>39203</v>
      </c>
      <c r="L28" s="652" t="s">
        <v>895</v>
      </c>
      <c r="M28" s="652">
        <v>1129</v>
      </c>
      <c r="N28" s="652">
        <v>5080.5</v>
      </c>
      <c r="O28" s="652">
        <v>5715.5625</v>
      </c>
      <c r="P28" s="652">
        <v>0</v>
      </c>
      <c r="Q28" s="652">
        <v>0</v>
      </c>
      <c r="R28" s="652">
        <v>0</v>
      </c>
      <c r="S28" s="652">
        <v>3175.3125</v>
      </c>
      <c r="T28" s="652">
        <v>9525.9375</v>
      </c>
      <c r="U28" s="652">
        <v>0</v>
      </c>
      <c r="V28" s="652">
        <v>0</v>
      </c>
      <c r="W28" s="652">
        <v>0</v>
      </c>
      <c r="X28" s="652">
        <v>10</v>
      </c>
      <c r="Y28" s="652" t="s">
        <v>112</v>
      </c>
      <c r="Z28" s="654" t="s">
        <v>112</v>
      </c>
    </row>
    <row r="29" spans="1:26" s="606" customFormat="1" ht="25.5">
      <c r="A29" s="605"/>
      <c r="B29" s="796">
        <v>12035</v>
      </c>
      <c r="C29" s="796">
        <v>2861</v>
      </c>
      <c r="D29" s="653" t="s">
        <v>896</v>
      </c>
      <c r="E29" s="652" t="s">
        <v>897</v>
      </c>
      <c r="F29" s="652" t="s">
        <v>898</v>
      </c>
      <c r="G29" s="652" t="s">
        <v>893</v>
      </c>
      <c r="H29" s="652" t="s">
        <v>899</v>
      </c>
      <c r="I29" s="652" t="s">
        <v>897</v>
      </c>
      <c r="J29" s="795">
        <v>40570</v>
      </c>
      <c r="K29" s="795">
        <v>39247</v>
      </c>
      <c r="L29" s="652" t="s">
        <v>895</v>
      </c>
      <c r="M29" s="652">
        <v>1752</v>
      </c>
      <c r="N29" s="652">
        <v>7884</v>
      </c>
      <c r="O29" s="652">
        <v>11262.857142857143</v>
      </c>
      <c r="P29" s="652">
        <v>22525.714285714286</v>
      </c>
      <c r="Q29" s="652">
        <v>0</v>
      </c>
      <c r="R29" s="652">
        <v>0</v>
      </c>
      <c r="S29" s="652">
        <v>0</v>
      </c>
      <c r="T29" s="652">
        <v>0</v>
      </c>
      <c r="U29" s="652">
        <v>0</v>
      </c>
      <c r="V29" s="652">
        <v>0</v>
      </c>
      <c r="W29" s="652">
        <v>0</v>
      </c>
      <c r="X29" s="652">
        <v>10</v>
      </c>
      <c r="Y29" s="652" t="s">
        <v>112</v>
      </c>
      <c r="Z29" s="654" t="s">
        <v>112</v>
      </c>
    </row>
    <row r="30" spans="1:26" s="606" customFormat="1" ht="25.5">
      <c r="A30" s="605"/>
      <c r="B30" s="796">
        <v>12035</v>
      </c>
      <c r="C30" s="796">
        <v>2861</v>
      </c>
      <c r="D30" s="653" t="s">
        <v>900</v>
      </c>
      <c r="E30" s="652" t="s">
        <v>901</v>
      </c>
      <c r="F30" s="652" t="s">
        <v>902</v>
      </c>
      <c r="G30" s="652" t="s">
        <v>893</v>
      </c>
      <c r="H30" s="652" t="s">
        <v>899</v>
      </c>
      <c r="I30" s="652" t="s">
        <v>901</v>
      </c>
      <c r="J30" s="795">
        <v>39263</v>
      </c>
      <c r="K30" s="795">
        <v>39261</v>
      </c>
      <c r="L30" s="652" t="s">
        <v>895</v>
      </c>
      <c r="M30" s="652">
        <v>1984</v>
      </c>
      <c r="N30" s="652">
        <v>8928</v>
      </c>
      <c r="O30" s="652">
        <v>12754.285714285714</v>
      </c>
      <c r="P30" s="652">
        <v>25508.571428571431</v>
      </c>
      <c r="Q30" s="652">
        <v>0</v>
      </c>
      <c r="R30" s="652">
        <v>0</v>
      </c>
      <c r="S30" s="652">
        <v>0</v>
      </c>
      <c r="T30" s="652">
        <v>0</v>
      </c>
      <c r="U30" s="652">
        <v>0</v>
      </c>
      <c r="V30" s="652">
        <v>0</v>
      </c>
      <c r="W30" s="652">
        <v>0</v>
      </c>
      <c r="X30" s="652">
        <v>10</v>
      </c>
      <c r="Y30" s="652" t="s">
        <v>112</v>
      </c>
      <c r="Z30" s="654" t="s">
        <v>112</v>
      </c>
    </row>
    <row r="31" spans="1:26" s="606" customFormat="1" ht="25.5">
      <c r="A31" s="605"/>
      <c r="B31" s="796">
        <v>12035</v>
      </c>
      <c r="C31" s="796">
        <v>2861</v>
      </c>
      <c r="D31" s="653" t="s">
        <v>903</v>
      </c>
      <c r="E31" s="652" t="s">
        <v>904</v>
      </c>
      <c r="F31" s="652" t="s">
        <v>905</v>
      </c>
      <c r="G31" s="652" t="s">
        <v>893</v>
      </c>
      <c r="H31" s="652" t="s">
        <v>899</v>
      </c>
      <c r="I31" s="652" t="s">
        <v>904</v>
      </c>
      <c r="J31" s="795">
        <v>39322</v>
      </c>
      <c r="K31" s="795">
        <v>39352</v>
      </c>
      <c r="L31" s="652" t="s">
        <v>895</v>
      </c>
      <c r="M31" s="652">
        <v>1564</v>
      </c>
      <c r="N31" s="652">
        <v>7038</v>
      </c>
      <c r="O31" s="652">
        <v>10054.285714285714</v>
      </c>
      <c r="P31" s="652">
        <v>20108.571428571431</v>
      </c>
      <c r="Q31" s="652">
        <v>0</v>
      </c>
      <c r="R31" s="652">
        <v>0</v>
      </c>
      <c r="S31" s="652">
        <v>0</v>
      </c>
      <c r="T31" s="652">
        <v>0</v>
      </c>
      <c r="U31" s="652">
        <v>0</v>
      </c>
      <c r="V31" s="652">
        <v>0</v>
      </c>
      <c r="W31" s="652">
        <v>0</v>
      </c>
      <c r="X31" s="652">
        <v>10</v>
      </c>
      <c r="Y31" s="652" t="s">
        <v>112</v>
      </c>
      <c r="Z31" s="654" t="s">
        <v>112</v>
      </c>
    </row>
    <row r="32" spans="1:26" s="606" customFormat="1" ht="38.25">
      <c r="A32" s="605"/>
      <c r="B32" s="796">
        <v>12035</v>
      </c>
      <c r="C32" s="796">
        <v>2861</v>
      </c>
      <c r="D32" s="653" t="s">
        <v>906</v>
      </c>
      <c r="E32" s="652" t="s">
        <v>907</v>
      </c>
      <c r="F32" s="652" t="s">
        <v>908</v>
      </c>
      <c r="G32" s="652" t="s">
        <v>893</v>
      </c>
      <c r="H32" s="652" t="s">
        <v>899</v>
      </c>
      <c r="I32" s="652" t="s">
        <v>907</v>
      </c>
      <c r="J32" s="795">
        <v>40921</v>
      </c>
      <c r="K32" s="795">
        <v>39455</v>
      </c>
      <c r="L32" s="652" t="s">
        <v>895</v>
      </c>
      <c r="M32" s="652">
        <v>2566</v>
      </c>
      <c r="N32" s="652">
        <v>11547</v>
      </c>
      <c r="O32" s="652">
        <v>16495.714285714286</v>
      </c>
      <c r="P32" s="652">
        <v>32991.428571428572</v>
      </c>
      <c r="Q32" s="652">
        <v>0</v>
      </c>
      <c r="R32" s="652">
        <v>0</v>
      </c>
      <c r="S32" s="652">
        <v>0</v>
      </c>
      <c r="T32" s="652">
        <v>0</v>
      </c>
      <c r="U32" s="652">
        <v>0</v>
      </c>
      <c r="V32" s="652">
        <v>0</v>
      </c>
      <c r="W32" s="652">
        <v>0</v>
      </c>
      <c r="X32" s="652">
        <v>10</v>
      </c>
      <c r="Y32" s="652" t="s">
        <v>112</v>
      </c>
      <c r="Z32" s="654" t="s">
        <v>112</v>
      </c>
    </row>
    <row r="33" spans="1:26" s="606" customFormat="1" ht="25.5">
      <c r="A33" s="605"/>
      <c r="B33" s="796">
        <v>12035</v>
      </c>
      <c r="C33" s="796">
        <v>2861</v>
      </c>
      <c r="D33" s="653" t="s">
        <v>909</v>
      </c>
      <c r="E33" s="652" t="s">
        <v>910</v>
      </c>
      <c r="F33" s="652" t="s">
        <v>911</v>
      </c>
      <c r="G33" s="652" t="s">
        <v>893</v>
      </c>
      <c r="H33" s="652" t="s">
        <v>899</v>
      </c>
      <c r="I33" s="652" t="s">
        <v>910</v>
      </c>
      <c r="J33" s="795">
        <v>39462</v>
      </c>
      <c r="K33" s="795">
        <v>39471</v>
      </c>
      <c r="L33" s="652" t="s">
        <v>895</v>
      </c>
      <c r="M33" s="652">
        <v>1006</v>
      </c>
      <c r="N33" s="652">
        <v>4527</v>
      </c>
      <c r="O33" s="652">
        <v>6467.1428571428569</v>
      </c>
      <c r="P33" s="652">
        <v>12934.285714285716</v>
      </c>
      <c r="Q33" s="652">
        <v>0</v>
      </c>
      <c r="R33" s="652">
        <v>0</v>
      </c>
      <c r="S33" s="652">
        <v>0</v>
      </c>
      <c r="T33" s="652">
        <v>0</v>
      </c>
      <c r="U33" s="652">
        <v>0</v>
      </c>
      <c r="V33" s="652">
        <v>0</v>
      </c>
      <c r="W33" s="652">
        <v>0</v>
      </c>
      <c r="X33" s="652">
        <v>10</v>
      </c>
      <c r="Y33" s="652" t="s">
        <v>112</v>
      </c>
      <c r="Z33" s="654" t="s">
        <v>112</v>
      </c>
    </row>
    <row r="34" spans="1:26" s="606" customFormat="1" ht="25.5">
      <c r="A34" s="605"/>
      <c r="B34" s="796">
        <v>12035</v>
      </c>
      <c r="C34" s="796">
        <v>2860</v>
      </c>
      <c r="D34" s="653" t="s">
        <v>912</v>
      </c>
      <c r="E34" s="652" t="s">
        <v>913</v>
      </c>
      <c r="F34" s="652" t="s">
        <v>914</v>
      </c>
      <c r="G34" s="652" t="s">
        <v>893</v>
      </c>
      <c r="H34" s="652" t="s">
        <v>899</v>
      </c>
      <c r="I34" s="652" t="s">
        <v>913</v>
      </c>
      <c r="J34" s="795">
        <v>39653</v>
      </c>
      <c r="K34" s="795">
        <v>39688</v>
      </c>
      <c r="L34" s="652" t="s">
        <v>895</v>
      </c>
      <c r="M34" s="652">
        <v>1158</v>
      </c>
      <c r="N34" s="652">
        <v>5211</v>
      </c>
      <c r="O34" s="652">
        <v>7444.2857142857147</v>
      </c>
      <c r="P34" s="652">
        <v>14888.571428571429</v>
      </c>
      <c r="Q34" s="652">
        <v>0</v>
      </c>
      <c r="R34" s="652">
        <v>0</v>
      </c>
      <c r="S34" s="652">
        <v>0</v>
      </c>
      <c r="T34" s="652">
        <v>0</v>
      </c>
      <c r="U34" s="652">
        <v>0</v>
      </c>
      <c r="V34" s="652">
        <v>0</v>
      </c>
      <c r="W34" s="652">
        <v>0</v>
      </c>
      <c r="X34" s="652">
        <v>10</v>
      </c>
      <c r="Y34" s="652" t="s">
        <v>112</v>
      </c>
      <c r="Z34" s="654" t="s">
        <v>112</v>
      </c>
    </row>
    <row r="35" spans="1:26" s="606" customFormat="1" ht="38.25">
      <c r="A35" s="605"/>
      <c r="B35" s="796">
        <v>12035</v>
      </c>
      <c r="C35" s="796">
        <v>2861</v>
      </c>
      <c r="D35" s="653" t="s">
        <v>915</v>
      </c>
      <c r="E35" s="652" t="s">
        <v>916</v>
      </c>
      <c r="F35" s="652" t="s">
        <v>917</v>
      </c>
      <c r="G35" s="652" t="s">
        <v>893</v>
      </c>
      <c r="H35" s="652" t="s">
        <v>899</v>
      </c>
      <c r="I35" s="652" t="s">
        <v>916</v>
      </c>
      <c r="J35" s="795">
        <v>39805</v>
      </c>
      <c r="K35" s="795">
        <v>39805</v>
      </c>
      <c r="L35" s="652" t="s">
        <v>895</v>
      </c>
      <c r="M35" s="652">
        <v>2014</v>
      </c>
      <c r="N35" s="652">
        <v>9062.9999999999982</v>
      </c>
      <c r="O35" s="652">
        <v>12947.142857142855</v>
      </c>
      <c r="P35" s="652">
        <v>25894.28571428571</v>
      </c>
      <c r="Q35" s="652">
        <v>0</v>
      </c>
      <c r="R35" s="652">
        <v>0</v>
      </c>
      <c r="S35" s="652">
        <v>0</v>
      </c>
      <c r="T35" s="652">
        <v>0</v>
      </c>
      <c r="U35" s="652">
        <v>0</v>
      </c>
      <c r="V35" s="652">
        <v>0</v>
      </c>
      <c r="W35" s="652">
        <v>0</v>
      </c>
      <c r="X35" s="652">
        <v>10</v>
      </c>
      <c r="Y35" s="652" t="s">
        <v>112</v>
      </c>
      <c r="Z35" s="654" t="s">
        <v>112</v>
      </c>
    </row>
    <row r="36" spans="1:26" s="606" customFormat="1" ht="38.25">
      <c r="A36" s="605"/>
      <c r="B36" s="796">
        <v>12035</v>
      </c>
      <c r="C36" s="796">
        <v>2860</v>
      </c>
      <c r="D36" s="653" t="s">
        <v>918</v>
      </c>
      <c r="E36" s="652" t="s">
        <v>919</v>
      </c>
      <c r="F36" s="652" t="s">
        <v>920</v>
      </c>
      <c r="G36" s="652" t="s">
        <v>893</v>
      </c>
      <c r="H36" s="652" t="s">
        <v>894</v>
      </c>
      <c r="I36" s="652" t="s">
        <v>919</v>
      </c>
      <c r="J36" s="795">
        <v>39834</v>
      </c>
      <c r="K36" s="795">
        <v>39834</v>
      </c>
      <c r="L36" s="652" t="s">
        <v>921</v>
      </c>
      <c r="M36" s="652">
        <v>773</v>
      </c>
      <c r="N36" s="652">
        <v>3478.5</v>
      </c>
      <c r="O36" s="652">
        <v>3913.3125</v>
      </c>
      <c r="P36" s="652">
        <v>0</v>
      </c>
      <c r="Q36" s="652">
        <v>0</v>
      </c>
      <c r="R36" s="652">
        <v>0</v>
      </c>
      <c r="S36" s="652">
        <v>2174.0625</v>
      </c>
      <c r="T36" s="652">
        <v>6522.1875</v>
      </c>
      <c r="U36" s="652">
        <v>0</v>
      </c>
      <c r="V36" s="652">
        <v>0</v>
      </c>
      <c r="W36" s="652">
        <v>0</v>
      </c>
      <c r="X36" s="652">
        <v>10</v>
      </c>
      <c r="Y36" s="652" t="s">
        <v>112</v>
      </c>
      <c r="Z36" s="654" t="s">
        <v>112</v>
      </c>
    </row>
    <row r="37" spans="1:26" s="606" customFormat="1" ht="25.5">
      <c r="A37" s="605"/>
      <c r="B37" s="796">
        <v>12035</v>
      </c>
      <c r="C37" s="796">
        <v>2861</v>
      </c>
      <c r="D37" s="653" t="s">
        <v>922</v>
      </c>
      <c r="E37" s="652" t="s">
        <v>923</v>
      </c>
      <c r="F37" s="652" t="s">
        <v>924</v>
      </c>
      <c r="G37" s="652" t="s">
        <v>893</v>
      </c>
      <c r="H37" s="652" t="s">
        <v>899</v>
      </c>
      <c r="I37" s="652" t="s">
        <v>925</v>
      </c>
      <c r="J37" s="795">
        <v>39910</v>
      </c>
      <c r="K37" s="795">
        <v>39910</v>
      </c>
      <c r="L37" s="652" t="s">
        <v>895</v>
      </c>
      <c r="M37" s="652">
        <v>1400</v>
      </c>
      <c r="N37" s="652">
        <v>6300</v>
      </c>
      <c r="O37" s="652">
        <v>9000</v>
      </c>
      <c r="P37" s="652">
        <v>18000</v>
      </c>
      <c r="Q37" s="652">
        <v>0</v>
      </c>
      <c r="R37" s="652">
        <v>0</v>
      </c>
      <c r="S37" s="652">
        <v>0</v>
      </c>
      <c r="T37" s="652">
        <v>0</v>
      </c>
      <c r="U37" s="652">
        <v>0</v>
      </c>
      <c r="V37" s="652">
        <v>0</v>
      </c>
      <c r="W37" s="652">
        <v>0</v>
      </c>
      <c r="X37" s="652">
        <v>10</v>
      </c>
      <c r="Y37" s="652" t="s">
        <v>112</v>
      </c>
      <c r="Z37" s="654" t="s">
        <v>112</v>
      </c>
    </row>
    <row r="38" spans="1:26" s="606" customFormat="1" ht="25.5">
      <c r="A38" s="605"/>
      <c r="B38" s="796">
        <v>12035</v>
      </c>
      <c r="C38" s="796">
        <v>2861</v>
      </c>
      <c r="D38" s="653" t="s">
        <v>926</v>
      </c>
      <c r="E38" s="652" t="s">
        <v>927</v>
      </c>
      <c r="F38" s="652" t="s">
        <v>928</v>
      </c>
      <c r="G38" s="652" t="s">
        <v>893</v>
      </c>
      <c r="H38" s="652" t="s">
        <v>899</v>
      </c>
      <c r="I38" s="652" t="s">
        <v>927</v>
      </c>
      <c r="J38" s="795">
        <v>40006</v>
      </c>
      <c r="K38" s="795">
        <v>40007</v>
      </c>
      <c r="L38" s="652" t="s">
        <v>895</v>
      </c>
      <c r="M38" s="652">
        <v>1562</v>
      </c>
      <c r="N38" s="652">
        <v>7029</v>
      </c>
      <c r="O38" s="652">
        <v>10041.428571428572</v>
      </c>
      <c r="P38" s="652">
        <v>20082.857142857145</v>
      </c>
      <c r="Q38" s="652">
        <v>0</v>
      </c>
      <c r="R38" s="652">
        <v>0</v>
      </c>
      <c r="S38" s="652">
        <v>0</v>
      </c>
      <c r="T38" s="652">
        <v>0</v>
      </c>
      <c r="U38" s="652">
        <v>0</v>
      </c>
      <c r="V38" s="652">
        <v>0</v>
      </c>
      <c r="W38" s="652">
        <v>0</v>
      </c>
      <c r="X38" s="652">
        <v>10</v>
      </c>
      <c r="Y38" s="652" t="s">
        <v>112</v>
      </c>
      <c r="Z38" s="654" t="s">
        <v>112</v>
      </c>
    </row>
    <row r="39" spans="1:26" s="606" customFormat="1" ht="25.5">
      <c r="A39" s="605"/>
      <c r="B39" s="796">
        <v>12035</v>
      </c>
      <c r="C39" s="796">
        <v>2860</v>
      </c>
      <c r="D39" s="653" t="s">
        <v>929</v>
      </c>
      <c r="E39" s="652" t="s">
        <v>930</v>
      </c>
      <c r="F39" s="652" t="s">
        <v>931</v>
      </c>
      <c r="G39" s="652" t="s">
        <v>893</v>
      </c>
      <c r="H39" s="652" t="s">
        <v>899</v>
      </c>
      <c r="I39" s="652" t="s">
        <v>930</v>
      </c>
      <c r="J39" s="795">
        <v>40058</v>
      </c>
      <c r="K39" s="795">
        <v>40058</v>
      </c>
      <c r="L39" s="652" t="s">
        <v>895</v>
      </c>
      <c r="M39" s="652">
        <v>2014</v>
      </c>
      <c r="N39" s="652">
        <v>9062.9999999999982</v>
      </c>
      <c r="O39" s="652">
        <v>12947.142857142855</v>
      </c>
      <c r="P39" s="652">
        <v>25894.28571428571</v>
      </c>
      <c r="Q39" s="652">
        <v>0</v>
      </c>
      <c r="R39" s="652">
        <v>0</v>
      </c>
      <c r="S39" s="652">
        <v>0</v>
      </c>
      <c r="T39" s="652">
        <v>0</v>
      </c>
      <c r="U39" s="652">
        <v>0</v>
      </c>
      <c r="V39" s="652">
        <v>0</v>
      </c>
      <c r="W39" s="652">
        <v>0</v>
      </c>
      <c r="X39" s="652">
        <v>10</v>
      </c>
      <c r="Y39" s="652" t="s">
        <v>112</v>
      </c>
      <c r="Z39" s="654" t="s">
        <v>112</v>
      </c>
    </row>
    <row r="40" spans="1:26" s="606" customFormat="1" ht="25.5">
      <c r="A40" s="605"/>
      <c r="B40" s="796">
        <v>12035</v>
      </c>
      <c r="C40" s="796">
        <v>2861</v>
      </c>
      <c r="D40" s="653" t="s">
        <v>932</v>
      </c>
      <c r="E40" s="652" t="s">
        <v>933</v>
      </c>
      <c r="F40" s="652" t="s">
        <v>934</v>
      </c>
      <c r="G40" s="652" t="s">
        <v>893</v>
      </c>
      <c r="H40" s="652" t="s">
        <v>899</v>
      </c>
      <c r="I40" s="652" t="s">
        <v>933</v>
      </c>
      <c r="J40" s="795">
        <v>40108</v>
      </c>
      <c r="K40" s="795">
        <v>40112</v>
      </c>
      <c r="L40" s="652" t="s">
        <v>895</v>
      </c>
      <c r="M40" s="652">
        <v>2014</v>
      </c>
      <c r="N40" s="652">
        <v>9062.9999999999982</v>
      </c>
      <c r="O40" s="652">
        <v>12947.142857142855</v>
      </c>
      <c r="P40" s="652">
        <v>25894.28571428571</v>
      </c>
      <c r="Q40" s="652">
        <v>0</v>
      </c>
      <c r="R40" s="652">
        <v>0</v>
      </c>
      <c r="S40" s="652">
        <v>0</v>
      </c>
      <c r="T40" s="652">
        <v>0</v>
      </c>
      <c r="U40" s="652">
        <v>0</v>
      </c>
      <c r="V40" s="652">
        <v>0</v>
      </c>
      <c r="W40" s="652">
        <v>0</v>
      </c>
      <c r="X40" s="652">
        <v>10</v>
      </c>
      <c r="Y40" s="652" t="s">
        <v>112</v>
      </c>
      <c r="Z40" s="654" t="s">
        <v>112</v>
      </c>
    </row>
    <row r="41" spans="1:26" s="606" customFormat="1" ht="25.5">
      <c r="A41" s="605"/>
      <c r="B41" s="796">
        <v>12035</v>
      </c>
      <c r="C41" s="796">
        <v>2860</v>
      </c>
      <c r="D41" s="653" t="s">
        <v>935</v>
      </c>
      <c r="E41" s="652" t="s">
        <v>936</v>
      </c>
      <c r="F41" s="652" t="s">
        <v>937</v>
      </c>
      <c r="G41" s="652" t="s">
        <v>893</v>
      </c>
      <c r="H41" s="652" t="s">
        <v>899</v>
      </c>
      <c r="I41" s="652" t="s">
        <v>938</v>
      </c>
      <c r="J41" s="795">
        <v>41985</v>
      </c>
      <c r="K41" s="795">
        <v>40193</v>
      </c>
      <c r="L41" s="652" t="s">
        <v>895</v>
      </c>
      <c r="M41" s="652">
        <v>2789</v>
      </c>
      <c r="N41" s="652">
        <v>12550.5</v>
      </c>
      <c r="O41" s="652">
        <v>17929.285714285714</v>
      </c>
      <c r="P41" s="652">
        <v>35858.571428571428</v>
      </c>
      <c r="Q41" s="652">
        <v>0</v>
      </c>
      <c r="R41" s="652">
        <v>0</v>
      </c>
      <c r="S41" s="652">
        <v>0</v>
      </c>
      <c r="T41" s="652">
        <v>0</v>
      </c>
      <c r="U41" s="652">
        <v>0</v>
      </c>
      <c r="V41" s="652">
        <v>0</v>
      </c>
      <c r="W41" s="652">
        <v>0</v>
      </c>
      <c r="X41" s="652">
        <v>10</v>
      </c>
      <c r="Y41" s="652" t="s">
        <v>112</v>
      </c>
      <c r="Z41" s="654" t="s">
        <v>112</v>
      </c>
    </row>
    <row r="42" spans="1:26" s="606" customFormat="1" ht="38.25">
      <c r="A42" s="605"/>
      <c r="B42" s="796">
        <v>12035</v>
      </c>
      <c r="C42" s="796">
        <v>2861</v>
      </c>
      <c r="D42" s="653" t="s">
        <v>939</v>
      </c>
      <c r="E42" s="652" t="s">
        <v>940</v>
      </c>
      <c r="F42" s="652" t="s">
        <v>941</v>
      </c>
      <c r="G42" s="652" t="s">
        <v>893</v>
      </c>
      <c r="H42" s="652" t="s">
        <v>894</v>
      </c>
      <c r="I42" s="652" t="s">
        <v>940</v>
      </c>
      <c r="J42" s="795">
        <v>40196</v>
      </c>
      <c r="K42" s="795">
        <v>40196</v>
      </c>
      <c r="L42" s="652" t="s">
        <v>895</v>
      </c>
      <c r="M42" s="652">
        <v>640</v>
      </c>
      <c r="N42" s="652">
        <v>2880</v>
      </c>
      <c r="O42" s="652">
        <v>3240</v>
      </c>
      <c r="P42" s="652">
        <v>0</v>
      </c>
      <c r="Q42" s="652">
        <v>0</v>
      </c>
      <c r="R42" s="652">
        <v>0</v>
      </c>
      <c r="S42" s="652">
        <v>1800</v>
      </c>
      <c r="T42" s="652">
        <v>5400</v>
      </c>
      <c r="U42" s="652">
        <v>0</v>
      </c>
      <c r="V42" s="652">
        <v>0</v>
      </c>
      <c r="W42" s="652">
        <v>0</v>
      </c>
      <c r="X42" s="652">
        <v>10</v>
      </c>
      <c r="Y42" s="652" t="s">
        <v>112</v>
      </c>
      <c r="Z42" s="654" t="s">
        <v>112</v>
      </c>
    </row>
    <row r="43" spans="1:26" s="606" customFormat="1" ht="38.25">
      <c r="A43" s="605"/>
      <c r="B43" s="796">
        <v>12035</v>
      </c>
      <c r="C43" s="796">
        <v>2860</v>
      </c>
      <c r="D43" s="653" t="s">
        <v>942</v>
      </c>
      <c r="E43" s="652" t="s">
        <v>943</v>
      </c>
      <c r="F43" s="652" t="s">
        <v>944</v>
      </c>
      <c r="G43" s="652" t="s">
        <v>893</v>
      </c>
      <c r="H43" s="652" t="s">
        <v>894</v>
      </c>
      <c r="I43" s="652" t="s">
        <v>943</v>
      </c>
      <c r="J43" s="795">
        <v>40315</v>
      </c>
      <c r="K43" s="795">
        <v>40315</v>
      </c>
      <c r="L43" s="652" t="s">
        <v>895</v>
      </c>
      <c r="M43" s="652">
        <v>1058</v>
      </c>
      <c r="N43" s="652">
        <v>4761</v>
      </c>
      <c r="O43" s="652">
        <v>5356.125</v>
      </c>
      <c r="P43" s="652">
        <v>0</v>
      </c>
      <c r="Q43" s="652">
        <v>0</v>
      </c>
      <c r="R43" s="652">
        <v>0</v>
      </c>
      <c r="S43" s="652">
        <v>2975.625</v>
      </c>
      <c r="T43" s="652">
        <v>8926.875</v>
      </c>
      <c r="U43" s="652">
        <v>0</v>
      </c>
      <c r="V43" s="652">
        <v>0</v>
      </c>
      <c r="W43" s="652">
        <v>0</v>
      </c>
      <c r="X43" s="652">
        <v>10</v>
      </c>
      <c r="Y43" s="652" t="s">
        <v>112</v>
      </c>
      <c r="Z43" s="654" t="s">
        <v>112</v>
      </c>
    </row>
    <row r="44" spans="1:26" s="606" customFormat="1" ht="25.5">
      <c r="A44" s="605"/>
      <c r="B44" s="796">
        <v>12035</v>
      </c>
      <c r="C44" s="796">
        <v>2860</v>
      </c>
      <c r="D44" s="653" t="s">
        <v>945</v>
      </c>
      <c r="E44" s="652" t="s">
        <v>946</v>
      </c>
      <c r="F44" s="652" t="s">
        <v>947</v>
      </c>
      <c r="G44" s="652" t="s">
        <v>893</v>
      </c>
      <c r="H44" s="652" t="s">
        <v>899</v>
      </c>
      <c r="I44" s="652" t="s">
        <v>946</v>
      </c>
      <c r="J44" s="795">
        <v>40396</v>
      </c>
      <c r="K44" s="795">
        <v>40399</v>
      </c>
      <c r="L44" s="652" t="s">
        <v>895</v>
      </c>
      <c r="M44" s="652">
        <v>1008</v>
      </c>
      <c r="N44" s="652">
        <v>4536</v>
      </c>
      <c r="O44" s="652">
        <v>6480</v>
      </c>
      <c r="P44" s="652">
        <v>12960</v>
      </c>
      <c r="Q44" s="652">
        <v>0</v>
      </c>
      <c r="R44" s="652">
        <v>0</v>
      </c>
      <c r="S44" s="652">
        <v>0</v>
      </c>
      <c r="T44" s="652">
        <v>0</v>
      </c>
      <c r="U44" s="652">
        <v>0</v>
      </c>
      <c r="V44" s="652">
        <v>0</v>
      </c>
      <c r="W44" s="652">
        <v>0</v>
      </c>
      <c r="X44" s="652">
        <v>10</v>
      </c>
      <c r="Y44" s="652" t="s">
        <v>112</v>
      </c>
      <c r="Z44" s="654" t="s">
        <v>112</v>
      </c>
    </row>
    <row r="45" spans="1:26" s="606" customFormat="1" ht="25.5">
      <c r="A45" s="605"/>
      <c r="B45" s="796">
        <v>12035</v>
      </c>
      <c r="C45" s="796">
        <v>2861</v>
      </c>
      <c r="D45" s="653" t="s">
        <v>948</v>
      </c>
      <c r="E45" s="652" t="s">
        <v>949</v>
      </c>
      <c r="F45" s="652" t="s">
        <v>950</v>
      </c>
      <c r="G45" s="652" t="s">
        <v>893</v>
      </c>
      <c r="H45" s="652" t="s">
        <v>899</v>
      </c>
      <c r="I45" s="652" t="s">
        <v>949</v>
      </c>
      <c r="J45" s="795">
        <v>40466</v>
      </c>
      <c r="K45" s="795">
        <v>40466</v>
      </c>
      <c r="L45" s="652" t="s">
        <v>895</v>
      </c>
      <c r="M45" s="652">
        <v>800</v>
      </c>
      <c r="N45" s="652">
        <v>3600</v>
      </c>
      <c r="O45" s="652">
        <v>5142.8571428571431</v>
      </c>
      <c r="P45" s="652">
        <v>10285.714285714286</v>
      </c>
      <c r="Q45" s="652">
        <v>0</v>
      </c>
      <c r="R45" s="652">
        <v>0</v>
      </c>
      <c r="S45" s="652">
        <v>0</v>
      </c>
      <c r="T45" s="652">
        <v>0</v>
      </c>
      <c r="U45" s="652">
        <v>0</v>
      </c>
      <c r="V45" s="652">
        <v>0</v>
      </c>
      <c r="W45" s="652">
        <v>0</v>
      </c>
      <c r="X45" s="652">
        <v>10</v>
      </c>
      <c r="Y45" s="652" t="s">
        <v>112</v>
      </c>
      <c r="Z45" s="654" t="s">
        <v>112</v>
      </c>
    </row>
    <row r="46" spans="1:26" s="606" customFormat="1" ht="38.25">
      <c r="A46" s="605"/>
      <c r="B46" s="796">
        <v>12035</v>
      </c>
      <c r="C46" s="796">
        <v>2861</v>
      </c>
      <c r="D46" s="653" t="s">
        <v>951</v>
      </c>
      <c r="E46" s="652" t="s">
        <v>952</v>
      </c>
      <c r="F46" s="652" t="s">
        <v>953</v>
      </c>
      <c r="G46" s="652" t="s">
        <v>893</v>
      </c>
      <c r="H46" s="652" t="s">
        <v>894</v>
      </c>
      <c r="I46" s="652" t="s">
        <v>952</v>
      </c>
      <c r="J46" s="795">
        <v>40477</v>
      </c>
      <c r="K46" s="795">
        <v>40477</v>
      </c>
      <c r="L46" s="652" t="s">
        <v>921</v>
      </c>
      <c r="M46" s="652">
        <v>528</v>
      </c>
      <c r="N46" s="652">
        <v>2376</v>
      </c>
      <c r="O46" s="652">
        <v>2673</v>
      </c>
      <c r="P46" s="652">
        <v>0</v>
      </c>
      <c r="Q46" s="652">
        <v>0</v>
      </c>
      <c r="R46" s="652">
        <v>0</v>
      </c>
      <c r="S46" s="652">
        <v>1485</v>
      </c>
      <c r="T46" s="652">
        <v>4455</v>
      </c>
      <c r="U46" s="652">
        <v>0</v>
      </c>
      <c r="V46" s="652">
        <v>0</v>
      </c>
      <c r="W46" s="652">
        <v>0</v>
      </c>
      <c r="X46" s="652">
        <v>10</v>
      </c>
      <c r="Y46" s="652" t="s">
        <v>112</v>
      </c>
      <c r="Z46" s="654" t="s">
        <v>112</v>
      </c>
    </row>
    <row r="47" spans="1:26" s="606" customFormat="1" ht="25.5">
      <c r="A47" s="605"/>
      <c r="B47" s="796">
        <v>12035</v>
      </c>
      <c r="C47" s="796">
        <v>2861</v>
      </c>
      <c r="D47" s="653" t="s">
        <v>922</v>
      </c>
      <c r="E47" s="652" t="s">
        <v>923</v>
      </c>
      <c r="F47" s="652" t="s">
        <v>954</v>
      </c>
      <c r="G47" s="652" t="s">
        <v>893</v>
      </c>
      <c r="H47" s="652" t="s">
        <v>899</v>
      </c>
      <c r="I47" s="652" t="s">
        <v>955</v>
      </c>
      <c r="J47" s="795">
        <v>40472</v>
      </c>
      <c r="K47" s="795">
        <v>40478</v>
      </c>
      <c r="L47" s="652" t="s">
        <v>895</v>
      </c>
      <c r="M47" s="652">
        <v>2040</v>
      </c>
      <c r="N47" s="652">
        <v>9180</v>
      </c>
      <c r="O47" s="652">
        <v>13114.285714285714</v>
      </c>
      <c r="P47" s="652">
        <v>26228.571428571431</v>
      </c>
      <c r="Q47" s="652">
        <v>0</v>
      </c>
      <c r="R47" s="652">
        <v>0</v>
      </c>
      <c r="S47" s="652">
        <v>0</v>
      </c>
      <c r="T47" s="652">
        <v>0</v>
      </c>
      <c r="U47" s="652">
        <v>0</v>
      </c>
      <c r="V47" s="652">
        <v>0</v>
      </c>
      <c r="W47" s="652">
        <v>0</v>
      </c>
      <c r="X47" s="652">
        <v>10</v>
      </c>
      <c r="Y47" s="652" t="s">
        <v>112</v>
      </c>
      <c r="Z47" s="654" t="s">
        <v>112</v>
      </c>
    </row>
    <row r="48" spans="1:26" s="606" customFormat="1" ht="25.5">
      <c r="A48" s="605"/>
      <c r="B48" s="796">
        <v>12035</v>
      </c>
      <c r="C48" s="796">
        <v>2860</v>
      </c>
      <c r="D48" s="653" t="s">
        <v>956</v>
      </c>
      <c r="E48" s="652" t="s">
        <v>957</v>
      </c>
      <c r="F48" s="652" t="s">
        <v>958</v>
      </c>
      <c r="G48" s="652" t="s">
        <v>893</v>
      </c>
      <c r="H48" s="652" t="s">
        <v>899</v>
      </c>
      <c r="I48" s="652" t="s">
        <v>957</v>
      </c>
      <c r="J48" s="795">
        <v>40480</v>
      </c>
      <c r="K48" s="795">
        <v>40480</v>
      </c>
      <c r="L48" s="652" t="s">
        <v>895</v>
      </c>
      <c r="M48" s="652">
        <v>2014</v>
      </c>
      <c r="N48" s="652">
        <v>9062.9999999999982</v>
      </c>
      <c r="O48" s="652">
        <v>12947.142857142855</v>
      </c>
      <c r="P48" s="652">
        <v>25894.28571428571</v>
      </c>
      <c r="Q48" s="652">
        <v>0</v>
      </c>
      <c r="R48" s="652">
        <v>0</v>
      </c>
      <c r="S48" s="652">
        <v>0</v>
      </c>
      <c r="T48" s="652">
        <v>0</v>
      </c>
      <c r="U48" s="652">
        <v>0</v>
      </c>
      <c r="V48" s="652">
        <v>0</v>
      </c>
      <c r="W48" s="652">
        <v>0</v>
      </c>
      <c r="X48" s="652">
        <v>10</v>
      </c>
      <c r="Y48" s="652" t="s">
        <v>112</v>
      </c>
      <c r="Z48" s="654" t="s">
        <v>112</v>
      </c>
    </row>
    <row r="49" spans="1:26" s="606" customFormat="1" ht="38.25">
      <c r="A49" s="605"/>
      <c r="B49" s="796">
        <v>12035</v>
      </c>
      <c r="C49" s="796">
        <v>2860</v>
      </c>
      <c r="D49" s="653" t="s">
        <v>959</v>
      </c>
      <c r="E49" s="652" t="s">
        <v>960</v>
      </c>
      <c r="F49" s="652" t="s">
        <v>961</v>
      </c>
      <c r="G49" s="652" t="s">
        <v>893</v>
      </c>
      <c r="H49" s="652" t="s">
        <v>899</v>
      </c>
      <c r="I49" s="652" t="s">
        <v>960</v>
      </c>
      <c r="J49" s="795">
        <v>40422</v>
      </c>
      <c r="K49" s="795">
        <v>40664</v>
      </c>
      <c r="L49" s="652" t="s">
        <v>895</v>
      </c>
      <c r="M49" s="652">
        <v>265</v>
      </c>
      <c r="N49" s="652">
        <v>1192.5</v>
      </c>
      <c r="O49" s="652">
        <v>1703.5714285714287</v>
      </c>
      <c r="P49" s="652">
        <v>3407.1428571428573</v>
      </c>
      <c r="Q49" s="652">
        <v>0</v>
      </c>
      <c r="R49" s="652">
        <v>0</v>
      </c>
      <c r="S49" s="652">
        <v>0</v>
      </c>
      <c r="T49" s="652">
        <v>0</v>
      </c>
      <c r="U49" s="652">
        <v>0</v>
      </c>
      <c r="V49" s="652">
        <v>0</v>
      </c>
      <c r="W49" s="652">
        <v>0</v>
      </c>
      <c r="X49" s="652">
        <v>10</v>
      </c>
      <c r="Y49" s="652" t="s">
        <v>112</v>
      </c>
      <c r="Z49" s="654" t="s">
        <v>112</v>
      </c>
    </row>
    <row r="50" spans="1:26" s="606" customFormat="1" ht="25.5">
      <c r="A50" s="605"/>
      <c r="B50" s="796">
        <v>12035</v>
      </c>
      <c r="C50" s="796">
        <v>2860</v>
      </c>
      <c r="D50" s="653" t="s">
        <v>962</v>
      </c>
      <c r="E50" s="652" t="s">
        <v>963</v>
      </c>
      <c r="F50" s="652" t="s">
        <v>964</v>
      </c>
      <c r="G50" s="652" t="s">
        <v>893</v>
      </c>
      <c r="H50" s="652" t="s">
        <v>899</v>
      </c>
      <c r="I50" s="652" t="s">
        <v>963</v>
      </c>
      <c r="J50" s="795">
        <v>40784</v>
      </c>
      <c r="K50" s="795">
        <v>40784</v>
      </c>
      <c r="L50" s="652" t="s">
        <v>895</v>
      </c>
      <c r="M50" s="652">
        <v>1160</v>
      </c>
      <c r="N50" s="652">
        <v>5220</v>
      </c>
      <c r="O50" s="652">
        <v>7457.1428571428569</v>
      </c>
      <c r="P50" s="652">
        <v>14914.285714285716</v>
      </c>
      <c r="Q50" s="652">
        <v>0</v>
      </c>
      <c r="R50" s="652">
        <v>0</v>
      </c>
      <c r="S50" s="652">
        <v>0</v>
      </c>
      <c r="T50" s="652">
        <v>0</v>
      </c>
      <c r="U50" s="652">
        <v>0</v>
      </c>
      <c r="V50" s="652">
        <v>0</v>
      </c>
      <c r="W50" s="652">
        <v>0</v>
      </c>
      <c r="X50" s="652">
        <v>10</v>
      </c>
      <c r="Y50" s="652" t="s">
        <v>112</v>
      </c>
      <c r="Z50" s="654" t="s">
        <v>112</v>
      </c>
    </row>
    <row r="51" spans="1:26" s="606" customFormat="1" ht="25.5">
      <c r="A51" s="607"/>
      <c r="B51" s="796">
        <v>12035</v>
      </c>
      <c r="C51" s="796">
        <v>2861</v>
      </c>
      <c r="D51" s="653" t="s">
        <v>965</v>
      </c>
      <c r="E51" s="652" t="s">
        <v>966</v>
      </c>
      <c r="F51" s="652" t="s">
        <v>967</v>
      </c>
      <c r="G51" s="652" t="s">
        <v>893</v>
      </c>
      <c r="H51" s="652" t="s">
        <v>899</v>
      </c>
      <c r="I51" s="652" t="s">
        <v>966</v>
      </c>
      <c r="J51" s="795">
        <v>40858</v>
      </c>
      <c r="K51" s="795">
        <v>41000</v>
      </c>
      <c r="L51" s="652" t="s">
        <v>895</v>
      </c>
      <c r="M51" s="652">
        <v>9</v>
      </c>
      <c r="N51" s="652">
        <v>40.5</v>
      </c>
      <c r="O51" s="652">
        <v>57.857142857142861</v>
      </c>
      <c r="P51" s="652">
        <v>0</v>
      </c>
      <c r="Q51" s="652">
        <v>0</v>
      </c>
      <c r="R51" s="652">
        <v>0</v>
      </c>
      <c r="S51" s="652">
        <v>0</v>
      </c>
      <c r="T51" s="652">
        <v>0</v>
      </c>
      <c r="U51" s="652">
        <v>0</v>
      </c>
      <c r="V51" s="652">
        <v>115.71428571428572</v>
      </c>
      <c r="W51" s="652">
        <v>0</v>
      </c>
      <c r="X51" s="652">
        <v>10</v>
      </c>
      <c r="Y51" s="652" t="s">
        <v>112</v>
      </c>
      <c r="Z51" s="654" t="s">
        <v>112</v>
      </c>
    </row>
    <row r="52" spans="1:26" s="606" customFormat="1" ht="25.5">
      <c r="A52" s="607"/>
      <c r="B52" s="796">
        <v>12035</v>
      </c>
      <c r="C52" s="796">
        <v>2861</v>
      </c>
      <c r="D52" s="652" t="s">
        <v>968</v>
      </c>
      <c r="E52" s="652" t="s">
        <v>969</v>
      </c>
      <c r="F52" s="652" t="s">
        <v>970</v>
      </c>
      <c r="G52" s="652" t="s">
        <v>893</v>
      </c>
      <c r="H52" s="652" t="s">
        <v>899</v>
      </c>
      <c r="I52" s="652" t="s">
        <v>969</v>
      </c>
      <c r="J52" s="795">
        <v>41031</v>
      </c>
      <c r="K52" s="795">
        <v>41031</v>
      </c>
      <c r="L52" s="652" t="s">
        <v>895</v>
      </c>
      <c r="M52" s="652">
        <v>1200</v>
      </c>
      <c r="N52" s="652">
        <v>5400</v>
      </c>
      <c r="O52" s="652">
        <v>7714.2857142857147</v>
      </c>
      <c r="P52" s="652">
        <v>15428.571428571429</v>
      </c>
      <c r="Q52" s="652">
        <v>0</v>
      </c>
      <c r="R52" s="652">
        <v>0</v>
      </c>
      <c r="S52" s="652">
        <v>0</v>
      </c>
      <c r="T52" s="652">
        <v>0</v>
      </c>
      <c r="U52" s="652">
        <v>0</v>
      </c>
      <c r="V52" s="652">
        <v>0</v>
      </c>
      <c r="W52" s="652">
        <v>0</v>
      </c>
      <c r="X52" s="652">
        <v>1300</v>
      </c>
      <c r="Y52" s="652" t="s">
        <v>54</v>
      </c>
      <c r="Z52" s="654" t="s">
        <v>156</v>
      </c>
    </row>
    <row r="53" spans="1:26" s="606" customFormat="1" ht="25.5">
      <c r="A53" s="607"/>
      <c r="B53" s="796">
        <v>12035</v>
      </c>
      <c r="C53" s="796">
        <v>2861</v>
      </c>
      <c r="D53" s="652" t="s">
        <v>971</v>
      </c>
      <c r="E53" s="652" t="s">
        <v>940</v>
      </c>
      <c r="F53" s="652" t="s">
        <v>972</v>
      </c>
      <c r="G53" s="652" t="s">
        <v>893</v>
      </c>
      <c r="H53" s="652" t="s">
        <v>899</v>
      </c>
      <c r="I53" s="652" t="s">
        <v>940</v>
      </c>
      <c r="J53" s="795">
        <v>41033</v>
      </c>
      <c r="K53" s="795">
        <v>41033</v>
      </c>
      <c r="L53" s="652" t="s">
        <v>895</v>
      </c>
      <c r="M53" s="652">
        <v>800</v>
      </c>
      <c r="N53" s="652">
        <v>3600</v>
      </c>
      <c r="O53" s="652">
        <v>5142.8571428571431</v>
      </c>
      <c r="P53" s="652">
        <v>10285.714285714286</v>
      </c>
      <c r="Q53" s="652">
        <v>0</v>
      </c>
      <c r="R53" s="652">
        <v>0</v>
      </c>
      <c r="S53" s="652">
        <v>0</v>
      </c>
      <c r="T53" s="652">
        <v>0</v>
      </c>
      <c r="U53" s="652">
        <v>0</v>
      </c>
      <c r="V53" s="652">
        <v>0</v>
      </c>
      <c r="W53" s="652">
        <v>0</v>
      </c>
      <c r="X53" s="652">
        <v>10</v>
      </c>
      <c r="Y53" s="652" t="s">
        <v>112</v>
      </c>
      <c r="Z53" s="654" t="s">
        <v>112</v>
      </c>
    </row>
    <row r="54" spans="1:26" s="606" customFormat="1" ht="25.5">
      <c r="A54" s="607"/>
      <c r="B54" s="796">
        <v>12035</v>
      </c>
      <c r="C54" s="796">
        <v>2860</v>
      </c>
      <c r="D54" s="652" t="s">
        <v>973</v>
      </c>
      <c r="E54" s="652" t="s">
        <v>974</v>
      </c>
      <c r="F54" s="652" t="s">
        <v>975</v>
      </c>
      <c r="G54" s="652" t="s">
        <v>893</v>
      </c>
      <c r="H54" s="652" t="s">
        <v>899</v>
      </c>
      <c r="I54" s="652" t="s">
        <v>976</v>
      </c>
      <c r="J54" s="795">
        <v>42118</v>
      </c>
      <c r="K54" s="795">
        <v>42118</v>
      </c>
      <c r="L54" s="652" t="s">
        <v>895</v>
      </c>
      <c r="M54" s="652">
        <v>4000</v>
      </c>
      <c r="N54" s="652">
        <v>12000</v>
      </c>
      <c r="O54" s="652">
        <v>17142.857142857145</v>
      </c>
      <c r="P54" s="652">
        <v>34285.71428571429</v>
      </c>
      <c r="Q54" s="652">
        <v>0</v>
      </c>
      <c r="R54" s="652">
        <v>0</v>
      </c>
      <c r="S54" s="652">
        <v>0</v>
      </c>
      <c r="T54" s="652">
        <v>0</v>
      </c>
      <c r="U54" s="652">
        <v>0</v>
      </c>
      <c r="V54" s="652">
        <v>0</v>
      </c>
      <c r="W54" s="652">
        <v>0</v>
      </c>
      <c r="X54" s="652">
        <v>10</v>
      </c>
      <c r="Y54" s="652" t="s">
        <v>112</v>
      </c>
      <c r="Z54" s="654" t="s">
        <v>112</v>
      </c>
    </row>
    <row r="55" spans="1:26" s="606" customFormat="1" ht="51">
      <c r="A55" s="607"/>
      <c r="B55" s="796">
        <v>12035</v>
      </c>
      <c r="C55" s="796">
        <v>2860</v>
      </c>
      <c r="D55" s="652" t="s">
        <v>977</v>
      </c>
      <c r="E55" s="652" t="s">
        <v>978</v>
      </c>
      <c r="F55" s="652" t="s">
        <v>979</v>
      </c>
      <c r="G55" s="652" t="s">
        <v>893</v>
      </c>
      <c r="H55" s="652" t="s">
        <v>899</v>
      </c>
      <c r="I55" s="652" t="s">
        <v>978</v>
      </c>
      <c r="J55" s="795">
        <v>42101</v>
      </c>
      <c r="K55" s="795">
        <v>42073</v>
      </c>
      <c r="L55" s="652" t="s">
        <v>895</v>
      </c>
      <c r="M55" s="652">
        <v>70</v>
      </c>
      <c r="N55" s="652">
        <v>236.25000000000003</v>
      </c>
      <c r="O55" s="652">
        <v>337.50000000000006</v>
      </c>
      <c r="P55" s="652">
        <v>675.00000000000011</v>
      </c>
      <c r="Q55" s="652">
        <v>0</v>
      </c>
      <c r="R55" s="652">
        <v>0</v>
      </c>
      <c r="S55" s="652">
        <v>0</v>
      </c>
      <c r="T55" s="652">
        <v>0</v>
      </c>
      <c r="U55" s="652">
        <v>0</v>
      </c>
      <c r="V55" s="652">
        <v>0</v>
      </c>
      <c r="W55" s="652">
        <v>0</v>
      </c>
      <c r="X55" s="652">
        <v>1500</v>
      </c>
      <c r="Y55" s="652" t="s">
        <v>51</v>
      </c>
      <c r="Z55" s="654" t="s">
        <v>156</v>
      </c>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39317</v>
      </c>
      <c r="N58" s="610">
        <f>SUM(N28:N57)</f>
        <v>170847.75</v>
      </c>
      <c r="O58" s="610">
        <f t="shared" ref="O58:W58" si="2">SUM(O28:O57)</f>
        <v>238429.07142857136</v>
      </c>
      <c r="P58" s="610">
        <f t="shared" si="2"/>
        <v>434946.42857142852</v>
      </c>
      <c r="Q58" s="610">
        <f t="shared" si="2"/>
        <v>0</v>
      </c>
      <c r="R58" s="610">
        <f t="shared" si="2"/>
        <v>0</v>
      </c>
      <c r="S58" s="610">
        <f t="shared" si="2"/>
        <v>11610</v>
      </c>
      <c r="T58" s="610">
        <f t="shared" si="2"/>
        <v>34830</v>
      </c>
      <c r="U58" s="610">
        <f t="shared" si="2"/>
        <v>0</v>
      </c>
      <c r="V58" s="610">
        <f t="shared" si="2"/>
        <v>115.71428571428572</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1270</v>
      </c>
      <c r="N60" s="610">
        <f ca="1">SUMIF($Z$28:AD57,"tertiair",N28:N57)</f>
        <v>5636.25</v>
      </c>
      <c r="O60" s="610">
        <f ca="1">SUMIF($Z$28:AE57,"tertiair",O28:O57)</f>
        <v>8051.7857142857147</v>
      </c>
      <c r="P60" s="610">
        <f ca="1">SUMIF($Z$28:AF57,"tertiair",P28:P57)</f>
        <v>16103.571428571429</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38047</v>
      </c>
      <c r="N61" s="615">
        <f t="shared" si="4"/>
        <v>165211.5</v>
      </c>
      <c r="O61" s="615">
        <f t="shared" si="4"/>
        <v>230377.28571428562</v>
      </c>
      <c r="P61" s="615">
        <f t="shared" si="4"/>
        <v>418842.85714285716</v>
      </c>
      <c r="Q61" s="615">
        <f t="shared" si="4"/>
        <v>0</v>
      </c>
      <c r="R61" s="615">
        <f t="shared" si="4"/>
        <v>0</v>
      </c>
      <c r="S61" s="615">
        <f t="shared" si="4"/>
        <v>11610</v>
      </c>
      <c r="T61" s="615">
        <f t="shared" si="4"/>
        <v>34830</v>
      </c>
      <c r="U61" s="615">
        <f t="shared" si="4"/>
        <v>0</v>
      </c>
      <c r="V61" s="615">
        <f t="shared" si="4"/>
        <v>115.71428571428572</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0.58256187241764668</v>
      </c>
      <c r="C98" s="635">
        <f>IF(ISERROR(N58/(O58+N58)),0,N58/(N58+O58))</f>
        <v>0.41743812758235332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181563.22274148892</v>
      </c>
      <c r="C101" s="644">
        <f t="shared" si="9"/>
        <v>0</v>
      </c>
      <c r="D101" s="644">
        <f t="shared" si="9"/>
        <v>0</v>
      </c>
      <c r="E101" s="644">
        <f t="shared" si="9"/>
        <v>4846.4566612311219</v>
      </c>
      <c r="F101" s="644">
        <f t="shared" si="9"/>
        <v>14539.369983693367</v>
      </c>
      <c r="G101" s="644">
        <f t="shared" si="9"/>
        <v>0</v>
      </c>
      <c r="H101" s="644">
        <f t="shared" si="9"/>
        <v>48.303554763100891</v>
      </c>
      <c r="I101" s="645">
        <f t="shared" si="9"/>
        <v>0</v>
      </c>
      <c r="J101" s="602"/>
      <c r="K101" s="602"/>
      <c r="L101" s="640"/>
      <c r="M101" s="640"/>
      <c r="N101" s="640"/>
      <c r="O101" s="627"/>
      <c r="P101" s="627"/>
    </row>
    <row r="102" spans="1:16" ht="15.75" thickBot="1">
      <c r="A102" s="646" t="s">
        <v>286</v>
      </c>
      <c r="B102" s="647">
        <f t="shared" ref="B102:I102" si="10">$B$98*P58</f>
        <v>253383.2058299396</v>
      </c>
      <c r="C102" s="647">
        <f t="shared" si="10"/>
        <v>0</v>
      </c>
      <c r="D102" s="647">
        <f t="shared" si="10"/>
        <v>0</v>
      </c>
      <c r="E102" s="647">
        <f t="shared" si="10"/>
        <v>6763.5433387688781</v>
      </c>
      <c r="F102" s="647">
        <f t="shared" si="10"/>
        <v>20290.630016306633</v>
      </c>
      <c r="G102" s="647">
        <f t="shared" si="10"/>
        <v>0</v>
      </c>
      <c r="H102" s="647">
        <f t="shared" si="10"/>
        <v>67.410730951184831</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34922.445549418444</v>
      </c>
      <c r="C4" s="477">
        <f>huishoudens!C8</f>
        <v>0</v>
      </c>
      <c r="D4" s="477">
        <f>huishoudens!D8</f>
        <v>78482.439602687999</v>
      </c>
      <c r="E4" s="477">
        <f>huishoudens!E8</f>
        <v>3700.1923416340555</v>
      </c>
      <c r="F4" s="477">
        <f>huishoudens!F8</f>
        <v>30447.166396111734</v>
      </c>
      <c r="G4" s="477">
        <f>huishoudens!G8</f>
        <v>0</v>
      </c>
      <c r="H4" s="477">
        <f>huishoudens!H8</f>
        <v>0</v>
      </c>
      <c r="I4" s="477">
        <f>huishoudens!I8</f>
        <v>0</v>
      </c>
      <c r="J4" s="477">
        <f>huishoudens!J8</f>
        <v>284.78213711248361</v>
      </c>
      <c r="K4" s="477">
        <f>huishoudens!K8</f>
        <v>0</v>
      </c>
      <c r="L4" s="477">
        <f>huishoudens!L8</f>
        <v>0</v>
      </c>
      <c r="M4" s="477">
        <f>huishoudens!M8</f>
        <v>0</v>
      </c>
      <c r="N4" s="477">
        <f>huishoudens!N8</f>
        <v>8827.3838656416683</v>
      </c>
      <c r="O4" s="477">
        <f>huishoudens!O8</f>
        <v>339.2433333333334</v>
      </c>
      <c r="P4" s="478">
        <f>huishoudens!P8</f>
        <v>1391.8666666666668</v>
      </c>
      <c r="Q4" s="479">
        <f>SUM(B4:P4)</f>
        <v>158395.51989260639</v>
      </c>
    </row>
    <row r="5" spans="1:17">
      <c r="A5" s="476" t="s">
        <v>156</v>
      </c>
      <c r="B5" s="477">
        <f ca="1">tertiair!B16</f>
        <v>59165.17641588</v>
      </c>
      <c r="C5" s="477">
        <f ca="1">tertiair!C16</f>
        <v>8051.7857142857147</v>
      </c>
      <c r="D5" s="477">
        <f ca="1">tertiair!D16</f>
        <v>31614.270927048281</v>
      </c>
      <c r="E5" s="477">
        <f>tertiair!E16</f>
        <v>1347.8208566919802</v>
      </c>
      <c r="F5" s="477">
        <f ca="1">tertiair!F16</f>
        <v>12404.864432311606</v>
      </c>
      <c r="G5" s="477">
        <f>tertiair!G16</f>
        <v>0</v>
      </c>
      <c r="H5" s="477">
        <f>tertiair!H16</f>
        <v>0</v>
      </c>
      <c r="I5" s="477">
        <f>tertiair!I16</f>
        <v>0</v>
      </c>
      <c r="J5" s="477">
        <f>tertiair!J16</f>
        <v>0</v>
      </c>
      <c r="K5" s="477">
        <f>tertiair!K16</f>
        <v>0</v>
      </c>
      <c r="L5" s="477">
        <f ca="1">tertiair!L16</f>
        <v>0</v>
      </c>
      <c r="M5" s="477">
        <f>tertiair!M16</f>
        <v>0</v>
      </c>
      <c r="N5" s="477">
        <f ca="1">tertiair!N16</f>
        <v>1715.362384658092</v>
      </c>
      <c r="O5" s="477">
        <f>tertiair!O16</f>
        <v>6.2533333333333339</v>
      </c>
      <c r="P5" s="478">
        <f>tertiair!P16</f>
        <v>38.133333333333333</v>
      </c>
      <c r="Q5" s="476">
        <f t="shared" ref="Q5:Q14" ca="1" si="0">SUM(B5:P5)</f>
        <v>114343.66739754233</v>
      </c>
    </row>
    <row r="6" spans="1:17">
      <c r="A6" s="476" t="s">
        <v>194</v>
      </c>
      <c r="B6" s="477">
        <f>'openbare verlichting'!B8</f>
        <v>1496.998</v>
      </c>
      <c r="C6" s="477"/>
      <c r="D6" s="477"/>
      <c r="E6" s="477"/>
      <c r="F6" s="477"/>
      <c r="G6" s="477"/>
      <c r="H6" s="477"/>
      <c r="I6" s="477"/>
      <c r="J6" s="477"/>
      <c r="K6" s="477"/>
      <c r="L6" s="477"/>
      <c r="M6" s="477"/>
      <c r="N6" s="477"/>
      <c r="O6" s="477"/>
      <c r="P6" s="478"/>
      <c r="Q6" s="476">
        <f t="shared" si="0"/>
        <v>1496.998</v>
      </c>
    </row>
    <row r="7" spans="1:17">
      <c r="A7" s="476" t="s">
        <v>112</v>
      </c>
      <c r="B7" s="477">
        <f>landbouw!B8</f>
        <v>6312.0143913899992</v>
      </c>
      <c r="C7" s="477">
        <f>landbouw!C8</f>
        <v>230377.28571428562</v>
      </c>
      <c r="D7" s="477">
        <f>landbouw!D8</f>
        <v>26739.470005688316</v>
      </c>
      <c r="E7" s="477">
        <f>landbouw!E8</f>
        <v>162.76261582064734</v>
      </c>
      <c r="F7" s="477">
        <f>landbouw!F8</f>
        <v>11461.614665278419</v>
      </c>
      <c r="G7" s="477">
        <f>landbouw!G8</f>
        <v>0</v>
      </c>
      <c r="H7" s="477">
        <f>landbouw!H8</f>
        <v>0</v>
      </c>
      <c r="I7" s="477">
        <f>landbouw!I8</f>
        <v>0</v>
      </c>
      <c r="J7" s="477">
        <f>landbouw!J8</f>
        <v>908.69787445129714</v>
      </c>
      <c r="K7" s="477">
        <f>landbouw!K8</f>
        <v>0</v>
      </c>
      <c r="L7" s="477">
        <f>landbouw!L8</f>
        <v>0</v>
      </c>
      <c r="M7" s="477">
        <f>landbouw!M8</f>
        <v>0</v>
      </c>
      <c r="N7" s="477">
        <f>landbouw!N8</f>
        <v>0</v>
      </c>
      <c r="O7" s="477">
        <f>landbouw!O8</f>
        <v>0</v>
      </c>
      <c r="P7" s="478">
        <f>landbouw!P8</f>
        <v>0</v>
      </c>
      <c r="Q7" s="476">
        <f t="shared" si="0"/>
        <v>275961.84526691429</v>
      </c>
    </row>
    <row r="8" spans="1:17">
      <c r="A8" s="476" t="s">
        <v>638</v>
      </c>
      <c r="B8" s="477">
        <f>industrie!B18</f>
        <v>5339.3730893600004</v>
      </c>
      <c r="C8" s="477">
        <f>industrie!C18</f>
        <v>0</v>
      </c>
      <c r="D8" s="477">
        <f>industrie!D18</f>
        <v>6514.0329629566404</v>
      </c>
      <c r="E8" s="477">
        <f>industrie!E18</f>
        <v>541.78711000673388</v>
      </c>
      <c r="F8" s="477">
        <f>industrie!F18</f>
        <v>2165.172479287367</v>
      </c>
      <c r="G8" s="477">
        <f>industrie!G18</f>
        <v>0</v>
      </c>
      <c r="H8" s="477">
        <f>industrie!H18</f>
        <v>0</v>
      </c>
      <c r="I8" s="477">
        <f>industrie!I18</f>
        <v>0</v>
      </c>
      <c r="J8" s="477">
        <f>industrie!J18</f>
        <v>22.375197940844643</v>
      </c>
      <c r="K8" s="477">
        <f>industrie!K18</f>
        <v>0</v>
      </c>
      <c r="L8" s="477">
        <f>industrie!L18</f>
        <v>0</v>
      </c>
      <c r="M8" s="477">
        <f>industrie!M18</f>
        <v>0</v>
      </c>
      <c r="N8" s="477">
        <f>industrie!N18</f>
        <v>1295.4872371282345</v>
      </c>
      <c r="O8" s="477">
        <f>industrie!O18</f>
        <v>0</v>
      </c>
      <c r="P8" s="478">
        <f>industrie!P18</f>
        <v>0</v>
      </c>
      <c r="Q8" s="476">
        <f t="shared" si="0"/>
        <v>15878.228076679819</v>
      </c>
    </row>
    <row r="9" spans="1:17" s="482" customFormat="1">
      <c r="A9" s="480" t="s">
        <v>564</v>
      </c>
      <c r="B9" s="481">
        <f>transport!B14</f>
        <v>19.12834835828809</v>
      </c>
      <c r="C9" s="481">
        <f>transport!C14</f>
        <v>0</v>
      </c>
      <c r="D9" s="481">
        <f>transport!D14</f>
        <v>43.652727763107798</v>
      </c>
      <c r="E9" s="481">
        <f>transport!E14</f>
        <v>167.95238956842371</v>
      </c>
      <c r="F9" s="481">
        <f>transport!F14</f>
        <v>0</v>
      </c>
      <c r="G9" s="481">
        <f>transport!G14</f>
        <v>54198.747195019008</v>
      </c>
      <c r="H9" s="481">
        <f>transport!H14</f>
        <v>11716.385805661412</v>
      </c>
      <c r="I9" s="481">
        <f>transport!I14</f>
        <v>0</v>
      </c>
      <c r="J9" s="481">
        <f>transport!J14</f>
        <v>0</v>
      </c>
      <c r="K9" s="481">
        <f>transport!K14</f>
        <v>0</v>
      </c>
      <c r="L9" s="481">
        <f>transport!L14</f>
        <v>0</v>
      </c>
      <c r="M9" s="481">
        <f>transport!M14</f>
        <v>2058.60666338288</v>
      </c>
      <c r="N9" s="481">
        <f>transport!N14</f>
        <v>0</v>
      </c>
      <c r="O9" s="481">
        <f>transport!O14</f>
        <v>0</v>
      </c>
      <c r="P9" s="481">
        <f>transport!P14</f>
        <v>0</v>
      </c>
      <c r="Q9" s="480">
        <f>SUM(B9:P9)</f>
        <v>68204.473129753111</v>
      </c>
    </row>
    <row r="10" spans="1:17">
      <c r="A10" s="476" t="s">
        <v>554</v>
      </c>
      <c r="B10" s="477">
        <f>transport!B54</f>
        <v>0</v>
      </c>
      <c r="C10" s="477">
        <f>transport!C54</f>
        <v>0</v>
      </c>
      <c r="D10" s="477">
        <f>transport!D54</f>
        <v>0</v>
      </c>
      <c r="E10" s="477">
        <f>transport!E54</f>
        <v>0</v>
      </c>
      <c r="F10" s="477">
        <f>transport!F54</f>
        <v>0</v>
      </c>
      <c r="G10" s="477">
        <f>transport!G54</f>
        <v>2424.5780032848816</v>
      </c>
      <c r="H10" s="477">
        <f>transport!H54</f>
        <v>0</v>
      </c>
      <c r="I10" s="477">
        <f>transport!I54</f>
        <v>0</v>
      </c>
      <c r="J10" s="477">
        <f>transport!J54</f>
        <v>0</v>
      </c>
      <c r="K10" s="477">
        <f>transport!K54</f>
        <v>0</v>
      </c>
      <c r="L10" s="477">
        <f>transport!L54</f>
        <v>0</v>
      </c>
      <c r="M10" s="477">
        <f>transport!M54</f>
        <v>75.204985439416788</v>
      </c>
      <c r="N10" s="477">
        <f>transport!N54</f>
        <v>0</v>
      </c>
      <c r="O10" s="477">
        <f>transport!O54</f>
        <v>0</v>
      </c>
      <c r="P10" s="478">
        <f>transport!P54</f>
        <v>0</v>
      </c>
      <c r="Q10" s="476">
        <f t="shared" si="0"/>
        <v>2499.7829887242983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1047.7954642</v>
      </c>
      <c r="C14" s="484"/>
      <c r="D14" s="484">
        <f>'SEAP template'!E25</f>
        <v>2893.3607422</v>
      </c>
      <c r="E14" s="484"/>
      <c r="F14" s="484"/>
      <c r="G14" s="484"/>
      <c r="H14" s="484"/>
      <c r="I14" s="484"/>
      <c r="J14" s="484"/>
      <c r="K14" s="484"/>
      <c r="L14" s="484"/>
      <c r="M14" s="484"/>
      <c r="N14" s="484"/>
      <c r="O14" s="484"/>
      <c r="P14" s="485"/>
      <c r="Q14" s="476">
        <f t="shared" si="0"/>
        <v>3941.1562064</v>
      </c>
    </row>
    <row r="15" spans="1:17" s="486" customFormat="1">
      <c r="A15" s="1038" t="s">
        <v>558</v>
      </c>
      <c r="B15" s="978">
        <f ca="1">SUM(B4:B14)</f>
        <v>108302.93125860672</v>
      </c>
      <c r="C15" s="978">
        <f t="shared" ref="C15:Q15" ca="1" si="1">SUM(C4:C14)</f>
        <v>238429.07142857133</v>
      </c>
      <c r="D15" s="978">
        <f t="shared" ca="1" si="1"/>
        <v>146287.22696834433</v>
      </c>
      <c r="E15" s="978">
        <f t="shared" si="1"/>
        <v>5920.5153137218413</v>
      </c>
      <c r="F15" s="978">
        <f t="shared" ca="1" si="1"/>
        <v>56478.81797298912</v>
      </c>
      <c r="G15" s="978">
        <f t="shared" si="1"/>
        <v>56623.325198303894</v>
      </c>
      <c r="H15" s="978">
        <f t="shared" si="1"/>
        <v>11716.385805661412</v>
      </c>
      <c r="I15" s="978">
        <f t="shared" si="1"/>
        <v>0</v>
      </c>
      <c r="J15" s="978">
        <f t="shared" si="1"/>
        <v>1215.8552095046255</v>
      </c>
      <c r="K15" s="978">
        <f t="shared" si="1"/>
        <v>0</v>
      </c>
      <c r="L15" s="978">
        <f t="shared" ca="1" si="1"/>
        <v>0</v>
      </c>
      <c r="M15" s="978">
        <f t="shared" si="1"/>
        <v>2133.8116488222968</v>
      </c>
      <c r="N15" s="978">
        <f t="shared" ca="1" si="1"/>
        <v>11838.233487427995</v>
      </c>
      <c r="O15" s="978">
        <f t="shared" si="1"/>
        <v>345.49666666666673</v>
      </c>
      <c r="P15" s="978">
        <f t="shared" si="1"/>
        <v>1430.0000000000002</v>
      </c>
      <c r="Q15" s="978">
        <f t="shared" ca="1" si="1"/>
        <v>640721.67095862026</v>
      </c>
    </row>
    <row r="17" spans="1:17">
      <c r="A17" s="487" t="s">
        <v>559</v>
      </c>
      <c r="B17" s="786">
        <f ca="1">huishoudens!B10</f>
        <v>0.21007283012793174</v>
      </c>
      <c r="C17" s="786">
        <f ca="1">huishoudens!C10</f>
        <v>0.22224334193648712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7336.2569715549262</v>
      </c>
      <c r="C22" s="477">
        <f t="shared" ref="C22:C32" ca="1" si="3">C4*$C$17</f>
        <v>0</v>
      </c>
      <c r="D22" s="477">
        <f t="shared" ref="D22:D32" si="4">D4*$D$17</f>
        <v>15853.452799742976</v>
      </c>
      <c r="E22" s="477">
        <f t="shared" ref="E22:E32" si="5">E4*$E$17</f>
        <v>839.94366155093064</v>
      </c>
      <c r="F22" s="477">
        <f t="shared" ref="F22:F32" si="6">F4*$F$17</f>
        <v>8129.3934277618337</v>
      </c>
      <c r="G22" s="477">
        <f t="shared" ref="G22:G32" si="7">G4*$G$17</f>
        <v>0</v>
      </c>
      <c r="H22" s="477">
        <f t="shared" ref="H22:H32" si="8">H4*$H$17</f>
        <v>0</v>
      </c>
      <c r="I22" s="477">
        <f t="shared" ref="I22:I32" si="9">I4*$I$17</f>
        <v>0</v>
      </c>
      <c r="J22" s="477">
        <f t="shared" ref="J22:J32" si="10">J4*$J$17</f>
        <v>100.81287653781919</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32259.859737148487</v>
      </c>
    </row>
    <row r="23" spans="1:17">
      <c r="A23" s="476" t="s">
        <v>156</v>
      </c>
      <c r="B23" s="477">
        <f t="shared" ca="1" si="2"/>
        <v>12428.996054702273</v>
      </c>
      <c r="C23" s="477">
        <f t="shared" ca="1" si="3"/>
        <v>1789.4557656993222</v>
      </c>
      <c r="D23" s="477">
        <f t="shared" ca="1" si="4"/>
        <v>6386.0827272637534</v>
      </c>
      <c r="E23" s="477">
        <f t="shared" si="5"/>
        <v>305.9553344690795</v>
      </c>
      <c r="F23" s="477">
        <f t="shared" ca="1" si="6"/>
        <v>3312.0988034271991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24222.588685561626</v>
      </c>
    </row>
    <row r="24" spans="1:17">
      <c r="A24" s="476" t="s">
        <v>194</v>
      </c>
      <c r="B24" s="477">
        <f t="shared" ca="1" si="2"/>
        <v>314.47860655585356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314.47860655585356</v>
      </c>
    </row>
    <row r="25" spans="1:17">
      <c r="A25" s="476" t="s">
        <v>112</v>
      </c>
      <c r="B25" s="477">
        <f t="shared" ca="1" si="2"/>
        <v>1325.9827270075318</v>
      </c>
      <c r="C25" s="477">
        <f t="shared" ca="1" si="3"/>
        <v>51199.817883399766</v>
      </c>
      <c r="D25" s="477">
        <f t="shared" si="4"/>
        <v>5401.3729411490403</v>
      </c>
      <c r="E25" s="477">
        <f t="shared" si="5"/>
        <v>36.947113791286945</v>
      </c>
      <c r="F25" s="477">
        <f t="shared" si="6"/>
        <v>3060.2511156293381</v>
      </c>
      <c r="G25" s="477">
        <f t="shared" si="7"/>
        <v>0</v>
      </c>
      <c r="H25" s="477">
        <f t="shared" si="8"/>
        <v>0</v>
      </c>
      <c r="I25" s="477">
        <f t="shared" si="9"/>
        <v>0</v>
      </c>
      <c r="J25" s="477">
        <f t="shared" si="10"/>
        <v>321.67904755575915</v>
      </c>
      <c r="K25" s="477">
        <f t="shared" si="11"/>
        <v>0</v>
      </c>
      <c r="L25" s="477">
        <f t="shared" si="12"/>
        <v>0</v>
      </c>
      <c r="M25" s="477">
        <f t="shared" si="13"/>
        <v>0</v>
      </c>
      <c r="N25" s="477">
        <f t="shared" si="14"/>
        <v>0</v>
      </c>
      <c r="O25" s="477">
        <f t="shared" si="15"/>
        <v>0</v>
      </c>
      <c r="P25" s="478">
        <f t="shared" si="16"/>
        <v>0</v>
      </c>
      <c r="Q25" s="476">
        <f t="shared" ca="1" si="17"/>
        <v>61346.050828532723</v>
      </c>
    </row>
    <row r="26" spans="1:17">
      <c r="A26" s="476" t="s">
        <v>638</v>
      </c>
      <c r="B26" s="477">
        <f t="shared" ca="1" si="2"/>
        <v>1121.6572159907735</v>
      </c>
      <c r="C26" s="477">
        <f t="shared" ca="1" si="3"/>
        <v>0</v>
      </c>
      <c r="D26" s="477">
        <f t="shared" si="4"/>
        <v>1315.8346585172415</v>
      </c>
      <c r="E26" s="477">
        <f t="shared" si="5"/>
        <v>122.9856739715286</v>
      </c>
      <c r="F26" s="477">
        <f t="shared" si="6"/>
        <v>578.101051969727</v>
      </c>
      <c r="G26" s="477">
        <f t="shared" si="7"/>
        <v>0</v>
      </c>
      <c r="H26" s="477">
        <f t="shared" si="8"/>
        <v>0</v>
      </c>
      <c r="I26" s="477">
        <f t="shared" si="9"/>
        <v>0</v>
      </c>
      <c r="J26" s="477">
        <f t="shared" si="10"/>
        <v>7.9208200710590031</v>
      </c>
      <c r="K26" s="477">
        <f t="shared" si="11"/>
        <v>0</v>
      </c>
      <c r="L26" s="477">
        <f t="shared" si="12"/>
        <v>0</v>
      </c>
      <c r="M26" s="477">
        <f t="shared" si="13"/>
        <v>0</v>
      </c>
      <c r="N26" s="477">
        <f t="shared" si="14"/>
        <v>0</v>
      </c>
      <c r="O26" s="477">
        <f t="shared" si="15"/>
        <v>0</v>
      </c>
      <c r="P26" s="478">
        <f t="shared" si="16"/>
        <v>0</v>
      </c>
      <c r="Q26" s="476">
        <f t="shared" ca="1" si="17"/>
        <v>3146.4994205203297</v>
      </c>
    </row>
    <row r="27" spans="1:17" s="482" customFormat="1">
      <c r="A27" s="480" t="s">
        <v>564</v>
      </c>
      <c r="B27" s="780">
        <f t="shared" ca="1" si="2"/>
        <v>4.0183462752985557</v>
      </c>
      <c r="C27" s="481">
        <f t="shared" ca="1" si="3"/>
        <v>0</v>
      </c>
      <c r="D27" s="481">
        <f t="shared" si="4"/>
        <v>8.817851008147775</v>
      </c>
      <c r="E27" s="481">
        <f t="shared" si="5"/>
        <v>38.125192432032186</v>
      </c>
      <c r="F27" s="481">
        <f t="shared" si="6"/>
        <v>0</v>
      </c>
      <c r="G27" s="481">
        <f t="shared" si="7"/>
        <v>14471.065501070076</v>
      </c>
      <c r="H27" s="481">
        <f t="shared" si="8"/>
        <v>2917.3800656096914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17439.406956395243</v>
      </c>
    </row>
    <row r="28" spans="1:17">
      <c r="A28" s="476" t="s">
        <v>554</v>
      </c>
      <c r="B28" s="477">
        <f t="shared" ca="1" si="2"/>
        <v>0</v>
      </c>
      <c r="C28" s="477">
        <f t="shared" ca="1" si="3"/>
        <v>0</v>
      </c>
      <c r="D28" s="477">
        <f t="shared" si="4"/>
        <v>0</v>
      </c>
      <c r="E28" s="477">
        <f t="shared" si="5"/>
        <v>0</v>
      </c>
      <c r="F28" s="477">
        <f t="shared" si="6"/>
        <v>0</v>
      </c>
      <c r="G28" s="477">
        <f t="shared" si="7"/>
        <v>647.36232687706342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647.36232687706342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220.11335855970398</v>
      </c>
      <c r="C32" s="477">
        <f t="shared" ca="1" si="3"/>
        <v>0</v>
      </c>
      <c r="D32" s="477">
        <f t="shared" si="4"/>
        <v>584.45886992440001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804.57222848410402</v>
      </c>
    </row>
    <row r="33" spans="1:17" s="486" customFormat="1">
      <c r="A33" s="1038" t="s">
        <v>558</v>
      </c>
      <c r="B33" s="978">
        <f ca="1">SUM(B22:B32)</f>
        <v>22751.503280646364</v>
      </c>
      <c r="C33" s="978">
        <f t="shared" ref="C33:Q33" ca="1" si="18">SUM(C22:C32)</f>
        <v>52989.273649099086</v>
      </c>
      <c r="D33" s="978">
        <f t="shared" ca="1" si="18"/>
        <v>29550.019847605563</v>
      </c>
      <c r="E33" s="978">
        <f t="shared" si="18"/>
        <v>1343.9569762148578</v>
      </c>
      <c r="F33" s="978">
        <f t="shared" ca="1" si="18"/>
        <v>15079.844398788098</v>
      </c>
      <c r="G33" s="978">
        <f t="shared" si="18"/>
        <v>15118.42782794714</v>
      </c>
      <c r="H33" s="978">
        <f t="shared" si="18"/>
        <v>2917.3800656096914</v>
      </c>
      <c r="I33" s="978">
        <f t="shared" si="18"/>
        <v>0</v>
      </c>
      <c r="J33" s="978">
        <f t="shared" si="18"/>
        <v>430.41274416463733</v>
      </c>
      <c r="K33" s="978">
        <f t="shared" si="18"/>
        <v>0</v>
      </c>
      <c r="L33" s="978">
        <f t="shared" ca="1" si="18"/>
        <v>0</v>
      </c>
      <c r="M33" s="978">
        <f t="shared" si="18"/>
        <v>0</v>
      </c>
      <c r="N33" s="978">
        <f t="shared" ca="1" si="18"/>
        <v>0</v>
      </c>
      <c r="O33" s="978">
        <f t="shared" si="18"/>
        <v>0</v>
      </c>
      <c r="P33" s="978">
        <f t="shared" si="18"/>
        <v>0</v>
      </c>
      <c r="Q33" s="978">
        <f t="shared" ca="1" si="18"/>
        <v>140180.81879007546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9898.0175474089392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12399.522507687994</v>
      </c>
      <c r="C8" s="1055">
        <f>'SEAP template'!C76</f>
        <v>158448.227492312</v>
      </c>
      <c r="D8" s="1055">
        <f>'SEAP template'!D76</f>
        <v>181563.22274148892</v>
      </c>
      <c r="E8" s="1055">
        <f>'SEAP template'!E76</f>
        <v>0</v>
      </c>
      <c r="F8" s="1055">
        <f>'SEAP template'!F76</f>
        <v>4846.4566612311219</v>
      </c>
      <c r="G8" s="1055">
        <f>'SEAP template'!G76</f>
        <v>0</v>
      </c>
      <c r="H8" s="1055">
        <f>'SEAP template'!H76</f>
        <v>0</v>
      </c>
      <c r="I8" s="1055">
        <f>'SEAP template'!I76</f>
        <v>14539.369983693367</v>
      </c>
      <c r="J8" s="1055">
        <f>'SEAP template'!J76</f>
        <v>48.303554763100891</v>
      </c>
      <c r="K8" s="1055">
        <f>'SEAP template'!K76</f>
        <v>0</v>
      </c>
      <c r="L8" s="1055">
        <f>'SEAP template'!L76</f>
        <v>0</v>
      </c>
      <c r="M8" s="1055">
        <f>'SEAP template'!M76</f>
        <v>0</v>
      </c>
      <c r="N8" s="1055">
        <f>'SEAP template'!N76</f>
        <v>0</v>
      </c>
      <c r="O8" s="1055">
        <f>'SEAP template'!O76</f>
        <v>0</v>
      </c>
      <c r="P8" s="1056">
        <f>'SEAP template'!Q76</f>
        <v>37969.774922329474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22297.540055096935</v>
      </c>
      <c r="C10" s="1059">
        <f>SUM(C4:C9)</f>
        <v>158448.227492312</v>
      </c>
      <c r="D10" s="1059">
        <f t="shared" ref="D10:H10" si="0">SUM(D8:D9)</f>
        <v>181563.22274148892</v>
      </c>
      <c r="E10" s="1059">
        <f t="shared" si="0"/>
        <v>0</v>
      </c>
      <c r="F10" s="1059">
        <f t="shared" si="0"/>
        <v>4846.4566612311219</v>
      </c>
      <c r="G10" s="1059">
        <f t="shared" si="0"/>
        <v>0</v>
      </c>
      <c r="H10" s="1059">
        <f t="shared" si="0"/>
        <v>0</v>
      </c>
      <c r="I10" s="1059">
        <f>SUM(I8:I9)</f>
        <v>14539.369983693367</v>
      </c>
      <c r="J10" s="1059">
        <f>SUM(J8:J9)</f>
        <v>48.303554763100891</v>
      </c>
      <c r="K10" s="1059">
        <f t="shared" ref="K10:L10" si="1">SUM(K8:K9)</f>
        <v>0</v>
      </c>
      <c r="L10" s="1059">
        <f t="shared" si="1"/>
        <v>0</v>
      </c>
      <c r="M10" s="1059">
        <f>SUM(M8:M9)</f>
        <v>0</v>
      </c>
      <c r="N10" s="1059">
        <f>SUM(N8:N9)</f>
        <v>0</v>
      </c>
      <c r="O10" s="1059">
        <f>SUM(O8:O9)</f>
        <v>0</v>
      </c>
      <c r="P10" s="1059">
        <f>SUM(P8:P9)</f>
        <v>37969.774922329474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0.21007283012793174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17304.334635169147</v>
      </c>
      <c r="C17" s="1061">
        <f>'SEAP template'!C87</f>
        <v>221124.73679340223</v>
      </c>
      <c r="D17" s="1056">
        <f>'SEAP template'!D87</f>
        <v>253383.2058299396</v>
      </c>
      <c r="E17" s="1056">
        <f>'SEAP template'!E87</f>
        <v>0</v>
      </c>
      <c r="F17" s="1056">
        <f>'SEAP template'!F87</f>
        <v>6763.5433387688781</v>
      </c>
      <c r="G17" s="1056">
        <f>'SEAP template'!G87</f>
        <v>0</v>
      </c>
      <c r="H17" s="1056">
        <f>'SEAP template'!H87</f>
        <v>0</v>
      </c>
      <c r="I17" s="1056">
        <f>'SEAP template'!I87</f>
        <v>20290.630016306633</v>
      </c>
      <c r="J17" s="1056">
        <f>'SEAP template'!J87</f>
        <v>67.410730951184831</v>
      </c>
      <c r="K17" s="1056">
        <f>'SEAP template'!K87</f>
        <v>0</v>
      </c>
      <c r="L17" s="1056">
        <f>'SEAP template'!L87</f>
        <v>0</v>
      </c>
      <c r="M17" s="1056">
        <f>'SEAP template'!M87</f>
        <v>0</v>
      </c>
      <c r="N17" s="1056">
        <f>'SEAP template'!N87</f>
        <v>0</v>
      </c>
      <c r="O17" s="1056">
        <f>'SEAP template'!O87</f>
        <v>0</v>
      </c>
      <c r="P17" s="1056">
        <f>'SEAP template'!Q87</f>
        <v>52989.273649099094</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17304.334635169147</v>
      </c>
      <c r="C20" s="1059">
        <f>SUM(C17:C19)</f>
        <v>221124.73679340223</v>
      </c>
      <c r="D20" s="1059">
        <f t="shared" ref="D20:H20" si="2">SUM(D17:D19)</f>
        <v>253383.2058299396</v>
      </c>
      <c r="E20" s="1059">
        <f t="shared" si="2"/>
        <v>0</v>
      </c>
      <c r="F20" s="1059">
        <f t="shared" si="2"/>
        <v>6763.5433387688781</v>
      </c>
      <c r="G20" s="1059">
        <f t="shared" si="2"/>
        <v>0</v>
      </c>
      <c r="H20" s="1059">
        <f t="shared" si="2"/>
        <v>0</v>
      </c>
      <c r="I20" s="1059">
        <f>SUM(I17:I19)</f>
        <v>20290.630016306633</v>
      </c>
      <c r="J20" s="1059">
        <f>SUM(J17:J19)</f>
        <v>67.410730951184831</v>
      </c>
      <c r="K20" s="1059">
        <f t="shared" ref="K20:L20" si="3">SUM(K17:K19)</f>
        <v>0</v>
      </c>
      <c r="L20" s="1059">
        <f t="shared" si="3"/>
        <v>0</v>
      </c>
      <c r="M20" s="1059">
        <f>SUM(M17:M19)</f>
        <v>0</v>
      </c>
      <c r="N20" s="1059">
        <f>SUM(N17:N19)</f>
        <v>0</v>
      </c>
      <c r="O20" s="1059">
        <f>SUM(O17:O19)</f>
        <v>0</v>
      </c>
      <c r="P20" s="1059">
        <f>SUM(P17:P19)</f>
        <v>52989.273649099094</v>
      </c>
    </row>
    <row r="22" spans="1:16">
      <c r="A22" s="487" t="s">
        <v>871</v>
      </c>
      <c r="B22" s="786" t="s">
        <v>865</v>
      </c>
      <c r="C22" s="786">
        <f ca="1">'EF ele_warmte'!B22</f>
        <v>0.22224334193648712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0.21007283012793174</v>
      </c>
      <c r="C17" s="524">
        <f ca="1">'EF ele_warmte'!B22</f>
        <v>0.22224334193648712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2019-08-12T08:22:40Z</dcterms:modified>
</cp:coreProperties>
</file>