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78" l="1"/>
  <c r="O9" i="59"/>
  <c r="O18"/>
  <c r="O20" s="1"/>
  <c r="O90" i="14"/>
  <c r="N20" i="59"/>
  <c r="L78" i="14"/>
  <c r="L8" i="59"/>
  <c r="L10" s="1"/>
  <c r="H78" i="14"/>
  <c r="H8" i="59"/>
  <c r="H10" s="1"/>
  <c r="H20"/>
  <c r="P29" i="48"/>
  <c r="L10" i="18"/>
  <c r="K90" i="14"/>
  <c r="E20" i="59"/>
  <c r="E88" i="14"/>
  <c r="E18" i="59" s="1"/>
  <c r="O29" i="48"/>
  <c r="P31"/>
  <c r="K10" i="18"/>
  <c r="F20"/>
  <c r="N90" i="14"/>
  <c r="E10" i="59"/>
  <c r="E77" i="14"/>
  <c r="E9" i="59" s="1"/>
  <c r="B17" i="18"/>
  <c r="B20" s="1"/>
  <c r="H90" i="14"/>
  <c r="H18" i="59"/>
  <c r="K10"/>
  <c r="C98" i="18"/>
  <c r="K20" i="59"/>
  <c r="P25" i="48"/>
  <c r="R25" i="14"/>
  <c r="O10" i="59"/>
  <c r="F13" i="15"/>
  <c r="G78" i="14"/>
  <c r="N10" i="59"/>
  <c r="L20"/>
  <c r="B8" i="18"/>
  <c r="B10" s="1"/>
  <c r="O19"/>
  <c r="L13" i="15"/>
  <c r="N13"/>
  <c r="O9" i="18"/>
  <c r="O18"/>
  <c r="B89" i="14"/>
  <c r="B19" i="59" s="1"/>
  <c r="G88" i="14"/>
  <c r="F89"/>
  <c r="I101" i="18"/>
  <c r="H8" s="1"/>
  <c r="E101"/>
  <c r="E8" s="1"/>
  <c r="H101"/>
  <c r="D101"/>
  <c r="G101"/>
  <c r="C101"/>
  <c r="F101"/>
  <c r="B101"/>
  <c r="C8" s="1"/>
  <c r="I102"/>
  <c r="H17" s="1"/>
  <c r="E102"/>
  <c r="E17" s="1"/>
  <c r="H102"/>
  <c r="D102"/>
  <c r="G102"/>
  <c r="C102"/>
  <c r="F102"/>
  <c r="B102"/>
  <c r="C17" s="1"/>
  <c r="Q14" i="48"/>
  <c r="O24"/>
  <c r="O30"/>
  <c r="P24"/>
  <c r="P30"/>
  <c r="N78" i="14"/>
  <c r="G90" l="1"/>
  <c r="G18" i="59"/>
  <c r="G20" s="1"/>
  <c r="Q88" i="14"/>
  <c r="P18" i="59" s="1"/>
  <c r="E78" i="14"/>
  <c r="B88"/>
  <c r="B18" i="59" s="1"/>
  <c r="C89" i="14"/>
  <c r="C19" i="59" s="1"/>
  <c r="F19"/>
  <c r="E90" i="14"/>
  <c r="B77"/>
  <c r="B9" i="59" s="1"/>
  <c r="Q77" i="14"/>
  <c r="P9" i="59" s="1"/>
  <c r="C77" i="14"/>
  <c r="C9" i="59" s="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D11"/>
  <c r="C4" i="48"/>
  <c r="G32"/>
  <c r="G29"/>
  <c r="G24"/>
  <c r="G26"/>
  <c r="G22"/>
  <c r="G30"/>
  <c r="G25"/>
  <c r="G23"/>
  <c r="C11" i="14"/>
  <c r="B4" i="48"/>
  <c r="F32"/>
  <c r="F27"/>
  <c r="F28"/>
  <c r="F31"/>
  <c r="F24"/>
  <c r="F30"/>
  <c r="F29"/>
  <c r="N32"/>
  <c r="N28"/>
  <c r="N27"/>
  <c r="N24"/>
  <c r="N29"/>
  <c r="N30"/>
  <c r="N31"/>
  <c r="B10"/>
  <c r="C19" i="14"/>
  <c r="N46"/>
  <c r="J28" i="48"/>
  <c r="J29"/>
  <c r="J32"/>
  <c r="J31"/>
  <c r="J24"/>
  <c r="J30"/>
  <c r="J27"/>
  <c r="I27"/>
  <c r="I22"/>
  <c r="I26"/>
  <c r="I32"/>
  <c r="I31"/>
  <c r="I25"/>
  <c r="I29"/>
  <c r="I28"/>
  <c r="I30"/>
  <c r="I24"/>
  <c r="E11" i="14"/>
  <c r="D4" i="48"/>
  <c r="D22" s="1"/>
  <c r="H32"/>
  <c r="H28"/>
  <c r="H29"/>
  <c r="H26"/>
  <c r="H25"/>
  <c r="H22"/>
  <c r="H30"/>
  <c r="H24"/>
  <c r="H23"/>
  <c r="E28"/>
  <c r="E32"/>
  <c r="E30"/>
  <c r="E29"/>
  <c r="E31"/>
  <c r="E24"/>
  <c r="M32"/>
  <c r="M26"/>
  <c r="M22"/>
  <c r="M30"/>
  <c r="M25"/>
  <c r="M29"/>
  <c r="M24"/>
  <c r="M23"/>
  <c r="L10" i="14"/>
  <c r="L16" s="1"/>
  <c r="L27" s="1"/>
  <c r="K5" i="48"/>
  <c r="D30"/>
  <c r="D32"/>
  <c r="D28"/>
  <c r="D24"/>
  <c r="D31"/>
  <c r="D29"/>
  <c r="L27"/>
  <c r="L32"/>
  <c r="L22"/>
  <c r="L30"/>
  <c r="L29"/>
  <c r="L31"/>
  <c r="L24"/>
  <c r="L28"/>
  <c r="P5"/>
  <c r="P23" s="1"/>
  <c r="Q10" i="14"/>
  <c r="K28" i="48"/>
  <c r="K31"/>
  <c r="K25"/>
  <c r="K32"/>
  <c r="K29"/>
  <c r="K22"/>
  <c r="K24"/>
  <c r="K26"/>
  <c r="K30"/>
  <c r="K27"/>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F4"/>
  <c r="F22" s="1"/>
  <c r="G11" i="14"/>
  <c r="I5" i="48"/>
  <c r="J10" i="14"/>
  <c r="J16" s="1"/>
  <c r="J27" s="1"/>
  <c r="J63" s="1"/>
  <c r="P15" i="48"/>
  <c r="P22"/>
  <c r="P33" s="1"/>
  <c r="M12" i="22"/>
  <c r="M13" i="48"/>
  <c r="M31" s="1"/>
  <c r="N18" i="14"/>
  <c r="P8" i="48"/>
  <c r="P26" s="1"/>
  <c r="Q13" i="14"/>
  <c r="J46"/>
  <c r="J61" s="1"/>
  <c r="K33" i="48"/>
  <c r="I20" i="15"/>
  <c r="J40" i="14" s="1"/>
  <c r="H18"/>
  <c r="G13" i="48"/>
  <c r="H13"/>
  <c r="H31" s="1"/>
  <c r="I18" i="14"/>
  <c r="F20"/>
  <c r="F22" s="1"/>
  <c r="E9" i="48"/>
  <c r="E27" s="1"/>
  <c r="K23"/>
  <c r="K15"/>
  <c r="E20" i="14"/>
  <c r="E22" s="1"/>
  <c r="D9" i="48"/>
  <c r="D27" s="1"/>
  <c r="O5"/>
  <c r="O23" s="1"/>
  <c r="P10" i="14"/>
  <c r="J7" i="48"/>
  <c r="J25" s="1"/>
  <c r="K24" i="14"/>
  <c r="K26" s="1"/>
  <c r="C20"/>
  <c r="B9" i="48"/>
  <c r="C22" i="14"/>
  <c r="Q16"/>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31" i="48"/>
  <c r="Q13"/>
  <c r="E12" i="13"/>
  <c r="F41" i="14" s="1"/>
  <c r="F11"/>
  <c r="E4" i="48"/>
  <c r="O22" i="16"/>
  <c r="P43" i="14" s="1"/>
  <c r="O8" i="48"/>
  <c r="P13" i="14"/>
  <c r="P16"/>
  <c r="P27" s="1"/>
  <c r="Q63"/>
  <c r="H19"/>
  <c r="G10" i="48"/>
  <c r="J4"/>
  <c r="K11" i="14"/>
  <c r="R18"/>
  <c r="E7" i="48"/>
  <c r="E25" s="1"/>
  <c r="F24" i="14"/>
  <c r="F26" s="1"/>
  <c r="I20"/>
  <c r="I22" s="1"/>
  <c r="I27" s="1"/>
  <c r="H9" i="48"/>
  <c r="I23"/>
  <c r="I33" s="1"/>
  <c r="I15"/>
  <c r="P46" i="14"/>
  <c r="P61" s="1"/>
  <c r="M14" i="22"/>
  <c r="G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22" l="1"/>
  <c r="N27" s="1"/>
  <c r="N63" s="1"/>
  <c r="J5" i="48"/>
  <c r="J23" s="1"/>
  <c r="K10" i="14"/>
  <c r="H27" i="48"/>
  <c r="H33" s="1"/>
  <c r="H15"/>
  <c r="E22"/>
  <c r="Q4"/>
  <c r="R11" i="14"/>
  <c r="R19"/>
  <c r="G28" i="48"/>
  <c r="Q10"/>
  <c r="J22"/>
  <c r="O26"/>
  <c r="O33" s="1"/>
  <c r="O15"/>
  <c r="P63" i="14"/>
  <c r="R24"/>
  <c r="R26" s="1"/>
  <c r="E5" i="48"/>
  <c r="E23" s="1"/>
  <c r="F10" i="14"/>
  <c r="N20"/>
  <c r="M9" i="48"/>
  <c r="H20" i="14"/>
  <c r="G9" i="48"/>
  <c r="J20" i="15"/>
  <c r="K40" i="14" s="1"/>
  <c r="Q7" i="48"/>
  <c r="E20" i="15"/>
  <c r="F40" i="14" s="1"/>
  <c r="J18" i="16"/>
  <c r="E18"/>
  <c r="F18"/>
  <c r="F22" s="1"/>
  <c r="G43" i="14" s="1"/>
  <c r="N18" i="16"/>
  <c r="G18" i="22"/>
  <c r="H50" i="14" s="1"/>
  <c r="H52" s="1"/>
  <c r="H61" s="1"/>
  <c r="E22" i="16"/>
  <c r="F43" i="14" s="1"/>
  <c r="H18" i="22"/>
  <c r="I50" i="14" s="1"/>
  <c r="I52" s="1"/>
  <c r="I61" s="1"/>
  <c r="I63" s="1"/>
  <c r="R22" l="1"/>
  <c r="M27" i="48"/>
  <c r="M33" s="1"/>
  <c r="M15"/>
  <c r="H22" i="14"/>
  <c r="H27" s="1"/>
  <c r="R20"/>
  <c r="G27" i="48"/>
  <c r="G33" s="1"/>
  <c r="G15"/>
  <c r="Q9"/>
  <c r="F46" i="14"/>
  <c r="F61" s="1"/>
  <c r="H63"/>
  <c r="K46"/>
  <c r="K61" s="1"/>
  <c r="K63" s="1"/>
  <c r="K16"/>
  <c r="K27" s="1"/>
  <c r="J22" i="16"/>
  <c r="K43" i="14" s="1"/>
  <c r="K13"/>
  <c r="J8" i="48"/>
  <c r="J26" s="1"/>
  <c r="E8"/>
  <c r="E26" s="1"/>
  <c r="E33" s="1"/>
  <c r="F13" i="14"/>
  <c r="F16" s="1"/>
  <c r="F27" s="1"/>
  <c r="J15" i="48"/>
  <c r="J33"/>
  <c r="N8"/>
  <c r="N26" s="1"/>
  <c r="O13" i="14"/>
  <c r="N22" i="16"/>
  <c r="O43" i="14" s="1"/>
  <c r="G13"/>
  <c r="R13" s="1"/>
  <c r="F8" i="48"/>
  <c r="F63" i="14" l="1"/>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<sst xmlns="http://schemas.openxmlformats.org/spreadsheetml/2006/main" count="2401" uniqueCount="896">
  <si>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</si>
  <si>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</si>
  <si>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</si>
  <si>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</si>
  <si>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</si>
  <si>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</si>
  <si>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</si>
  <si>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</si>
  <si>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</si>
  <si>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</si>
  <si>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</si>
  <si>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</si>
  <si>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</si>
  <si>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</si>
  <si>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</si>
  <si>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</si>
  <si>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</si>
  <si>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</si>
  <si>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</si>
  <si>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</si>
  <si>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</si>
  <si>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</si>
  <si>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</si>
  <si>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</si>
  <si>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</si>
  <si>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</si>
  <si>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</si>
  <si>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</si>
  <si>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</si>
  <si>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</si>
  <si>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</si>
  <si>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</si>
  <si>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</si>
  <si>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</si>
  <si>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</si>
  <si>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</si>
  <si>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</si>
  <si>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</si>
  <si>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</si>
  <si>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</si>
  <si>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</si>
  <si>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</si>
  <si>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</si>
  <si>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</si>
  <si>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</si>
  <si>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</si>
  <si>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</si>
  <si>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</si>
  <si>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</si>
  <si>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</si>
  <si>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</si>
  <si>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</si>
  <si>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</si>
  <si>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</si>
  <si>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</si>
  <si>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</si>
  <si>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</si>
  <si>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</si>
  <si>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</si>
  <si>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</si>
  <si>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</si>
  <si>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</si>
  <si>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</si>
  <si>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</si>
  <si>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</si>
  <si>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</si>
  <si>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</si>
  <si>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</si>
  <si>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</si>
  <si>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</si>
  <si>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</si>
  <si>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</si>
  <si>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</si>
  <si>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</si>
  <si>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</si>
  <si>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</si>
  <si>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</si>
  <si>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</si>
  <si>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</si>
  <si>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</si>
  <si>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</si>
  <si>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</si>
  <si>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</si>
  <si>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</si>
  <si>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</si>
  <si>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</si>
  <si>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</si>
  <si>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</si>
  <si>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</si>
  <si>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</si>
  <si>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</si>
  <si>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</si>
  <si>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</si>
  <si>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</si>
  <si>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</si>
  <si>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</si>
  <si>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</si>
  <si>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</si>
  <si>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</si>
  <si>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</si>
  <si>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</si>
  <si>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</si>
  <si>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</si>
  <si>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</si>
  <si>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</si>
  <si>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</si>
  <si>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</si>
  <si>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</si>
  <si>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</si>
  <si>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</si>
  <si>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</si>
  <si>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</si>
  <si>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</si>
  <si>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</si>
  <si>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</si>
  <si>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</si>
  <si>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</si>
  <si>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</si>
  <si>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</si>
  <si>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</si>
  <si>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</si>
  <si>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</si>
  <si>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</si>
  <si>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</si>
  <si>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</si>
  <si>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</si>
  <si>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</si>
  <si>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</si>
  <si>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</si>
  <si>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</si>
  <si>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</si>
  <si>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</si>
  <si>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</si>
  <si>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</si>
  <si>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</si>
  <si>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</si>
  <si>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</si>
  <si>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</si>
  <si>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</si>
  <si>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</si>
  <si>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</si>
  <si>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</si>
  <si>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</si>
  <si>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</si>
  <si>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</si>
  <si>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</si>
  <si>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</si>
  <si>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</si>
  <si>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</si>
  <si>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</si>
  <si>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</si>
  <si>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</si>
  <si>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</si>
  <si>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</si>
  <si>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</si>
  <si>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</si>
  <si>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</si>
  <si>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</si>
  <si>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</si>
  <si>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</si>
  <si>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</si>
  <si>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</si>
  <si>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</si>
  <si>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</si>
  <si>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</si>
  <si>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</si>
  <si>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</si>
  <si>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</si>
  <si>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</si>
  <si>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</si>
  <si>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</si>
  <si>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</si>
  <si>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</si>
  <si>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</si>
  <si>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</si>
  <si>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</si>
  <si>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</si>
  <si>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</si>
  <si>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</si>
  <si>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</si>
  <si>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</si>
  <si>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</si>
  <si>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</si>
  <si>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</si>
  <si>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</si>
  <si>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</si>
  <si>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</si>
  <si>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</si>
  <si>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</si>
  <si>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</si>
  <si>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</si>
  <si>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</si>
  <si>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</si>
  <si>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</si>
  <si>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</si>
  <si>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</si>
  <si>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</si>
  <si>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</si>
  <si>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</si>
  <si>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</si>
  <si>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</si>
  <si>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</si>
  <si>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</si>
  <si>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</si>
  <si>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</si>
  <si>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</si>
  <si>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</si>
  <si>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</si>
  <si>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</si>
  <si>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</si>
  <si>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</si>
  <si>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</si>
  <si>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</si>
  <si>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</si>
  <si>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</si>
  <si>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</si>
  <si>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</si>
  <si>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</si>
  <si>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</si>
  <si>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</si>
  <si>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</si>
  <si>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</si>
  <si>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</si>
  <si>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</si>
  <si>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</si>
  <si>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</si>
  <si>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</si>
  <si>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</si>
  <si>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</si>
  <si>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</si>
  <si>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</si>
  <si>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</si>
  <si>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</si>
  <si>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</si>
  <si>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</si>
  <si>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</si>
  <si>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</si>
  <si>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</si>
  <si>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</si>
  <si>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</si>
  <si>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</si>
  <si>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</si>
  <si>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</si>
  <si>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</si>
  <si>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</si>
  <si>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</si>
  <si>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</si>
  <si>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</si>
  <si>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</si>
  <si>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</si>
  <si>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</si>
  <si>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</si>
  <si>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</si>
  <si>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</si>
  <si>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</si>
  <si>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</si>
  <si>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</si>
  <si>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</si>
  <si>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</si>
  <si>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</si>
  <si>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</si>
  <si>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</si>
  <si>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</si>
  <si>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</si>
  <si>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</si>
  <si>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</si>
  <si>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</si>
  <si>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</si>
  <si>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</si>
  <si>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</si>
  <si>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</si>
  <si>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</si>
  <si>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</si>
  <si>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</si>
  <si>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</si>
  <si>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</si>
  <si>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</si>
  <si>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</si>
  <si>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</si>
  <si>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</si>
  <si>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</si>
  <si>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</si>
  <si>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</si>
  <si>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</si>
  <si>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</si>
  <si>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</si>
  <si>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</si>
  <si>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</si>
  <si>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</si>
  <si>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</si>
  <si>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</si>
  <si>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</si>
  <si>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</si>
  <si>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</si>
  <si>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</si>
  <si>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</si>
  <si>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</si>
  <si>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</si>
  <si>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</si>
  <si>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</si>
  <si>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</si>
  <si>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</si>
  <si>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</si>
  <si>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</si>
  <si>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</si>
  <si>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</si>
  <si>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</si>
  <si>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</si>
  <si>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</si>
  <si>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</si>
  <si>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</si>
  <si>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</si>
  <si>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</si>
  <si>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</si>
  <si>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</si>
  <si>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</si>
  <si>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</si>
  <si>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</si>
  <si>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</si>
  <si>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</si>
  <si>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</si>
  <si>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</si>
  <si>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</si>
  <si>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</si>
  <si>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</si>
  <si>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</si>
  <si>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</si>
  <si>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</si>
  <si>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</si>
  <si>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</si>
  <si>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</si>
  <si>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</si>
  <si>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</si>
  <si>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</si>
  <si>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</si>
  <si>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</si>
  <si>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</si>
  <si>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</si>
  <si>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</si>
  <si>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</si>
  <si>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</si>
  <si>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</si>
  <si>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</si>
  <si>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</si>
  <si>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</si>
  <si>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</si>
  <si>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</si>
  <si>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</si>
  <si>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</si>
  <si>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</si>
  <si>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</si>
  <si>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</si>
  <si>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</si>
  <si>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</si>
  <si>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</si>
  <si>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</si>
  <si>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</si>
  <si>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</si>
  <si>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</si>
  <si>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</si>
  <si>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</si>
  <si>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</si>
  <si>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</si>
  <si>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</si>
  <si>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</si>
  <si>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</si>
  <si>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</si>
  <si>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</si>
  <si>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</si>
  <si>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</si>
  <si>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</si>
  <si>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</si>
  <si>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</si>
  <si>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</si>
  <si>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</si>
  <si>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</si>
  <si>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</si>
  <si>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</si>
  <si>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</si>
  <si>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</si>
  <si>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</si>
  <si>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</si>
  <si>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</si>
  <si>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</si>
  <si>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</si>
  <si>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</si>
  <si>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</si>
  <si>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</si>
  <si>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</si>
  <si>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</si>
  <si>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</si>
  <si>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</si>
  <si>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</si>
  <si>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</si>
  <si>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</si>
  <si>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</si>
  <si>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</si>
  <si>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</si>
  <si>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</si>
  <si>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</si>
  <si>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</si>
  <si>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</si>
  <si>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</si>
  <si>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</si>
  <si>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</si>
  <si>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</si>
  <si>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</si>
  <si>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</si>
  <si>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</si>
  <si>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</si>
  <si>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</si>
  <si>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</si>
  <si>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</si>
  <si>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</si>
  <si>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</si>
  <si>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</si>
  <si>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</si>
  <si>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</si>
  <si>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</si>
  <si>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</si>
  <si>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</si>
  <si>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</si>
  <si>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</si>
  <si>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</si>
  <si>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</si>
  <si>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</si>
  <si>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</si>
  <si>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</si>
  <si>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</si>
  <si>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</si>
  <si>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</si>
  <si>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</si>
  <si>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</si>
  <si>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</si>
  <si>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</si>
  <si>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</si>
  <si>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</si>
  <si>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</si>
  <si>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</si>
  <si>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</si>
  <si>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</si>
  <si>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</si>
  <si>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</si>
  <si>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</si>
  <si>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</si>
  <si>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</si>
  <si>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</si>
  <si>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</si>
  <si>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</si>
  <si>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</si>
  <si>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</si>
  <si>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</si>
  <si>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</si>
  <si>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</si>
  <si>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</si>
  <si>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</si>
  <si>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</si>
  <si>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</si>
  <si>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</si>
  <si>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</si>
  <si>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</si>
  <si>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</si>
  <si>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</si>
  <si>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</si>
  <si>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</si>
  <si>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</si>
  <si>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</si>
  <si>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</si>
  <si>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</si>
  <si>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</si>
  <si>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</si>
  <si>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</si>
  <si>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</si>
  <si>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</si>
  <si>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</si>
  <si>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</si>
  <si>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</si>
  <si>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</si>
  <si>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</si>
  <si>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</si>
  <si>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</si>
  <si>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</si>
  <si>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</si>
  <si>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</si>
  <si>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</si>
  <si>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</si>
  <si>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</si>
  <si>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</si>
  <si>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</si>
  <si>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</si>
  <si>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</si>
  <si>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</si>
  <si>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</si>
  <si>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</si>
  <si>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</si>
  <si>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</si>
  <si>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</si>
  <si>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</si>
  <si>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</si>
  <si>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</si>
  <si>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</si>
  <si>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</si>
  <si>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</si>
  <si>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</si>
  <si>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</si>
  <si>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</si>
  <si>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</si>
  <si>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</si>
  <si>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</si>
  <si>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</si>
  <si>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</si>
  <si>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</si>
  <si>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</si>
  <si>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</si>
  <si>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</si>
  <si>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</si>
  <si>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</si>
  <si>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</si>
  <si>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</si>
  <si>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</si>
  <si>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</si>
  <si>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</si>
  <si>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</si>
  <si>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</si>
  <si>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</si>
  <si>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</si>
  <si>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</si>
  <si>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</si>
  <si>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</si>
  <si>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</si>
  <si>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</si>
  <si>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</si>
  <si>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</si>
  <si>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</si>
  <si>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</si>
  <si>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</si>
  <si>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</si>
  <si>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</si>
  <si>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</si>
  <si>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</si>
  <si>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</si>
  <si>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</si>
  <si>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</si>
  <si>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</si>
  <si>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</si>
  <si>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</si>
  <si>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</si>
  <si>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</si>
  <si>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</si>
  <si>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</si>
  <si>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</si>
  <si>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</si>
  <si>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</si>
  <si>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</si>
  <si>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</si>
  <si>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</si>
  <si>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</si>
  <si>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</si>
  <si>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</si>
  <si>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</si>
  <si>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</si>
  <si>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</si>
  <si>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</si>
  <si>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</si>
  <si>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</si>
  <si>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</si>
  <si>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</si>
  <si>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</si>
  <si>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</si>
  <si>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</si>
  <si>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</si>
  <si>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</si>
  <si>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</si>
  <si>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</si>
  <si>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</si>
  <si>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</si>
  <si>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</si>
  <si>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</si>
  <si>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</si>
  <si>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</si>
  <si>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</si>
  <si>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</si>
  <si>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</si>
  <si>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</si>
  <si>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</si>
  <si>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</si>
  <si>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</si>
  <si>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</si>
  <si>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</si>
  <si>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</si>
  <si>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</si>
  <si>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</si>
  <si>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</si>
  <si>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</si>
  <si>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</si>
  <si>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</si>
  <si>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</si>
  <si>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</si>
  <si>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</si>
  <si>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</si>
  <si>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</si>
  <si>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</si>
  <si>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</si>
  <si>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</si>
  <si>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</si>
  <si>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</si>
  <si>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</si>
  <si>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</si>
  <si>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</si>
  <si>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</si>
  <si>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</si>
  <si>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</si>
  <si>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</si>
  <si>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</si>
  <si>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</si>
  <si>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</si>
  <si>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</si>
  <si>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</si>
  <si>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</si>
  <si>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</si>
  <si>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</si>
  <si>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</si>
  <si>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</si>
  <si>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</si>
  <si>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</si>
  <si>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</si>
  <si>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</si>
  <si>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</si>
  <si>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</si>
  <si>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</si>
  <si>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</si>
  <si>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</si>
  <si>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</si>
  <si>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</si>
  <si>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</si>
  <si>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</si>
  <si>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</si>
  <si>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</si>
  <si>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</si>
  <si>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</si>
  <si>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</si>
  <si>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</si>
  <si>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</si>
  <si>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</si>
  <si>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</si>
  <si>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</si>
  <si>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</si>
  <si>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</si>
  <si>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</si>
  <si>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</si>
  <si>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</si>
  <si>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</si>
  <si>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</si>
  <si>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</si>
  <si>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</si>
  <si>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</si>
  <si>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</si>
  <si>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</si>
  <si>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</si>
  <si>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</si>
  <si>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</si>
  <si>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</si>
  <si>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</si>
  <si>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</si>
  <si>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</si>
  <si>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</si>
  <si>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</si>
  <si>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</si>
  <si>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</si>
  <si>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</si>
  <si>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</si>
  <si>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</si>
  <si>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</si>
  <si>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</si>
  <si>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</si>
  <si>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</si>
  <si>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</si>
  <si>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</si>
  <si>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</si>
  <si>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</si>
  <si>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</si>
  <si>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</si>
  <si>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</si>
  <si>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</si>
  <si>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</si>
  <si>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</si>
  <si>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</si>
  <si>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</si>
  <si>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</si>
  <si>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</si>
  <si>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</si>
  <si>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</si>
  <si>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</si>
  <si>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</si>
  <si>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</si>
  <si>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</si>
  <si>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</si>
  <si>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</si>
  <si>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</si>
  <si>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</si>
  <si>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</si>
  <si>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</si>
  <si>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</si>
  <si>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</si>
  <si>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</si>
  <si>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</si>
  <si>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</si>
  <si>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</si>
  <si>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</si>
  <si>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</si>
  <si>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</si>
  <si>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</si>
  <si>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</si>
  <si>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</si>
  <si>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</si>
  <si>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</si>
  <si>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</si>
  <si>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</si>
  <si>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</si>
  <si>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</si>
  <si>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</si>
  <si>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</si>
  <si>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</si>
  <si>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</si>
  <si>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</si>
  <si>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</si>
  <si>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</si>
  <si>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</si>
  <si>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</si>
  <si>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</si>
  <si>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</si>
  <si>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</si>
  <si>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</si>
  <si>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</si>
  <si>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</si>
  <si>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</si>
  <si>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</si>
  <si>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</si>
  <si>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</si>
  <si>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</si>
  <si>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</si>
  <si>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</si>
  <si>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</si>
  <si>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</si>
  <si>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</si>
  <si>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</si>
  <si>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</si>
  <si>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</si>
  <si>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</si>
  <si>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</si>
  <si>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</si>
  <si>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</si>
  <si>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</si>
  <si>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</si>
  <si>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</si>
  <si>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</si>
  <si>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</si>
  <si>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</si>
  <si>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</si>
  <si>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</si>
  <si>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</si>
  <si>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</si>
  <si>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</si>
  <si>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</si>
  <si>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</si>
  <si>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</si>
  <si>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</si>
  <si>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</si>
  <si>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</si>
  <si>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</si>
  <si>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</si>
  <si>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</si>
  <si>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</si>
  <si>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</si>
  <si>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</si>
  <si>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</si>
  <si>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</si>
  <si>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</si>
  <si>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</si>
  <si>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</si>
  <si>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</si>
  <si>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</si>
  <si>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</si>
  <si>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</si>
  <si>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</si>
  <si>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</si>
  <si>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</si>
  <si>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</si>
  <si>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</si>
  <si>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</si>
  <si>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</si>
  <si>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</si>
  <si>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</si>
  <si>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</si>
  <si>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</si>
  <si>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</si>
  <si>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</si>
  <si>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</si>
  <si>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</si>
  <si>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</si>
  <si>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</si>
  <si>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</si>
  <si>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</si>
  <si>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</si>
  <si>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</si>
  <si>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</si>
  <si>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</si>
  <si>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</si>
  <si>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</si>
  <si>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</si>
  <si>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</si>
  <si>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</si>
  <si>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</si>
  <si>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</si>
  <si>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</si>
  <si>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</si>
  <si>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</si>
  <si>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</si>
  <si>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</si>
  <si>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</si>
  <si>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</si>
  <si>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</si>
  <si>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</si>
  <si>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</si>
  <si>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</si>
  <si>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</si>
  <si>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</si>
  <si>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</si>
  <si>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</si>
  <si>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</si>
  <si>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</si>
  <si>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</si>
  <si>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</si>
  <si>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</si>
  <si>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</si>
  <si>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</si>
  <si>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</si>
  <si>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</si>
  <si>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</si>
  <si>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</si>
  <si>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</si>
  <si>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</si>
  <si>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</si>
  <si>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</si>
  <si>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</si>
  <si>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</si>
  <si>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</si>
  <si>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</si>
  <si>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</si>
  <si>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</si>
  <si>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</si>
  <si>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</si>
  <si>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</si>
  <si>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</si>
  <si>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</si>
  <si>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</si>
  <si>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</si>
  <si>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</si>
  <si>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</si>
  <si>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</si>
  <si>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</si>
  <si>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</si>
  <si>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</si>
  <si>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</si>
  <si>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</si>
  <si>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</si>
  <si>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</si>
  <si>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</si>
  <si>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</si>
  <si>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</si>
  <si>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</si>
  <si>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</si>
  <si>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</si>
  <si>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</si>
  <si>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</si>
  <si>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</si>
  <si>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</si>
  <si>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</si>
  <si>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</si>
  <si>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</si>
  <si>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</si>
  <si>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</si>
  <si>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12034</t>
  </si>
  <si>
    <t>SINT-AMANDS</t>
  </si>
  <si>
    <t>Paarden&amp;pony's 200 - 600 kg</t>
  </si>
  <si>
    <t>Paarden&amp;pony's &lt; 200 kg</t>
  </si>
  <si>
    <t>referentietaak LNE (2017); Jaarverslag De Lijn (2015)</t>
  </si>
  <si>
    <t>op basis van VEA (maart 2018) en Inventaris Hernieuwbare Energiebronnen (juni 2018)</t>
  </si>
  <si>
    <t>VEA (januari 2017)</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</si>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</sst>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60338.341182786593</c:v>
                </c:pt>
                <c:pt idx="1">
                  <c:v>15003.969263902996</c:v>
                </c:pt>
                <c:pt idx="2">
                  <c:v>553.38900000000001</c:v>
                </c:pt>
                <c:pt idx="3">
                  <c:v>11712.017972184985</c:v>
                </c:pt>
                <c:pt idx="4">
                  <c:v>4903.0927583456732</c:v>
                </c:pt>
                <c:pt idx="5">
                  <c:v>50506.266592903485</c:v>
                </c:pt>
                <c:pt idx="6">
                  <c:v>367.92310125912479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60338.341182786593</c:v>
                </c:pt>
                <c:pt idx="1">
                  <c:v>15003.969263902996</c:v>
                </c:pt>
                <c:pt idx="2">
                  <c:v>553.38900000000001</c:v>
                </c:pt>
                <c:pt idx="3">
                  <c:v>11712.017972184985</c:v>
                </c:pt>
                <c:pt idx="4">
                  <c:v>4903.0927583456732</c:v>
                </c:pt>
                <c:pt idx="5">
                  <c:v>50506.266592903485</c:v>
                </c:pt>
                <c:pt idx="6">
                  <c:v>367.92310125912479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10655.535867720289</c:v>
                </c:pt>
                <c:pt idx="2">
                  <c:v>2997.0385535764062</c:v>
                </c:pt>
                <c:pt idx="3">
                  <c:v>112.11951194457097</c:v>
                </c:pt>
                <c:pt idx="4">
                  <c:v>2817.5931372828168</c:v>
                </c:pt>
                <c:pt idx="5">
                  <c:v>943.64880845092011</c:v>
                </c:pt>
                <c:pt idx="6">
                  <c:v>12903.015324978121</c:v>
                </c:pt>
                <c:pt idx="7">
                  <c:v>95.280092718960944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10655.535867720289</c:v>
                </c:pt>
                <c:pt idx="2">
                  <c:v>2997.0385535764062</c:v>
                </c:pt>
                <c:pt idx="3">
                  <c:v>112.11951194457097</c:v>
                </c:pt>
                <c:pt idx="4">
                  <c:v>2817.5931372828168</c:v>
                </c:pt>
                <c:pt idx="5">
                  <c:v>943.64880845092011</c:v>
                </c:pt>
                <c:pt idx="6">
                  <c:v>12903.015324978121</c:v>
                </c:pt>
                <c:pt idx="7">
                  <c:v>95.280092718960944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5969.3796782460004</v>
      </c>
      <c r="D10" s="1012">
        <f ca="1">tertiair!C16</f>
        <v>0</v>
      </c>
      <c r="E10" s="1012">
        <f ca="1">tertiair!D16</f>
        <v>7450.4611010416393</v>
      </c>
      <c r="F10" s="1012">
        <f>tertiair!E16</f>
        <v>101.48276136634516</v>
      </c>
      <c r="G10" s="1012">
        <f ca="1">tertiair!F16</f>
        <v>1392.137548454805</v>
      </c>
      <c r="H10" s="1012">
        <f>tertiair!G16</f>
        <v>0</v>
      </c>
      <c r="I10" s="1012">
        <f>tertiair!H16</f>
        <v>0</v>
      </c>
      <c r="J10" s="1012">
        <f>tertiair!I16</f>
        <v>0</v>
      </c>
      <c r="K10" s="1012">
        <f>tertiair!J16</f>
        <v>0</v>
      </c>
      <c r="L10" s="1012">
        <f>tertiair!K16</f>
        <v>0</v>
      </c>
      <c r="M10" s="1012">
        <f ca="1">tertiair!L16</f>
        <v>0</v>
      </c>
      <c r="N10" s="1012">
        <f>tertiair!M16</f>
        <v>0</v>
      </c>
      <c r="O10" s="1012">
        <f ca="1">tertiair!N16</f>
        <v>643.89717479420665</v>
      </c>
      <c r="P10" s="1012">
        <f>tertiair!O16</f>
        <v>0</v>
      </c>
      <c r="Q10" s="1013">
        <f>tertiair!P16</f>
        <v>0</v>
      </c>
      <c r="R10" s="700">
        <f ca="1">SUM(C10:Q10)</f>
        <v>15557.358263902996</v>
      </c>
      <c r="S10" s="67"/>
    </row>
    <row r="11" spans="1:19" s="473" customFormat="1">
      <c r="A11" s="809" t="s">
        <v>225</v>
      </c>
      <c r="B11" s="814"/>
      <c r="C11" s="1012">
        <f>huishoudens!B8</f>
        <v>13438.014192218076</v>
      </c>
      <c r="D11" s="1012">
        <f>huishoudens!C8</f>
        <v>0</v>
      </c>
      <c r="E11" s="1012">
        <f>huishoudens!D8</f>
        <v>35481.841823626004</v>
      </c>
      <c r="F11" s="1012">
        <f>huishoudens!E8</f>
        <v>792.950705995627</v>
      </c>
      <c r="G11" s="1012">
        <f>huishoudens!F8</f>
        <v>2193.2280878555071</v>
      </c>
      <c r="H11" s="1012">
        <f>huishoudens!G8</f>
        <v>0</v>
      </c>
      <c r="I11" s="1012">
        <f>huishoudens!H8</f>
        <v>0</v>
      </c>
      <c r="J11" s="1012">
        <f>huishoudens!I8</f>
        <v>0</v>
      </c>
      <c r="K11" s="1012">
        <f>huishoudens!J8</f>
        <v>0</v>
      </c>
      <c r="L11" s="1012">
        <f>huishoudens!K8</f>
        <v>0</v>
      </c>
      <c r="M11" s="1012">
        <f>huishoudens!L8</f>
        <v>0</v>
      </c>
      <c r="N11" s="1012">
        <f>huishoudens!M8</f>
        <v>0</v>
      </c>
      <c r="O11" s="1012">
        <f>huishoudens!N8</f>
        <v>7968.7297064247141</v>
      </c>
      <c r="P11" s="1012">
        <f>huishoudens!O8</f>
        <v>120.37666666666668</v>
      </c>
      <c r="Q11" s="1013">
        <f>huishoudens!P8</f>
        <v>343.2</v>
      </c>
      <c r="R11" s="700">
        <f>SUM(C11:Q11)</f>
        <v>60338.341182786593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2170.2029362999997</v>
      </c>
      <c r="D13" s="1012">
        <f>industrie!C18</f>
        <v>0</v>
      </c>
      <c r="E13" s="1012">
        <f>industrie!D18</f>
        <v>1265.3075473431361</v>
      </c>
      <c r="F13" s="1012">
        <f>industrie!E18</f>
        <v>190.02879831060892</v>
      </c>
      <c r="G13" s="1012">
        <f>industrie!F18</f>
        <v>753.2698644009871</v>
      </c>
      <c r="H13" s="1012">
        <f>industrie!G18</f>
        <v>0</v>
      </c>
      <c r="I13" s="1012">
        <f>industrie!H18</f>
        <v>0</v>
      </c>
      <c r="J13" s="1012">
        <f>industrie!I18</f>
        <v>0</v>
      </c>
      <c r="K13" s="1012">
        <f>industrie!J18</f>
        <v>11.589274110218442</v>
      </c>
      <c r="L13" s="1012">
        <f>industrie!K18</f>
        <v>0</v>
      </c>
      <c r="M13" s="1012">
        <f>industrie!L18</f>
        <v>0</v>
      </c>
      <c r="N13" s="1012">
        <f>industrie!M18</f>
        <v>0</v>
      </c>
      <c r="O13" s="1012">
        <f>industrie!N18</f>
        <v>512.69433788072251</v>
      </c>
      <c r="P13" s="1012">
        <f>industrie!O18</f>
        <v>0</v>
      </c>
      <c r="Q13" s="1013">
        <f>industrie!P18</f>
        <v>0</v>
      </c>
      <c r="R13" s="700">
        <f>SUM(C13:Q13)</f>
        <v>4903.0927583456732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21577.596806764075</v>
      </c>
      <c r="D16" s="732">
        <f t="shared" ref="D16:R16" ca="1" si="0">SUM(D9:D15)</f>
        <v>0</v>
      </c>
      <c r="E16" s="732">
        <f t="shared" ca="1" si="0"/>
        <v>44197.610472010783</v>
      </c>
      <c r="F16" s="732">
        <f t="shared" si="0"/>
        <v>1084.462265672581</v>
      </c>
      <c r="G16" s="732">
        <f t="shared" ca="1" si="0"/>
        <v>4338.6355007112988</v>
      </c>
      <c r="H16" s="732">
        <f t="shared" si="0"/>
        <v>0</v>
      </c>
      <c r="I16" s="732">
        <f t="shared" si="0"/>
        <v>0</v>
      </c>
      <c r="J16" s="732">
        <f t="shared" si="0"/>
        <v>0</v>
      </c>
      <c r="K16" s="732">
        <f t="shared" si="0"/>
        <v>11.589274110218442</v>
      </c>
      <c r="L16" s="732">
        <f t="shared" si="0"/>
        <v>0</v>
      </c>
      <c r="M16" s="732">
        <f t="shared" ca="1" si="0"/>
        <v>0</v>
      </c>
      <c r="N16" s="732">
        <f t="shared" si="0"/>
        <v>0</v>
      </c>
      <c r="O16" s="732">
        <f t="shared" ca="1" si="0"/>
        <v>9125.3212190996437</v>
      </c>
      <c r="P16" s="732">
        <f t="shared" si="0"/>
        <v>120.37666666666668</v>
      </c>
      <c r="Q16" s="732">
        <f t="shared" si="0"/>
        <v>343.2</v>
      </c>
      <c r="R16" s="732">
        <f t="shared" ca="1" si="0"/>
        <v>80798.792205035264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356.85427984629564</v>
      </c>
      <c r="I19" s="1012">
        <f>transport!H54</f>
        <v>0</v>
      </c>
      <c r="J19" s="1012">
        <f>transport!I54</f>
        <v>0</v>
      </c>
      <c r="K19" s="1012">
        <f>transport!J54</f>
        <v>0</v>
      </c>
      <c r="L19" s="1012">
        <f>transport!K54</f>
        <v>0</v>
      </c>
      <c r="M19" s="1012">
        <f>transport!L54</f>
        <v>0</v>
      </c>
      <c r="N19" s="1012">
        <f>transport!M54</f>
        <v>11.068821412829147</v>
      </c>
      <c r="O19" s="1012">
        <f>transport!N54</f>
        <v>0</v>
      </c>
      <c r="P19" s="1012">
        <f>transport!O54</f>
        <v>0</v>
      </c>
      <c r="Q19" s="1013">
        <f>transport!P54</f>
        <v>0</v>
      </c>
      <c r="R19" s="700">
        <f>SUM(C19:Q19)</f>
        <v>367.92310125912479</v>
      </c>
      <c r="S19" s="67"/>
    </row>
    <row r="20" spans="1:19" s="473" customFormat="1">
      <c r="A20" s="809" t="s">
        <v>307</v>
      </c>
      <c r="B20" s="814"/>
      <c r="C20" s="1012">
        <f>transport!B14</f>
        <v>14.738004004903067</v>
      </c>
      <c r="D20" s="1012">
        <f>transport!C14</f>
        <v>0</v>
      </c>
      <c r="E20" s="1012">
        <f>transport!D14</f>
        <v>34.622342176303164</v>
      </c>
      <c r="F20" s="1012">
        <f>transport!E14</f>
        <v>132.62305991292908</v>
      </c>
      <c r="G20" s="1012">
        <f>transport!F14</f>
        <v>0</v>
      </c>
      <c r="H20" s="1012">
        <f>transport!G14</f>
        <v>39525.716441536337</v>
      </c>
      <c r="I20" s="1012">
        <f>transport!H14</f>
        <v>9275.3569899943723</v>
      </c>
      <c r="J20" s="1012">
        <f>transport!I14</f>
        <v>0</v>
      </c>
      <c r="K20" s="1012">
        <f>transport!J14</f>
        <v>0</v>
      </c>
      <c r="L20" s="1012">
        <f>transport!K14</f>
        <v>0</v>
      </c>
      <c r="M20" s="1012">
        <f>transport!L14</f>
        <v>0</v>
      </c>
      <c r="N20" s="1012">
        <f>transport!M14</f>
        <v>1523.2097552786411</v>
      </c>
      <c r="O20" s="1012">
        <f>transport!N14</f>
        <v>0</v>
      </c>
      <c r="P20" s="1012">
        <f>transport!O14</f>
        <v>0</v>
      </c>
      <c r="Q20" s="1013">
        <f>transport!P14</f>
        <v>0</v>
      </c>
      <c r="R20" s="700">
        <f>SUM(C20:Q20)</f>
        <v>50506.266592903485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14.738004004903067</v>
      </c>
      <c r="D22" s="812">
        <f t="shared" ref="D22:R22" si="1">SUM(D18:D21)</f>
        <v>0</v>
      </c>
      <c r="E22" s="812">
        <f t="shared" si="1"/>
        <v>34.622342176303164</v>
      </c>
      <c r="F22" s="812">
        <f t="shared" si="1"/>
        <v>132.62305991292908</v>
      </c>
      <c r="G22" s="812">
        <f t="shared" si="1"/>
        <v>0</v>
      </c>
      <c r="H22" s="812">
        <f t="shared" si="1"/>
        <v>39882.570721382632</v>
      </c>
      <c r="I22" s="812">
        <f t="shared" si="1"/>
        <v>9275.3569899943723</v>
      </c>
      <c r="J22" s="812">
        <f t="shared" si="1"/>
        <v>0</v>
      </c>
      <c r="K22" s="812">
        <f t="shared" si="1"/>
        <v>0</v>
      </c>
      <c r="L22" s="812">
        <f t="shared" si="1"/>
        <v>0</v>
      </c>
      <c r="M22" s="812">
        <f t="shared" si="1"/>
        <v>0</v>
      </c>
      <c r="N22" s="812">
        <f t="shared" si="1"/>
        <v>1534.2785766914701</v>
      </c>
      <c r="O22" s="812">
        <f t="shared" si="1"/>
        <v>0</v>
      </c>
      <c r="P22" s="812">
        <f t="shared" si="1"/>
        <v>0</v>
      </c>
      <c r="Q22" s="812">
        <f t="shared" si="1"/>
        <v>0</v>
      </c>
      <c r="R22" s="812">
        <f t="shared" si="1"/>
        <v>50874.189694162611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386.21135500999998</v>
      </c>
      <c r="D24" s="1012">
        <f>+landbouw!C8</f>
        <v>9848.5714285714294</v>
      </c>
      <c r="E24" s="1012">
        <f>+landbouw!D8</f>
        <v>0</v>
      </c>
      <c r="F24" s="1012">
        <f>+landbouw!E8</f>
        <v>9.9589079655474908</v>
      </c>
      <c r="G24" s="1012">
        <f>+landbouw!F8</f>
        <v>1411.6760529412445</v>
      </c>
      <c r="H24" s="1012">
        <f>+landbouw!G8</f>
        <v>0</v>
      </c>
      <c r="I24" s="1012">
        <f>+landbouw!H8</f>
        <v>0</v>
      </c>
      <c r="J24" s="1012">
        <f>+landbouw!I8</f>
        <v>0</v>
      </c>
      <c r="K24" s="1012">
        <f>+landbouw!J8</f>
        <v>55.600227696765131</v>
      </c>
      <c r="L24" s="1012">
        <f>+landbouw!K8</f>
        <v>0</v>
      </c>
      <c r="M24" s="1012">
        <f>+landbouw!L8</f>
        <v>0</v>
      </c>
      <c r="N24" s="1012">
        <f>+landbouw!M8</f>
        <v>0</v>
      </c>
      <c r="O24" s="1012">
        <f>+landbouw!N8</f>
        <v>0</v>
      </c>
      <c r="P24" s="1012">
        <f>+landbouw!O8</f>
        <v>0</v>
      </c>
      <c r="Q24" s="1013">
        <f>+landbouw!P8</f>
        <v>0</v>
      </c>
      <c r="R24" s="700">
        <f>SUM(C24:Q24)</f>
        <v>11712.017972184985</v>
      </c>
      <c r="S24" s="67"/>
    </row>
    <row r="25" spans="1:19" s="473" customFormat="1" ht="15" thickBot="1">
      <c r="A25" s="831" t="s">
        <v>848</v>
      </c>
      <c r="B25" s="1015"/>
      <c r="C25" s="1016">
        <f>IF(Onbekend_ele_kWh="---",0,Onbekend_ele_kWh)/1000+IF(REST_rest_ele_kWh="---",0,REST_rest_ele_kWh)/1000</f>
        <v>357.15670564999999</v>
      </c>
      <c r="D25" s="1016"/>
      <c r="E25" s="1016">
        <f>IF(onbekend_gas_kWh="---",0,onbekend_gas_kWh)/1000+IF(REST_rest_gas_kWh="---",0,REST_rest_gas_kWh)/1000</f>
        <v>844.43482366000001</v>
      </c>
      <c r="F25" s="1016"/>
      <c r="G25" s="1016"/>
      <c r="H25" s="1016"/>
      <c r="I25" s="1016"/>
      <c r="J25" s="1016"/>
      <c r="K25" s="1016"/>
      <c r="L25" s="1016"/>
      <c r="M25" s="1016"/>
      <c r="N25" s="1016"/>
      <c r="O25" s="1016"/>
      <c r="P25" s="1016"/>
      <c r="Q25" s="1017"/>
      <c r="R25" s="700">
        <f>SUM(C25:Q25)</f>
        <v>1201.5915293099999</v>
      </c>
      <c r="S25" s="67"/>
    </row>
    <row r="26" spans="1:19" s="473" customFormat="1" ht="15.75" thickBot="1">
      <c r="A26" s="705" t="s">
        <v>849</v>
      </c>
      <c r="B26" s="817"/>
      <c r="C26" s="812">
        <f>SUM(C24:C25)</f>
        <v>743.36806065999997</v>
      </c>
      <c r="D26" s="812">
        <f t="shared" ref="D26:R26" si="2">SUM(D24:D25)</f>
        <v>9848.5714285714294</v>
      </c>
      <c r="E26" s="812">
        <f t="shared" si="2"/>
        <v>844.43482366000001</v>
      </c>
      <c r="F26" s="812">
        <f t="shared" si="2"/>
        <v>9.9589079655474908</v>
      </c>
      <c r="G26" s="812">
        <f t="shared" si="2"/>
        <v>1411.6760529412445</v>
      </c>
      <c r="H26" s="812">
        <f t="shared" si="2"/>
        <v>0</v>
      </c>
      <c r="I26" s="812">
        <f t="shared" si="2"/>
        <v>0</v>
      </c>
      <c r="J26" s="812">
        <f t="shared" si="2"/>
        <v>0</v>
      </c>
      <c r="K26" s="812">
        <f t="shared" si="2"/>
        <v>55.600227696765131</v>
      </c>
      <c r="L26" s="812">
        <f t="shared" si="2"/>
        <v>0</v>
      </c>
      <c r="M26" s="812">
        <f t="shared" si="2"/>
        <v>0</v>
      </c>
      <c r="N26" s="812">
        <f t="shared" si="2"/>
        <v>0</v>
      </c>
      <c r="O26" s="812">
        <f t="shared" si="2"/>
        <v>0</v>
      </c>
      <c r="P26" s="812">
        <f t="shared" si="2"/>
        <v>0</v>
      </c>
      <c r="Q26" s="812">
        <f t="shared" si="2"/>
        <v>0</v>
      </c>
      <c r="R26" s="812">
        <f t="shared" si="2"/>
        <v>12913.609501494986</v>
      </c>
      <c r="S26" s="67"/>
    </row>
    <row r="27" spans="1:19" s="473" customFormat="1" ht="17.25" thickTop="1" thickBot="1">
      <c r="A27" s="706" t="s">
        <v>116</v>
      </c>
      <c r="B27" s="805"/>
      <c r="C27" s="707">
        <f ca="1">C22+C16+C26</f>
        <v>22335.702871428977</v>
      </c>
      <c r="D27" s="707">
        <f t="shared" ref="D27:R27" ca="1" si="3">D22+D16+D26</f>
        <v>9848.5714285714294</v>
      </c>
      <c r="E27" s="707">
        <f t="shared" ca="1" si="3"/>
        <v>45076.667637847087</v>
      </c>
      <c r="F27" s="707">
        <f t="shared" si="3"/>
        <v>1227.0442335510575</v>
      </c>
      <c r="G27" s="707">
        <f t="shared" ca="1" si="3"/>
        <v>5750.3115536525438</v>
      </c>
      <c r="H27" s="707">
        <f t="shared" si="3"/>
        <v>39882.570721382632</v>
      </c>
      <c r="I27" s="707">
        <f t="shared" si="3"/>
        <v>9275.3569899943723</v>
      </c>
      <c r="J27" s="707">
        <f t="shared" si="3"/>
        <v>0</v>
      </c>
      <c r="K27" s="707">
        <f t="shared" si="3"/>
        <v>67.189501806983571</v>
      </c>
      <c r="L27" s="707">
        <f t="shared" si="3"/>
        <v>0</v>
      </c>
      <c r="M27" s="707">
        <f t="shared" ca="1" si="3"/>
        <v>0</v>
      </c>
      <c r="N27" s="707">
        <f t="shared" si="3"/>
        <v>1534.2785766914701</v>
      </c>
      <c r="O27" s="707">
        <f t="shared" ca="1" si="3"/>
        <v>9125.3212190996437</v>
      </c>
      <c r="P27" s="707">
        <f t="shared" si="3"/>
        <v>120.37666666666668</v>
      </c>
      <c r="Q27" s="707">
        <f t="shared" si="3"/>
        <v>343.2</v>
      </c>
      <c r="R27" s="707">
        <f t="shared" ca="1" si="3"/>
        <v>144586.59140069288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1209.4276108429726</v>
      </c>
      <c r="D40" s="1012">
        <f ca="1">tertiair!C20</f>
        <v>0</v>
      </c>
      <c r="E40" s="1012">
        <f ca="1">tertiair!D20</f>
        <v>1504.9931424104113</v>
      </c>
      <c r="F40" s="1012">
        <f>tertiair!E20</f>
        <v>23.036586830160353</v>
      </c>
      <c r="G40" s="1012">
        <f ca="1">tertiair!F20</f>
        <v>371.70072543743294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3109.1580655209773</v>
      </c>
    </row>
    <row r="41" spans="1:18">
      <c r="A41" s="822" t="s">
        <v>225</v>
      </c>
      <c r="B41" s="829"/>
      <c r="C41" s="1012">
        <f ca="1">huishoudens!B12</f>
        <v>2722.6121096294087</v>
      </c>
      <c r="D41" s="1012">
        <f ca="1">huishoudens!C12</f>
        <v>0</v>
      </c>
      <c r="E41" s="1012">
        <f>huishoudens!D12</f>
        <v>7167.3320483724528</v>
      </c>
      <c r="F41" s="1012">
        <f>huishoudens!E12</f>
        <v>179.99981026100733</v>
      </c>
      <c r="G41" s="1012">
        <f>huishoudens!F12</f>
        <v>585.59189945742037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10655.535867720289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439.69448984101746</v>
      </c>
      <c r="D43" s="1012">
        <f ca="1">industrie!C22</f>
        <v>0</v>
      </c>
      <c r="E43" s="1012">
        <f>industrie!D22</f>
        <v>255.59212456331352</v>
      </c>
      <c r="F43" s="1012">
        <f>industrie!E22</f>
        <v>43.136537216508223</v>
      </c>
      <c r="G43" s="1012">
        <f>industrie!F22</f>
        <v>201.12305379506356</v>
      </c>
      <c r="H43" s="1012">
        <f>industrie!G22</f>
        <v>0</v>
      </c>
      <c r="I43" s="1012">
        <f>industrie!H22</f>
        <v>0</v>
      </c>
      <c r="J43" s="1012">
        <f>industrie!I22</f>
        <v>0</v>
      </c>
      <c r="K43" s="1012">
        <f>industrie!J22</f>
        <v>4.1026030350173279</v>
      </c>
      <c r="L43" s="1012">
        <f>industrie!K22</f>
        <v>0</v>
      </c>
      <c r="M43" s="1012">
        <f>industrie!L22</f>
        <v>0</v>
      </c>
      <c r="N43" s="1012">
        <f>industrie!M22</f>
        <v>0</v>
      </c>
      <c r="O43" s="1012">
        <f>industrie!N22</f>
        <v>0</v>
      </c>
      <c r="P43" s="1012">
        <f>industrie!O22</f>
        <v>0</v>
      </c>
      <c r="Q43" s="774">
        <f>industrie!P22</f>
        <v>0</v>
      </c>
      <c r="R43" s="849">
        <f t="shared" ca="1" si="4"/>
        <v>943.64880845092011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4371.7342103133988</v>
      </c>
      <c r="D46" s="732">
        <f t="shared" ref="D46:Q46" ca="1" si="5">SUM(D39:D45)</f>
        <v>0</v>
      </c>
      <c r="E46" s="732">
        <f t="shared" ca="1" si="5"/>
        <v>8927.9173153461779</v>
      </c>
      <c r="F46" s="732">
        <f t="shared" si="5"/>
        <v>246.17293430767592</v>
      </c>
      <c r="G46" s="732">
        <f t="shared" ca="1" si="5"/>
        <v>1158.4156786899168</v>
      </c>
      <c r="H46" s="732">
        <f t="shared" si="5"/>
        <v>0</v>
      </c>
      <c r="I46" s="732">
        <f t="shared" si="5"/>
        <v>0</v>
      </c>
      <c r="J46" s="732">
        <f t="shared" si="5"/>
        <v>0</v>
      </c>
      <c r="K46" s="732">
        <f t="shared" si="5"/>
        <v>4.1026030350173279</v>
      </c>
      <c r="L46" s="732">
        <f t="shared" si="5"/>
        <v>0</v>
      </c>
      <c r="M46" s="732">
        <f t="shared" ca="1" si="5"/>
        <v>0</v>
      </c>
      <c r="N46" s="732">
        <f t="shared" si="5"/>
        <v>0</v>
      </c>
      <c r="O46" s="732">
        <f t="shared" ca="1" si="5"/>
        <v>0</v>
      </c>
      <c r="P46" s="732">
        <f t="shared" si="5"/>
        <v>0</v>
      </c>
      <c r="Q46" s="732">
        <f t="shared" si="5"/>
        <v>0</v>
      </c>
      <c r="R46" s="732">
        <f ca="1">SUM(R39:R45)</f>
        <v>14708.342741692186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95.280092718960944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95.280092718960944</v>
      </c>
    </row>
    <row r="50" spans="1:18">
      <c r="A50" s="825" t="s">
        <v>307</v>
      </c>
      <c r="B50" s="835"/>
      <c r="C50" s="703">
        <f ca="1">transport!B18</f>
        <v>2.985996859472928</v>
      </c>
      <c r="D50" s="703">
        <f>transport!C18</f>
        <v>0</v>
      </c>
      <c r="E50" s="703">
        <f>transport!D18</f>
        <v>6.9937131196132398</v>
      </c>
      <c r="F50" s="703">
        <f>transport!E18</f>
        <v>30.105434600234901</v>
      </c>
      <c r="G50" s="703">
        <f>transport!F18</f>
        <v>0</v>
      </c>
      <c r="H50" s="703">
        <f>transport!G18</f>
        <v>10553.366289890202</v>
      </c>
      <c r="I50" s="703">
        <f>transport!H18</f>
        <v>2309.5638905085989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12903.015324978121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2.985996859472928</v>
      </c>
      <c r="D52" s="732">
        <f t="shared" ref="D52:Q52" ca="1" si="6">SUM(D48:D51)</f>
        <v>0</v>
      </c>
      <c r="E52" s="732">
        <f t="shared" si="6"/>
        <v>6.9937131196132398</v>
      </c>
      <c r="F52" s="732">
        <f t="shared" si="6"/>
        <v>30.105434600234901</v>
      </c>
      <c r="G52" s="732">
        <f t="shared" si="6"/>
        <v>0</v>
      </c>
      <c r="H52" s="732">
        <f t="shared" si="6"/>
        <v>10648.646382609162</v>
      </c>
      <c r="I52" s="732">
        <f t="shared" si="6"/>
        <v>2309.5638905085989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12998.295417697082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78.248444821224552</v>
      </c>
      <c r="D54" s="703">
        <f ca="1">+landbouw!C12</f>
        <v>2340.4840336134462</v>
      </c>
      <c r="E54" s="703">
        <f>+landbouw!D12</f>
        <v>0</v>
      </c>
      <c r="F54" s="703">
        <f>+landbouw!E12</f>
        <v>2.2606721081792807</v>
      </c>
      <c r="G54" s="703">
        <f>+landbouw!F12</f>
        <v>376.91750613531229</v>
      </c>
      <c r="H54" s="703">
        <f>+landbouw!G12</f>
        <v>0</v>
      </c>
      <c r="I54" s="703">
        <f>+landbouw!H12</f>
        <v>0</v>
      </c>
      <c r="J54" s="703">
        <f>+landbouw!I12</f>
        <v>0</v>
      </c>
      <c r="K54" s="703">
        <f>+landbouw!J12</f>
        <v>19.682480604654856</v>
      </c>
      <c r="L54" s="703">
        <f>+landbouw!K12</f>
        <v>0</v>
      </c>
      <c r="M54" s="703">
        <f>+landbouw!L12</f>
        <v>0</v>
      </c>
      <c r="N54" s="703">
        <f>+landbouw!M12</f>
        <v>0</v>
      </c>
      <c r="O54" s="703">
        <f>+landbouw!N12</f>
        <v>0</v>
      </c>
      <c r="P54" s="703">
        <f>+landbouw!O12</f>
        <v>0</v>
      </c>
      <c r="Q54" s="704">
        <f>+landbouw!P12</f>
        <v>0</v>
      </c>
      <c r="R54" s="731">
        <f ca="1">SUM(C54:Q54)</f>
        <v>2817.5931372828168</v>
      </c>
    </row>
    <row r="55" spans="1:18" ht="15" thickBot="1">
      <c r="A55" s="825" t="s">
        <v>848</v>
      </c>
      <c r="B55" s="835"/>
      <c r="C55" s="703">
        <f ca="1">C25*'EF ele_warmte'!B12</f>
        <v>72.361820573247385</v>
      </c>
      <c r="D55" s="703"/>
      <c r="E55" s="703">
        <f>E25*EF_CO2_aardgas</f>
        <v>170.57583437932001</v>
      </c>
      <c r="F55" s="703"/>
      <c r="G55" s="703"/>
      <c r="H55" s="703"/>
      <c r="I55" s="703"/>
      <c r="J55" s="703"/>
      <c r="K55" s="703"/>
      <c r="L55" s="703"/>
      <c r="M55" s="703"/>
      <c r="N55" s="703"/>
      <c r="O55" s="703"/>
      <c r="P55" s="703"/>
      <c r="Q55" s="704"/>
      <c r="R55" s="731">
        <f ca="1">SUM(C55:Q55)</f>
        <v>242.93765495256741</v>
      </c>
    </row>
    <row r="56" spans="1:18" ht="15.75" thickBot="1">
      <c r="A56" s="823" t="s">
        <v>849</v>
      </c>
      <c r="B56" s="836"/>
      <c r="C56" s="732">
        <f ca="1">SUM(C54:C55)</f>
        <v>150.61026539447192</v>
      </c>
      <c r="D56" s="732">
        <f t="shared" ref="D56:Q56" ca="1" si="7">SUM(D54:D55)</f>
        <v>2340.4840336134462</v>
      </c>
      <c r="E56" s="732">
        <f t="shared" si="7"/>
        <v>170.57583437932001</v>
      </c>
      <c r="F56" s="732">
        <f t="shared" si="7"/>
        <v>2.2606721081792807</v>
      </c>
      <c r="G56" s="732">
        <f t="shared" si="7"/>
        <v>376.91750613531229</v>
      </c>
      <c r="H56" s="732">
        <f t="shared" si="7"/>
        <v>0</v>
      </c>
      <c r="I56" s="732">
        <f t="shared" si="7"/>
        <v>0</v>
      </c>
      <c r="J56" s="732">
        <f t="shared" si="7"/>
        <v>0</v>
      </c>
      <c r="K56" s="732">
        <f t="shared" si="7"/>
        <v>19.682480604654856</v>
      </c>
      <c r="L56" s="732">
        <f t="shared" si="7"/>
        <v>0</v>
      </c>
      <c r="M56" s="732">
        <f t="shared" si="7"/>
        <v>0</v>
      </c>
      <c r="N56" s="732">
        <f t="shared" si="7"/>
        <v>0</v>
      </c>
      <c r="O56" s="732">
        <f t="shared" si="7"/>
        <v>0</v>
      </c>
      <c r="P56" s="732">
        <f t="shared" si="7"/>
        <v>0</v>
      </c>
      <c r="Q56" s="733">
        <f t="shared" si="7"/>
        <v>0</v>
      </c>
      <c r="R56" s="734">
        <f ca="1">SUM(R54:R55)</f>
        <v>3060.5307922353841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4525.3304725673433</v>
      </c>
      <c r="D61" s="740">
        <f t="shared" ref="D61:Q61" ca="1" si="8">D46+D52+D56</f>
        <v>2340.4840336134462</v>
      </c>
      <c r="E61" s="740">
        <f t="shared" ca="1" si="8"/>
        <v>9105.4868628451113</v>
      </c>
      <c r="F61" s="740">
        <f t="shared" si="8"/>
        <v>278.5390410160901</v>
      </c>
      <c r="G61" s="740">
        <f t="shared" ca="1" si="8"/>
        <v>1535.3331848252292</v>
      </c>
      <c r="H61" s="740">
        <f t="shared" si="8"/>
        <v>10648.646382609162</v>
      </c>
      <c r="I61" s="740">
        <f t="shared" si="8"/>
        <v>2309.5638905085989</v>
      </c>
      <c r="J61" s="740">
        <f t="shared" si="8"/>
        <v>0</v>
      </c>
      <c r="K61" s="740">
        <f t="shared" si="8"/>
        <v>23.785083639672184</v>
      </c>
      <c r="L61" s="740">
        <f t="shared" si="8"/>
        <v>0</v>
      </c>
      <c r="M61" s="740">
        <f t="shared" ca="1" si="8"/>
        <v>0</v>
      </c>
      <c r="N61" s="740">
        <f t="shared" si="8"/>
        <v>0</v>
      </c>
      <c r="O61" s="740">
        <f t="shared" ca="1" si="8"/>
        <v>0</v>
      </c>
      <c r="P61" s="740">
        <f t="shared" si="8"/>
        <v>0</v>
      </c>
      <c r="Q61" s="740">
        <f t="shared" si="8"/>
        <v>0</v>
      </c>
      <c r="R61" s="740">
        <f ca="1">R46+R52+R56</f>
        <v>30767.168951624648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0.20260524142072028</v>
      </c>
      <c r="D63" s="781">
        <f t="shared" ca="1" si="9"/>
        <v>0.23764705882352946</v>
      </c>
      <c r="E63" s="1023">
        <f t="shared" ca="1" si="9"/>
        <v>0.20199999999999999</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2378.3922422980663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6894</v>
      </c>
      <c r="D76" s="1033">
        <f>'lokale energieproductie'!C8</f>
        <v>8110.5882352941189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1638.3388235294121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2378.3922422980663</v>
      </c>
      <c r="C78" s="755">
        <f>SUM(C72:C77)</f>
        <v>6894</v>
      </c>
      <c r="D78" s="756">
        <f t="shared" ref="D78:H78" si="10">SUM(D76:D77)</f>
        <v>8110.5882352941189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1638.3388235294121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9848.5714285714294</v>
      </c>
      <c r="D87" s="777">
        <f>'lokale energieproductie'!C17</f>
        <v>11586.554621848743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2340.4840336134462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9848.5714285714294</v>
      </c>
      <c r="D90" s="755">
        <f t="shared" ref="D90:H90" si="12">SUM(D87:D89)</f>
        <v>11586.554621848743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2340.4840336134462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13438.014192218076</v>
      </c>
      <c r="C4" s="477">
        <f>huishoudens!C8</f>
        <v>0</v>
      </c>
      <c r="D4" s="477">
        <f>huishoudens!D8</f>
        <v>35481.841823626004</v>
      </c>
      <c r="E4" s="477">
        <f>huishoudens!E8</f>
        <v>792.950705995627</v>
      </c>
      <c r="F4" s="477">
        <f>huishoudens!F8</f>
        <v>2193.2280878555071</v>
      </c>
      <c r="G4" s="477">
        <f>huishoudens!G8</f>
        <v>0</v>
      </c>
      <c r="H4" s="477">
        <f>huishoudens!H8</f>
        <v>0</v>
      </c>
      <c r="I4" s="477">
        <f>huishoudens!I8</f>
        <v>0</v>
      </c>
      <c r="J4" s="477">
        <f>huishoudens!J8</f>
        <v>0</v>
      </c>
      <c r="K4" s="477">
        <f>huishoudens!K8</f>
        <v>0</v>
      </c>
      <c r="L4" s="477">
        <f>huishoudens!L8</f>
        <v>0</v>
      </c>
      <c r="M4" s="477">
        <f>huishoudens!M8</f>
        <v>0</v>
      </c>
      <c r="N4" s="477">
        <f>huishoudens!N8</f>
        <v>7968.7297064247141</v>
      </c>
      <c r="O4" s="477">
        <f>huishoudens!O8</f>
        <v>120.37666666666668</v>
      </c>
      <c r="P4" s="478">
        <f>huishoudens!P8</f>
        <v>343.2</v>
      </c>
      <c r="Q4" s="479">
        <f>SUM(B4:P4)</f>
        <v>60338.341182786593</v>
      </c>
    </row>
    <row r="5" spans="1:17">
      <c r="A5" s="476" t="s">
        <v>156</v>
      </c>
      <c r="B5" s="477">
        <f ca="1">tertiair!B16</f>
        <v>5415.9906782460002</v>
      </c>
      <c r="C5" s="477">
        <f ca="1">tertiair!C16</f>
        <v>0</v>
      </c>
      <c r="D5" s="477">
        <f ca="1">tertiair!D16</f>
        <v>7450.4611010416393</v>
      </c>
      <c r="E5" s="477">
        <f>tertiair!E16</f>
        <v>101.48276136634516</v>
      </c>
      <c r="F5" s="477">
        <f ca="1">tertiair!F16</f>
        <v>1392.137548454805</v>
      </c>
      <c r="G5" s="477">
        <f>tertiair!G16</f>
        <v>0</v>
      </c>
      <c r="H5" s="477">
        <f>tertiair!H16</f>
        <v>0</v>
      </c>
      <c r="I5" s="477">
        <f>tertiair!I16</f>
        <v>0</v>
      </c>
      <c r="J5" s="477">
        <f>tertiair!J16</f>
        <v>0</v>
      </c>
      <c r="K5" s="477">
        <f>tertiair!K16</f>
        <v>0</v>
      </c>
      <c r="L5" s="477">
        <f ca="1">tertiair!L16</f>
        <v>0</v>
      </c>
      <c r="M5" s="477">
        <f>tertiair!M16</f>
        <v>0</v>
      </c>
      <c r="N5" s="477">
        <f ca="1">tertiair!N16</f>
        <v>643.89717479420665</v>
      </c>
      <c r="O5" s="477">
        <f>tertiair!O16</f>
        <v>0</v>
      </c>
      <c r="P5" s="478">
        <f>tertiair!P16</f>
        <v>0</v>
      </c>
      <c r="Q5" s="476">
        <f t="shared" ref="Q5:Q14" ca="1" si="0">SUM(B5:P5)</f>
        <v>15003.969263902996</v>
      </c>
    </row>
    <row r="6" spans="1:17">
      <c r="A6" s="476" t="s">
        <v>194</v>
      </c>
      <c r="B6" s="477">
        <f>'openbare verlichting'!B8</f>
        <v>553.38900000000001</v>
      </c>
      <c r="C6" s="477"/>
      <c r="D6" s="477"/>
      <c r="E6" s="477"/>
      <c r="F6" s="477"/>
      <c r="G6" s="477"/>
      <c r="H6" s="477"/>
      <c r="I6" s="477"/>
      <c r="J6" s="477"/>
      <c r="K6" s="477"/>
      <c r="L6" s="477"/>
      <c r="M6" s="477"/>
      <c r="N6" s="477"/>
      <c r="O6" s="477"/>
      <c r="P6" s="478"/>
      <c r="Q6" s="476">
        <f t="shared" si="0"/>
        <v>553.38900000000001</v>
      </c>
    </row>
    <row r="7" spans="1:17">
      <c r="A7" s="476" t="s">
        <v>112</v>
      </c>
      <c r="B7" s="477">
        <f>landbouw!B8</f>
        <v>386.21135500999998</v>
      </c>
      <c r="C7" s="477">
        <f>landbouw!C8</f>
        <v>9848.5714285714294</v>
      </c>
      <c r="D7" s="477">
        <f>landbouw!D8</f>
        <v>0</v>
      </c>
      <c r="E7" s="477">
        <f>landbouw!E8</f>
        <v>9.9589079655474908</v>
      </c>
      <c r="F7" s="477">
        <f>landbouw!F8</f>
        <v>1411.6760529412445</v>
      </c>
      <c r="G7" s="477">
        <f>landbouw!G8</f>
        <v>0</v>
      </c>
      <c r="H7" s="477">
        <f>landbouw!H8</f>
        <v>0</v>
      </c>
      <c r="I7" s="477">
        <f>landbouw!I8</f>
        <v>0</v>
      </c>
      <c r="J7" s="477">
        <f>landbouw!J8</f>
        <v>55.600227696765131</v>
      </c>
      <c r="K7" s="477">
        <f>landbouw!K8</f>
        <v>0</v>
      </c>
      <c r="L7" s="477">
        <f>landbouw!L8</f>
        <v>0</v>
      </c>
      <c r="M7" s="477">
        <f>landbouw!M8</f>
        <v>0</v>
      </c>
      <c r="N7" s="477">
        <f>landbouw!N8</f>
        <v>0</v>
      </c>
      <c r="O7" s="477">
        <f>landbouw!O8</f>
        <v>0</v>
      </c>
      <c r="P7" s="478">
        <f>landbouw!P8</f>
        <v>0</v>
      </c>
      <c r="Q7" s="476">
        <f t="shared" si="0"/>
        <v>11712.017972184985</v>
      </c>
    </row>
    <row r="8" spans="1:17">
      <c r="A8" s="476" t="s">
        <v>638</v>
      </c>
      <c r="B8" s="477">
        <f>industrie!B18</f>
        <v>2170.2029362999997</v>
      </c>
      <c r="C8" s="477">
        <f>industrie!C18</f>
        <v>0</v>
      </c>
      <c r="D8" s="477">
        <f>industrie!D18</f>
        <v>1265.3075473431361</v>
      </c>
      <c r="E8" s="477">
        <f>industrie!E18</f>
        <v>190.02879831060892</v>
      </c>
      <c r="F8" s="477">
        <f>industrie!F18</f>
        <v>753.2698644009871</v>
      </c>
      <c r="G8" s="477">
        <f>industrie!G18</f>
        <v>0</v>
      </c>
      <c r="H8" s="477">
        <f>industrie!H18</f>
        <v>0</v>
      </c>
      <c r="I8" s="477">
        <f>industrie!I18</f>
        <v>0</v>
      </c>
      <c r="J8" s="477">
        <f>industrie!J18</f>
        <v>11.589274110218442</v>
      </c>
      <c r="K8" s="477">
        <f>industrie!K18</f>
        <v>0</v>
      </c>
      <c r="L8" s="477">
        <f>industrie!L18</f>
        <v>0</v>
      </c>
      <c r="M8" s="477">
        <f>industrie!M18</f>
        <v>0</v>
      </c>
      <c r="N8" s="477">
        <f>industrie!N18</f>
        <v>512.69433788072251</v>
      </c>
      <c r="O8" s="477">
        <f>industrie!O18</f>
        <v>0</v>
      </c>
      <c r="P8" s="478">
        <f>industrie!P18</f>
        <v>0</v>
      </c>
      <c r="Q8" s="476">
        <f t="shared" si="0"/>
        <v>4903.0927583456732</v>
      </c>
    </row>
    <row r="9" spans="1:17" s="482" customFormat="1">
      <c r="A9" s="480" t="s">
        <v>564</v>
      </c>
      <c r="B9" s="481">
        <f>transport!B14</f>
        <v>14.738004004903067</v>
      </c>
      <c r="C9" s="481">
        <f>transport!C14</f>
        <v>0</v>
      </c>
      <c r="D9" s="481">
        <f>transport!D14</f>
        <v>34.622342176303164</v>
      </c>
      <c r="E9" s="481">
        <f>transport!E14</f>
        <v>132.62305991292908</v>
      </c>
      <c r="F9" s="481">
        <f>transport!F14</f>
        <v>0</v>
      </c>
      <c r="G9" s="481">
        <f>transport!G14</f>
        <v>39525.716441536337</v>
      </c>
      <c r="H9" s="481">
        <f>transport!H14</f>
        <v>9275.3569899943723</v>
      </c>
      <c r="I9" s="481">
        <f>transport!I14</f>
        <v>0</v>
      </c>
      <c r="J9" s="481">
        <f>transport!J14</f>
        <v>0</v>
      </c>
      <c r="K9" s="481">
        <f>transport!K14</f>
        <v>0</v>
      </c>
      <c r="L9" s="481">
        <f>transport!L14</f>
        <v>0</v>
      </c>
      <c r="M9" s="481">
        <f>transport!M14</f>
        <v>1523.2097552786411</v>
      </c>
      <c r="N9" s="481">
        <f>transport!N14</f>
        <v>0</v>
      </c>
      <c r="O9" s="481">
        <f>transport!O14</f>
        <v>0</v>
      </c>
      <c r="P9" s="481">
        <f>transport!P14</f>
        <v>0</v>
      </c>
      <c r="Q9" s="480">
        <f>SUM(B9:P9)</f>
        <v>50506.266592903485</v>
      </c>
    </row>
    <row r="10" spans="1:17">
      <c r="A10" s="476" t="s">
        <v>554</v>
      </c>
      <c r="B10" s="477">
        <f>transport!B54</f>
        <v>0</v>
      </c>
      <c r="C10" s="477">
        <f>transport!C54</f>
        <v>0</v>
      </c>
      <c r="D10" s="477">
        <f>transport!D54</f>
        <v>0</v>
      </c>
      <c r="E10" s="477">
        <f>transport!E54</f>
        <v>0</v>
      </c>
      <c r="F10" s="477">
        <f>transport!F54</f>
        <v>0</v>
      </c>
      <c r="G10" s="477">
        <f>transport!G54</f>
        <v>356.85427984629564</v>
      </c>
      <c r="H10" s="477">
        <f>transport!H54</f>
        <v>0</v>
      </c>
      <c r="I10" s="477">
        <f>transport!I54</f>
        <v>0</v>
      </c>
      <c r="J10" s="477">
        <f>transport!J54</f>
        <v>0</v>
      </c>
      <c r="K10" s="477">
        <f>transport!K54</f>
        <v>0</v>
      </c>
      <c r="L10" s="477">
        <f>transport!L54</f>
        <v>0</v>
      </c>
      <c r="M10" s="477">
        <f>transport!M54</f>
        <v>11.068821412829147</v>
      </c>
      <c r="N10" s="477">
        <f>transport!N54</f>
        <v>0</v>
      </c>
      <c r="O10" s="477">
        <f>transport!O54</f>
        <v>0</v>
      </c>
      <c r="P10" s="478">
        <f>transport!P54</f>
        <v>0</v>
      </c>
      <c r="Q10" s="476">
        <f t="shared" si="0"/>
        <v>367.92310125912479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357.15670564999999</v>
      </c>
      <c r="C14" s="484"/>
      <c r="D14" s="484">
        <f>'SEAP template'!E25</f>
        <v>844.43482366000001</v>
      </c>
      <c r="E14" s="484"/>
      <c r="F14" s="484"/>
      <c r="G14" s="484"/>
      <c r="H14" s="484"/>
      <c r="I14" s="484"/>
      <c r="J14" s="484"/>
      <c r="K14" s="484"/>
      <c r="L14" s="484"/>
      <c r="M14" s="484"/>
      <c r="N14" s="484"/>
      <c r="O14" s="484"/>
      <c r="P14" s="485"/>
      <c r="Q14" s="476">
        <f t="shared" si="0"/>
        <v>1201.5915293099999</v>
      </c>
    </row>
    <row r="15" spans="1:17" s="486" customFormat="1">
      <c r="A15" s="1038" t="s">
        <v>558</v>
      </c>
      <c r="B15" s="978">
        <f ca="1">SUM(B4:B14)</f>
        <v>22335.702871428977</v>
      </c>
      <c r="C15" s="978">
        <f t="shared" ref="C15:Q15" ca="1" si="1">SUM(C4:C14)</f>
        <v>9848.5714285714294</v>
      </c>
      <c r="D15" s="978">
        <f t="shared" ca="1" si="1"/>
        <v>45076.667637847087</v>
      </c>
      <c r="E15" s="978">
        <f t="shared" si="1"/>
        <v>1227.0442335510575</v>
      </c>
      <c r="F15" s="978">
        <f t="shared" ca="1" si="1"/>
        <v>5750.3115536525438</v>
      </c>
      <c r="G15" s="978">
        <f t="shared" si="1"/>
        <v>39882.570721382632</v>
      </c>
      <c r="H15" s="978">
        <f t="shared" si="1"/>
        <v>9275.3569899943723</v>
      </c>
      <c r="I15" s="978">
        <f t="shared" si="1"/>
        <v>0</v>
      </c>
      <c r="J15" s="978">
        <f t="shared" si="1"/>
        <v>67.189501806983571</v>
      </c>
      <c r="K15" s="978">
        <f t="shared" si="1"/>
        <v>0</v>
      </c>
      <c r="L15" s="978">
        <f t="shared" ca="1" si="1"/>
        <v>0</v>
      </c>
      <c r="M15" s="978">
        <f t="shared" si="1"/>
        <v>1534.2785766914701</v>
      </c>
      <c r="N15" s="978">
        <f t="shared" ca="1" si="1"/>
        <v>9125.3212190996437</v>
      </c>
      <c r="O15" s="978">
        <f t="shared" si="1"/>
        <v>120.37666666666668</v>
      </c>
      <c r="P15" s="978">
        <f t="shared" si="1"/>
        <v>343.2</v>
      </c>
      <c r="Q15" s="978">
        <f t="shared" ca="1" si="1"/>
        <v>144586.59140069288</v>
      </c>
    </row>
    <row r="17" spans="1:17">
      <c r="A17" s="487" t="s">
        <v>559</v>
      </c>
      <c r="B17" s="786">
        <f ca="1">huishoudens!B10</f>
        <v>0.20260524142072028</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2722.6121096294087</v>
      </c>
      <c r="C22" s="477">
        <f t="shared" ref="C22:C32" ca="1" si="3">C4*$C$17</f>
        <v>0</v>
      </c>
      <c r="D22" s="477">
        <f t="shared" ref="D22:D32" si="4">D4*$D$17</f>
        <v>7167.3320483724528</v>
      </c>
      <c r="E22" s="477">
        <f t="shared" ref="E22:E32" si="5">E4*$E$17</f>
        <v>179.99981026100733</v>
      </c>
      <c r="F22" s="477">
        <f t="shared" ref="F22:F32" si="6">F4*$F$17</f>
        <v>585.59189945742037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10655.535867720289</v>
      </c>
    </row>
    <row r="23" spans="1:17">
      <c r="A23" s="476" t="s">
        <v>156</v>
      </c>
      <c r="B23" s="477">
        <f t="shared" ca="1" si="2"/>
        <v>1097.3080988984016</v>
      </c>
      <c r="C23" s="477">
        <f t="shared" ca="1" si="3"/>
        <v>0</v>
      </c>
      <c r="D23" s="477">
        <f t="shared" ca="1" si="4"/>
        <v>1504.9931424104113</v>
      </c>
      <c r="E23" s="477">
        <f t="shared" si="5"/>
        <v>23.036586830160353</v>
      </c>
      <c r="F23" s="477">
        <f t="shared" ca="1" si="6"/>
        <v>371.70072543743294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2997.0385535764062</v>
      </c>
    </row>
    <row r="24" spans="1:17">
      <c r="A24" s="476" t="s">
        <v>194</v>
      </c>
      <c r="B24" s="477">
        <f t="shared" ca="1" si="2"/>
        <v>112.11951194457097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112.11951194457097</v>
      </c>
    </row>
    <row r="25" spans="1:17">
      <c r="A25" s="476" t="s">
        <v>112</v>
      </c>
      <c r="B25" s="477">
        <f t="shared" ca="1" si="2"/>
        <v>78.248444821224552</v>
      </c>
      <c r="C25" s="477">
        <f t="shared" ca="1" si="3"/>
        <v>2340.4840336134462</v>
      </c>
      <c r="D25" s="477">
        <f t="shared" si="4"/>
        <v>0</v>
      </c>
      <c r="E25" s="477">
        <f t="shared" si="5"/>
        <v>2.2606721081792807</v>
      </c>
      <c r="F25" s="477">
        <f t="shared" si="6"/>
        <v>376.91750613531229</v>
      </c>
      <c r="G25" s="477">
        <f t="shared" si="7"/>
        <v>0</v>
      </c>
      <c r="H25" s="477">
        <f t="shared" si="8"/>
        <v>0</v>
      </c>
      <c r="I25" s="477">
        <f t="shared" si="9"/>
        <v>0</v>
      </c>
      <c r="J25" s="477">
        <f t="shared" si="10"/>
        <v>19.682480604654856</v>
      </c>
      <c r="K25" s="477">
        <f t="shared" si="11"/>
        <v>0</v>
      </c>
      <c r="L25" s="477">
        <f t="shared" si="12"/>
        <v>0</v>
      </c>
      <c r="M25" s="477">
        <f t="shared" si="13"/>
        <v>0</v>
      </c>
      <c r="N25" s="477">
        <f t="shared" si="14"/>
        <v>0</v>
      </c>
      <c r="O25" s="477">
        <f t="shared" si="15"/>
        <v>0</v>
      </c>
      <c r="P25" s="478">
        <f t="shared" si="16"/>
        <v>0</v>
      </c>
      <c r="Q25" s="476">
        <f t="shared" ca="1" si="17"/>
        <v>2817.5931372828168</v>
      </c>
    </row>
    <row r="26" spans="1:17">
      <c r="A26" s="476" t="s">
        <v>638</v>
      </c>
      <c r="B26" s="477">
        <f t="shared" ca="1" si="2"/>
        <v>439.69448984101746</v>
      </c>
      <c r="C26" s="477">
        <f t="shared" ca="1" si="3"/>
        <v>0</v>
      </c>
      <c r="D26" s="477">
        <f t="shared" si="4"/>
        <v>255.59212456331352</v>
      </c>
      <c r="E26" s="477">
        <f t="shared" si="5"/>
        <v>43.136537216508223</v>
      </c>
      <c r="F26" s="477">
        <f t="shared" si="6"/>
        <v>201.12305379506356</v>
      </c>
      <c r="G26" s="477">
        <f t="shared" si="7"/>
        <v>0</v>
      </c>
      <c r="H26" s="477">
        <f t="shared" si="8"/>
        <v>0</v>
      </c>
      <c r="I26" s="477">
        <f t="shared" si="9"/>
        <v>0</v>
      </c>
      <c r="J26" s="477">
        <f t="shared" si="10"/>
        <v>4.1026030350173279</v>
      </c>
      <c r="K26" s="477">
        <f t="shared" si="11"/>
        <v>0</v>
      </c>
      <c r="L26" s="477">
        <f t="shared" si="12"/>
        <v>0</v>
      </c>
      <c r="M26" s="477">
        <f t="shared" si="13"/>
        <v>0</v>
      </c>
      <c r="N26" s="477">
        <f t="shared" si="14"/>
        <v>0</v>
      </c>
      <c r="O26" s="477">
        <f t="shared" si="15"/>
        <v>0</v>
      </c>
      <c r="P26" s="478">
        <f t="shared" si="16"/>
        <v>0</v>
      </c>
      <c r="Q26" s="476">
        <f t="shared" ca="1" si="17"/>
        <v>943.64880845092011</v>
      </c>
    </row>
    <row r="27" spans="1:17" s="482" customFormat="1">
      <c r="A27" s="480" t="s">
        <v>564</v>
      </c>
      <c r="B27" s="780">
        <f t="shared" ca="1" si="2"/>
        <v>2.985996859472928</v>
      </c>
      <c r="C27" s="481">
        <f t="shared" ca="1" si="3"/>
        <v>0</v>
      </c>
      <c r="D27" s="481">
        <f t="shared" si="4"/>
        <v>6.9937131196132398</v>
      </c>
      <c r="E27" s="481">
        <f t="shared" si="5"/>
        <v>30.105434600234901</v>
      </c>
      <c r="F27" s="481">
        <f t="shared" si="6"/>
        <v>0</v>
      </c>
      <c r="G27" s="481">
        <f t="shared" si="7"/>
        <v>10553.366289890202</v>
      </c>
      <c r="H27" s="481">
        <f t="shared" si="8"/>
        <v>2309.5638905085989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12903.015324978121</v>
      </c>
    </row>
    <row r="28" spans="1:17">
      <c r="A28" s="476" t="s">
        <v>554</v>
      </c>
      <c r="B28" s="477">
        <f t="shared" ca="1" si="2"/>
        <v>0</v>
      </c>
      <c r="C28" s="477">
        <f t="shared" ca="1" si="3"/>
        <v>0</v>
      </c>
      <c r="D28" s="477">
        <f t="shared" si="4"/>
        <v>0</v>
      </c>
      <c r="E28" s="477">
        <f t="shared" si="5"/>
        <v>0</v>
      </c>
      <c r="F28" s="477">
        <f t="shared" si="6"/>
        <v>0</v>
      </c>
      <c r="G28" s="477">
        <f t="shared" si="7"/>
        <v>95.280092718960944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95.280092718960944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72.361820573247385</v>
      </c>
      <c r="C32" s="477">
        <f t="shared" ca="1" si="3"/>
        <v>0</v>
      </c>
      <c r="D32" s="477">
        <f t="shared" si="4"/>
        <v>170.57583437932001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242.93765495256741</v>
      </c>
    </row>
    <row r="33" spans="1:17" s="486" customFormat="1">
      <c r="A33" s="1038" t="s">
        <v>558</v>
      </c>
      <c r="B33" s="978">
        <f ca="1">SUM(B22:B32)</f>
        <v>4525.3304725673433</v>
      </c>
      <c r="C33" s="978">
        <f t="shared" ref="C33:Q33" ca="1" si="18">SUM(C22:C32)</f>
        <v>2340.4840336134462</v>
      </c>
      <c r="D33" s="978">
        <f t="shared" ca="1" si="18"/>
        <v>9105.4868628451113</v>
      </c>
      <c r="E33" s="978">
        <f t="shared" si="18"/>
        <v>278.5390410160901</v>
      </c>
      <c r="F33" s="978">
        <f t="shared" ca="1" si="18"/>
        <v>1535.3331848252292</v>
      </c>
      <c r="G33" s="978">
        <f t="shared" si="18"/>
        <v>10648.646382609162</v>
      </c>
      <c r="H33" s="978">
        <f t="shared" si="18"/>
        <v>2309.5638905085989</v>
      </c>
      <c r="I33" s="978">
        <f t="shared" si="18"/>
        <v>0</v>
      </c>
      <c r="J33" s="978">
        <f t="shared" si="18"/>
        <v>23.785083639672184</v>
      </c>
      <c r="K33" s="978">
        <f t="shared" si="18"/>
        <v>0</v>
      </c>
      <c r="L33" s="978">
        <f t="shared" ca="1" si="18"/>
        <v>0</v>
      </c>
      <c r="M33" s="978">
        <f t="shared" si="18"/>
        <v>0</v>
      </c>
      <c r="N33" s="978">
        <f t="shared" ca="1" si="18"/>
        <v>0</v>
      </c>
      <c r="O33" s="978">
        <f t="shared" si="18"/>
        <v>0</v>
      </c>
      <c r="P33" s="978">
        <f t="shared" si="18"/>
        <v>0</v>
      </c>
      <c r="Q33" s="978">
        <f t="shared" ca="1" si="18"/>
        <v>30767.168951624652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2378.3922422980663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6894</v>
      </c>
      <c r="D8" s="1055">
        <f>'SEAP template'!D76</f>
        <v>8110.5882352941189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1638.3388235294121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2378.3922422980663</v>
      </c>
      <c r="C10" s="1059">
        <f>SUM(C4:C9)</f>
        <v>6894</v>
      </c>
      <c r="D10" s="1059">
        <f t="shared" ref="D10:H10" si="0">SUM(D8:D9)</f>
        <v>8110.5882352941189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1638.3388235294121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0.20260524142072028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9848.5714285714294</v>
      </c>
      <c r="D17" s="1056">
        <f>'SEAP template'!D87</f>
        <v>11586.554621848743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2340.4840336134462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9848.5714285714294</v>
      </c>
      <c r="D20" s="1059">
        <f t="shared" ref="D20:H20" si="2">SUM(D17:D19)</f>
        <v>11586.554621848743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2340.4840336134462</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0.20260524142072028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0.20260524142072028</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0.20260524142072028</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3250</v>
      </c>
      <c r="C9" s="342">
        <v>3436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796.58</v>
      </c>
    </row>
    <row r="15" spans="1:6">
      <c r="A15" s="348" t="s">
        <v>184</v>
      </c>
      <c r="B15" s="334">
        <v>6</v>
      </c>
    </row>
    <row r="16" spans="1:6">
      <c r="A16" s="348" t="s">
        <v>6</v>
      </c>
      <c r="B16" s="334">
        <v>288</v>
      </c>
    </row>
    <row r="17" spans="1:6">
      <c r="A17" s="348" t="s">
        <v>7</v>
      </c>
      <c r="B17" s="334">
        <v>52</v>
      </c>
    </row>
    <row r="18" spans="1:6">
      <c r="A18" s="348" t="s">
        <v>8</v>
      </c>
      <c r="B18" s="334">
        <v>233</v>
      </c>
    </row>
    <row r="19" spans="1:6">
      <c r="A19" s="348" t="s">
        <v>9</v>
      </c>
      <c r="B19" s="334">
        <v>165</v>
      </c>
    </row>
    <row r="20" spans="1:6">
      <c r="A20" s="348" t="s">
        <v>10</v>
      </c>
      <c r="B20" s="334">
        <v>106</v>
      </c>
    </row>
    <row r="21" spans="1:6">
      <c r="A21" s="348" t="s">
        <v>11</v>
      </c>
      <c r="B21" s="334">
        <v>670</v>
      </c>
    </row>
    <row r="22" spans="1:6">
      <c r="A22" s="348" t="s">
        <v>12</v>
      </c>
      <c r="B22" s="334">
        <v>1908</v>
      </c>
    </row>
    <row r="23" spans="1:6">
      <c r="A23" s="348" t="s">
        <v>13</v>
      </c>
      <c r="B23" s="334">
        <v>28</v>
      </c>
    </row>
    <row r="24" spans="1:6">
      <c r="A24" s="348" t="s">
        <v>14</v>
      </c>
      <c r="B24" s="334">
        <v>1</v>
      </c>
    </row>
    <row r="25" spans="1:6">
      <c r="A25" s="348" t="s">
        <v>15</v>
      </c>
      <c r="B25" s="334">
        <v>175</v>
      </c>
    </row>
    <row r="26" spans="1:6">
      <c r="A26" s="348" t="s">
        <v>16</v>
      </c>
      <c r="B26" s="334">
        <v>553</v>
      </c>
    </row>
    <row r="27" spans="1:6">
      <c r="A27" s="348" t="s">
        <v>17</v>
      </c>
      <c r="B27" s="334">
        <v>0</v>
      </c>
    </row>
    <row r="28" spans="1:6" s="356" customFormat="1">
      <c r="A28" s="355" t="s">
        <v>18</v>
      </c>
      <c r="B28" s="355">
        <v>0</v>
      </c>
    </row>
    <row r="29" spans="1:6">
      <c r="A29" s="355" t="s">
        <v>884</v>
      </c>
      <c r="B29" s="355">
        <v>86</v>
      </c>
      <c r="C29" s="356"/>
      <c r="D29" s="356"/>
      <c r="E29" s="356"/>
      <c r="F29" s="356"/>
    </row>
    <row r="30" spans="1:6">
      <c r="A30" s="355" t="s">
        <v>885</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2465</v>
      </c>
      <c r="D39" s="334">
        <v>39336853.463</v>
      </c>
      <c r="E39" s="334">
        <v>3208</v>
      </c>
      <c r="F39" s="334">
        <v>11291710.885</v>
      </c>
    </row>
    <row r="40" spans="1:6">
      <c r="A40" s="348" t="s">
        <v>30</v>
      </c>
      <c r="B40" s="348" t="s">
        <v>29</v>
      </c>
      <c r="C40" s="334">
        <v>0</v>
      </c>
      <c r="D40" s="334">
        <v>0</v>
      </c>
      <c r="E40" s="334">
        <v>0</v>
      </c>
      <c r="F40" s="334">
        <v>0</v>
      </c>
    </row>
    <row r="41" spans="1:6">
      <c r="A41" s="348" t="s">
        <v>32</v>
      </c>
      <c r="B41" s="348" t="s">
        <v>33</v>
      </c>
      <c r="C41" s="334">
        <v>36</v>
      </c>
      <c r="D41" s="334">
        <v>281946.12432</v>
      </c>
      <c r="E41" s="334">
        <v>71</v>
      </c>
      <c r="F41" s="334">
        <v>403522.1654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99963.179478000005</v>
      </c>
      <c r="E44" s="334">
        <v>10</v>
      </c>
      <c r="F44" s="334">
        <v>85577.027570000006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776378.12792</v>
      </c>
      <c r="E48" s="334">
        <v>16</v>
      </c>
      <c r="F48" s="334">
        <v>1429518.8019999999</v>
      </c>
    </row>
    <row r="49" spans="1:6">
      <c r="A49" s="348" t="s">
        <v>32</v>
      </c>
      <c r="B49" s="348" t="s">
        <v>40</v>
      </c>
      <c r="C49" s="334">
        <v>0</v>
      </c>
      <c r="D49" s="334">
        <v>0</v>
      </c>
      <c r="E49" s="334">
        <v>0</v>
      </c>
      <c r="F49" s="334">
        <v>0</v>
      </c>
    </row>
    <row r="50" spans="1:6">
      <c r="A50" s="348" t="s">
        <v>32</v>
      </c>
      <c r="B50" s="348" t="s">
        <v>41</v>
      </c>
      <c r="C50" s="334">
        <v>4</v>
      </c>
      <c r="D50" s="334">
        <v>244492.55424999999</v>
      </c>
      <c r="E50" s="334">
        <v>5</v>
      </c>
      <c r="F50" s="334">
        <v>251584.94133</v>
      </c>
    </row>
    <row r="51" spans="1:6">
      <c r="A51" s="348" t="s">
        <v>42</v>
      </c>
      <c r="B51" s="348" t="s">
        <v>43</v>
      </c>
      <c r="C51" s="334">
        <v>0</v>
      </c>
      <c r="D51" s="334">
        <v>0</v>
      </c>
      <c r="E51" s="334">
        <v>29</v>
      </c>
      <c r="F51" s="334">
        <v>327036.08916999999</v>
      </c>
    </row>
    <row r="52" spans="1:6">
      <c r="A52" s="348" t="s">
        <v>42</v>
      </c>
      <c r="B52" s="348" t="s">
        <v>29</v>
      </c>
      <c r="C52" s="334">
        <v>5</v>
      </c>
      <c r="D52" s="334">
        <v>21611055.206999999</v>
      </c>
      <c r="E52" s="334">
        <v>5</v>
      </c>
      <c r="F52" s="334">
        <v>59175.26584</v>
      </c>
    </row>
    <row r="53" spans="1:6">
      <c r="A53" s="348" t="s">
        <v>44</v>
      </c>
      <c r="B53" s="348" t="s">
        <v>45</v>
      </c>
      <c r="C53" s="334">
        <v>54</v>
      </c>
      <c r="D53" s="334">
        <v>844434.82365999999</v>
      </c>
      <c r="E53" s="334">
        <v>92</v>
      </c>
      <c r="F53" s="334">
        <v>357156.70565000002</v>
      </c>
    </row>
    <row r="54" spans="1:6">
      <c r="A54" s="348" t="s">
        <v>46</v>
      </c>
      <c r="B54" s="348" t="s">
        <v>47</v>
      </c>
      <c r="C54" s="334">
        <v>0</v>
      </c>
      <c r="D54" s="334">
        <v>0</v>
      </c>
      <c r="E54" s="334">
        <v>1</v>
      </c>
      <c r="F54" s="334">
        <v>553389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151148.28533000001</v>
      </c>
      <c r="E57" s="334">
        <v>28</v>
      </c>
      <c r="F57" s="334">
        <v>615936.99124999996</v>
      </c>
    </row>
    <row r="58" spans="1:6">
      <c r="A58" s="348" t="s">
        <v>49</v>
      </c>
      <c r="B58" s="348" t="s">
        <v>51</v>
      </c>
      <c r="C58" s="334">
        <v>15</v>
      </c>
      <c r="D58" s="334">
        <v>381808.99728000001</v>
      </c>
      <c r="E58" s="334">
        <v>18</v>
      </c>
      <c r="F58" s="334">
        <v>122886.98985</v>
      </c>
    </row>
    <row r="59" spans="1:6">
      <c r="A59" s="348" t="s">
        <v>49</v>
      </c>
      <c r="B59" s="348" t="s">
        <v>52</v>
      </c>
      <c r="C59" s="334">
        <v>13</v>
      </c>
      <c r="D59" s="334">
        <v>509379.95796000003</v>
      </c>
      <c r="E59" s="334">
        <v>39</v>
      </c>
      <c r="F59" s="334">
        <v>1181769.9106999999</v>
      </c>
    </row>
    <row r="60" spans="1:6">
      <c r="A60" s="348" t="s">
        <v>49</v>
      </c>
      <c r="B60" s="348" t="s">
        <v>53</v>
      </c>
      <c r="C60" s="334">
        <v>19</v>
      </c>
      <c r="D60" s="334">
        <v>854669.53559999994</v>
      </c>
      <c r="E60" s="334">
        <v>27</v>
      </c>
      <c r="F60" s="334">
        <v>514618.92398999998</v>
      </c>
    </row>
    <row r="61" spans="1:6">
      <c r="A61" s="348" t="s">
        <v>49</v>
      </c>
      <c r="B61" s="348" t="s">
        <v>54</v>
      </c>
      <c r="C61" s="334">
        <v>74</v>
      </c>
      <c r="D61" s="334">
        <v>2966493.5869</v>
      </c>
      <c r="E61" s="334">
        <v>142</v>
      </c>
      <c r="F61" s="334">
        <v>1170868.8191</v>
      </c>
    </row>
    <row r="62" spans="1:6">
      <c r="A62" s="348" t="s">
        <v>49</v>
      </c>
      <c r="B62" s="348" t="s">
        <v>55</v>
      </c>
      <c r="C62" s="334">
        <v>8</v>
      </c>
      <c r="D62" s="334">
        <v>380130.11225000001</v>
      </c>
      <c r="E62" s="334">
        <v>7</v>
      </c>
      <c r="F62" s="334">
        <v>62018.900456000003</v>
      </c>
    </row>
    <row r="63" spans="1:6">
      <c r="A63" s="348" t="s">
        <v>49</v>
      </c>
      <c r="B63" s="348" t="s">
        <v>29</v>
      </c>
      <c r="C63" s="334">
        <v>56</v>
      </c>
      <c r="D63" s="334">
        <v>3016304.2264999999</v>
      </c>
      <c r="E63" s="334">
        <v>74</v>
      </c>
      <c r="F63" s="334">
        <v>1747890.1429000001</v>
      </c>
    </row>
    <row r="64" spans="1:6">
      <c r="A64" s="348" t="s">
        <v>56</v>
      </c>
      <c r="B64" s="348" t="s">
        <v>57</v>
      </c>
      <c r="C64" s="334">
        <v>0</v>
      </c>
      <c r="D64" s="334">
        <v>0</v>
      </c>
      <c r="E64" s="334">
        <v>0</v>
      </c>
      <c r="F64" s="334">
        <v>0</v>
      </c>
    </row>
    <row r="65" spans="1:6">
      <c r="A65" s="348" t="s">
        <v>56</v>
      </c>
      <c r="B65" s="348" t="s">
        <v>29</v>
      </c>
      <c r="C65" s="334">
        <v>0</v>
      </c>
      <c r="D65" s="334">
        <v>0</v>
      </c>
      <c r="E65" s="334">
        <v>2</v>
      </c>
      <c r="F65" s="334">
        <v>14618.467903000001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48017593</v>
      </c>
      <c r="E73" s="475">
        <v>48976121.390130661</v>
      </c>
    </row>
    <row r="74" spans="1:6">
      <c r="A74" s="348" t="s">
        <v>64</v>
      </c>
      <c r="B74" s="348" t="s">
        <v>667</v>
      </c>
      <c r="C74" s="1294" t="s">
        <v>669</v>
      </c>
      <c r="D74" s="475">
        <v>3109438.4354648939</v>
      </c>
      <c r="E74" s="475">
        <v>3109784.6008319799</v>
      </c>
    </row>
    <row r="75" spans="1:6">
      <c r="A75" s="348" t="s">
        <v>65</v>
      </c>
      <c r="B75" s="348" t="s">
        <v>666</v>
      </c>
      <c r="C75" s="1294" t="s">
        <v>670</v>
      </c>
      <c r="D75" s="475">
        <v>14875226</v>
      </c>
      <c r="E75" s="475">
        <v>15248610.514075715</v>
      </c>
    </row>
    <row r="76" spans="1:6">
      <c r="A76" s="348" t="s">
        <v>65</v>
      </c>
      <c r="B76" s="348" t="s">
        <v>667</v>
      </c>
      <c r="C76" s="1294" t="s">
        <v>671</v>
      </c>
      <c r="D76" s="475">
        <v>123178.43546489388</v>
      </c>
      <c r="E76" s="475">
        <v>123766.72556442631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98819.129070212235</v>
      </c>
      <c r="C83" s="475">
        <v>98819.129070212235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2146.3033072180751</v>
      </c>
    </row>
    <row r="92" spans="1:6">
      <c r="A92" s="341" t="s">
        <v>69</v>
      </c>
      <c r="B92" s="342">
        <v>232.08893507999136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22335.702871428977</v>
      </c>
      <c r="C3" s="43" t="s">
        <v>170</v>
      </c>
      <c r="D3" s="43"/>
      <c r="E3" s="154"/>
      <c r="F3" s="43"/>
      <c r="G3" s="43"/>
      <c r="H3" s="43"/>
      <c r="I3" s="43"/>
      <c r="J3" s="43"/>
      <c r="K3" s="96"/>
    </row>
    <row r="4" spans="1:11">
      <c r="A4" s="383" t="s">
        <v>171</v>
      </c>
      <c r="B4" s="49">
        <f>IF(ISERROR('SEAP template'!B78+'SEAP template'!C78),0,'SEAP template'!B78+'SEAP template'!C78)</f>
        <v>9272.3922422980668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1638.3388235294121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0.20260524142072028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2340.4840336134462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9848.5714285714294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553.38900000000001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553.38900000000001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0.20260524142072028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112.11951194457097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11291.710885</v>
      </c>
      <c r="C5" s="17">
        <f>IF(ISERROR('Eigen informatie GS &amp; warmtenet'!B57),0,'Eigen informatie GS &amp; warmtenet'!B57)</f>
        <v>0</v>
      </c>
      <c r="D5" s="30">
        <f>(SUM(HH_hh_gas_kWh,HH_rest_gas_kWh)/1000)*0.902</f>
        <v>35481.841823626004</v>
      </c>
      <c r="E5" s="17">
        <f>B46*B57</f>
        <v>792.950705995627</v>
      </c>
      <c r="F5" s="17">
        <f>B51*B62</f>
        <v>2193.2280878555071</v>
      </c>
      <c r="G5" s="18"/>
      <c r="H5" s="17"/>
      <c r="I5" s="17"/>
      <c r="J5" s="17">
        <f>B50*B61+C50*C61</f>
        <v>0</v>
      </c>
      <c r="K5" s="17"/>
      <c r="L5" s="17"/>
      <c r="M5" s="17"/>
      <c r="N5" s="17">
        <f>B48*B59+C48*C59</f>
        <v>7968.7297064247141</v>
      </c>
      <c r="O5" s="17">
        <f>B69*B70*B71</f>
        <v>120.37666666666668</v>
      </c>
      <c r="P5" s="17">
        <f>B77*B78*B79/1000-B77*B78*B79/1000/B80</f>
        <v>343.2</v>
      </c>
    </row>
    <row r="6" spans="1:16">
      <c r="A6" s="16" t="s">
        <v>624</v>
      </c>
      <c r="B6" s="788">
        <f>kWh_PV_kleiner_dan_10kW</f>
        <v>2146.3033072180751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13438.014192218076</v>
      </c>
      <c r="C8" s="21">
        <f>C5</f>
        <v>0</v>
      </c>
      <c r="D8" s="21">
        <f>D5</f>
        <v>35481.841823626004</v>
      </c>
      <c r="E8" s="21">
        <f>E5</f>
        <v>792.950705995627</v>
      </c>
      <c r="F8" s="21">
        <f>F5</f>
        <v>2193.2280878555071</v>
      </c>
      <c r="G8" s="21"/>
      <c r="H8" s="21"/>
      <c r="I8" s="21"/>
      <c r="J8" s="21">
        <f>J5</f>
        <v>0</v>
      </c>
      <c r="K8" s="21"/>
      <c r="L8" s="21">
        <f>L5</f>
        <v>0</v>
      </c>
      <c r="M8" s="21">
        <f>M5</f>
        <v>0</v>
      </c>
      <c r="N8" s="21">
        <f>N5</f>
        <v>7968.7297064247141</v>
      </c>
      <c r="O8" s="21">
        <f>O5</f>
        <v>120.37666666666668</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0.20260524142072028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2722.6121096294087</v>
      </c>
      <c r="C12" s="23">
        <f ca="1">C10*C8</f>
        <v>0</v>
      </c>
      <c r="D12" s="23">
        <f>D8*D10</f>
        <v>7167.3320483724528</v>
      </c>
      <c r="E12" s="23">
        <f>E10*E8</f>
        <v>179.99981026100733</v>
      </c>
      <c r="F12" s="23">
        <f>F10*F8</f>
        <v>585.59189945742037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3250</v>
      </c>
      <c r="C28" s="36"/>
      <c r="D28" s="228"/>
    </row>
    <row r="29" spans="1:7" s="15" customFormat="1">
      <c r="A29" s="230" t="s">
        <v>699</v>
      </c>
      <c r="B29" s="37">
        <f>SUM(HH_hh_gas_aantal,HH_rest_gas_aantal)</f>
        <v>2465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2465</v>
      </c>
      <c r="C32" s="167">
        <f>IF(ISERROR(B32/SUM($B$32,$B$34,$B$35,$B$36,$B$38,$B$39)*100),0,B32/SUM($B$32,$B$34,$B$35,$B$36,$B$38,$B$39)*100)</f>
        <v>76.268564356435647</v>
      </c>
      <c r="D32" s="233"/>
      <c r="G32" s="15"/>
    </row>
    <row r="33" spans="1:7">
      <c r="A33" s="171" t="s">
        <v>72</v>
      </c>
      <c r="B33" s="34" t="s">
        <v>111</v>
      </c>
      <c r="C33" s="167"/>
      <c r="D33" s="233"/>
      <c r="G33" s="15"/>
    </row>
    <row r="34" spans="1:7">
      <c r="A34" s="171" t="s">
        <v>73</v>
      </c>
      <c r="B34" s="33">
        <f>IF((($B$28-$B$32-$B$39-$B$77-$B$38)*C20/100)&lt;0,0,($B$28-$B$32-$B$39-$B$77-$B$38)*C20/100)</f>
        <v>35.058565737051794</v>
      </c>
      <c r="C34" s="167">
        <f>IF(ISERROR(B34/SUM($B$32,$B$34,$B$35,$B$36,$B$38,$B$39)*100),0,B34/SUM($B$32,$B$34,$B$35,$B$36,$B$38,$B$39)*100)</f>
        <v>1.0847328507751175</v>
      </c>
      <c r="D34" s="233"/>
      <c r="G34" s="15"/>
    </row>
    <row r="35" spans="1:7">
      <c r="A35" s="171" t="s">
        <v>74</v>
      </c>
      <c r="B35" s="33">
        <f>IF((($B$28-$B$32-$B$39-$B$77-$B$38)*C21/100)&lt;0,0,($B$28-$B$32-$B$39-$B$77-$B$38)*C21/100)</f>
        <v>517.78804780876499</v>
      </c>
      <c r="C35" s="167">
        <f>IF(ISERROR(B35/SUM($B$32,$B$34,$B$35,$B$36,$B$38,$B$39)*100),0,B35/SUM($B$32,$B$34,$B$35,$B$36,$B$38,$B$39)*100)</f>
        <v>16.020669796063274</v>
      </c>
      <c r="D35" s="233"/>
      <c r="G35" s="15"/>
    </row>
    <row r="36" spans="1:7">
      <c r="A36" s="171" t="s">
        <v>75</v>
      </c>
      <c r="B36" s="33">
        <f>IF((($B$28-$B$32-$B$39-$B$77-$B$38)*C22/100)&lt;0,0,($B$28-$B$32-$B$39-$B$77-$B$38)*C22/100)</f>
        <v>124.05338645418327</v>
      </c>
      <c r="C36" s="167">
        <f>IF(ISERROR(B36/SUM($B$32,$B$34,$B$35,$B$36,$B$38,$B$39)*100),0,B36/SUM($B$32,$B$34,$B$35,$B$36,$B$38,$B$39)*100)</f>
        <v>3.8382854719734927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90.100000000000023</v>
      </c>
      <c r="C39" s="167">
        <f>IF(ISERROR(B39/SUM($B$32,$B$34,$B$35,$B$36,$B$38,$B$39)*100),0,B39/SUM($B$32,$B$34,$B$35,$B$36,$B$38,$B$39)*100)</f>
        <v>2.7877475247524766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2465</v>
      </c>
      <c r="C44" s="34" t="s">
        <v>111</v>
      </c>
      <c r="D44" s="174"/>
    </row>
    <row r="45" spans="1:7">
      <c r="A45" s="171" t="s">
        <v>72</v>
      </c>
      <c r="B45" s="33" t="str">
        <f t="shared" si="0"/>
        <v>-</v>
      </c>
      <c r="C45" s="34" t="s">
        <v>111</v>
      </c>
      <c r="D45" s="174"/>
    </row>
    <row r="46" spans="1:7">
      <c r="A46" s="171" t="s">
        <v>73</v>
      </c>
      <c r="B46" s="33">
        <f t="shared" si="0"/>
        <v>35.058565737051794</v>
      </c>
      <c r="C46" s="34" t="s">
        <v>111</v>
      </c>
      <c r="D46" s="174"/>
    </row>
    <row r="47" spans="1:7">
      <c r="A47" s="171" t="s">
        <v>74</v>
      </c>
      <c r="B47" s="33">
        <f t="shared" si="0"/>
        <v>517.78804780876499</v>
      </c>
      <c r="C47" s="34" t="s">
        <v>111</v>
      </c>
      <c r="D47" s="174"/>
    </row>
    <row r="48" spans="1:7">
      <c r="A48" s="171" t="s">
        <v>75</v>
      </c>
      <c r="B48" s="33">
        <f t="shared" si="0"/>
        <v>124.05338645418327</v>
      </c>
      <c r="C48" s="33">
        <f>B48*10</f>
        <v>1240.5338645418326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90.100000000000023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5415.9906782460002</v>
      </c>
      <c r="C5" s="17">
        <f>IF(ISERROR('Eigen informatie GS &amp; warmtenet'!B58),0,'Eigen informatie GS &amp; warmtenet'!B58)</f>
        <v>0</v>
      </c>
      <c r="D5" s="30">
        <f>SUM(D6:D12)</f>
        <v>7450.4611010416393</v>
      </c>
      <c r="E5" s="17">
        <f>SUM(E6:E12)</f>
        <v>101.48276136634516</v>
      </c>
      <c r="F5" s="17">
        <f>SUM(F6:F12)</f>
        <v>1392.137548454805</v>
      </c>
      <c r="G5" s="18"/>
      <c r="H5" s="17"/>
      <c r="I5" s="17"/>
      <c r="J5" s="17">
        <f>SUM(J6:J12)</f>
        <v>0</v>
      </c>
      <c r="K5" s="17"/>
      <c r="L5" s="17"/>
      <c r="M5" s="17"/>
      <c r="N5" s="17">
        <f>SUM(N6:N12)</f>
        <v>643.89717479420665</v>
      </c>
      <c r="O5" s="17">
        <f>B38*B39*B40</f>
        <v>0</v>
      </c>
      <c r="P5" s="17">
        <f>B46*B47*B48/1000-B46*B47*B48/1000/B49</f>
        <v>0</v>
      </c>
      <c r="R5" s="32"/>
    </row>
    <row r="6" spans="1:18">
      <c r="A6" s="32" t="s">
        <v>54</v>
      </c>
      <c r="B6" s="37">
        <f>B26</f>
        <v>1170.8688190999999</v>
      </c>
      <c r="C6" s="33"/>
      <c r="D6" s="37">
        <f>IF(ISERROR(TER_kantoor_gas_kWh/1000),0,TER_kantoor_gas_kWh/1000)*0.902</f>
        <v>2675.7772153838</v>
      </c>
      <c r="E6" s="33">
        <f>$C$26*'E Balans VL '!I12/100/3.6*1000000</f>
        <v>15.328115143264647</v>
      </c>
      <c r="F6" s="33">
        <f>$C$26*('E Balans VL '!L12+'E Balans VL '!N12)/100/3.6*1000000</f>
        <v>298.55944956409184</v>
      </c>
      <c r="G6" s="34"/>
      <c r="H6" s="33"/>
      <c r="I6" s="33"/>
      <c r="J6" s="33">
        <f>$C$26*('E Balans VL '!D12+'E Balans VL '!E12)/100/3.6*1000000</f>
        <v>0</v>
      </c>
      <c r="K6" s="33"/>
      <c r="L6" s="33"/>
      <c r="M6" s="33"/>
      <c r="N6" s="33">
        <f>$C$26*'E Balans VL '!Y12/100/3.6*1000000</f>
        <v>1.1748116571332958</v>
      </c>
      <c r="O6" s="33"/>
      <c r="P6" s="33"/>
      <c r="R6" s="32"/>
    </row>
    <row r="7" spans="1:18">
      <c r="A7" s="32" t="s">
        <v>53</v>
      </c>
      <c r="B7" s="37">
        <f t="shared" ref="B7:B12" si="0">B27</f>
        <v>514.61892398999998</v>
      </c>
      <c r="C7" s="33"/>
      <c r="D7" s="37">
        <f>IF(ISERROR(TER_horeca_gas_kWh/1000),0,TER_horeca_gas_kWh/1000)*0.902</f>
        <v>770.91192111119994</v>
      </c>
      <c r="E7" s="33">
        <f>$C$27*'E Balans VL '!I9/100/3.6*1000000</f>
        <v>17.030756062163963</v>
      </c>
      <c r="F7" s="33">
        <f>$C$27*('E Balans VL '!L9+'E Balans VL '!N9)/100/3.6*1000000</f>
        <v>221.28416505708702</v>
      </c>
      <c r="G7" s="34"/>
      <c r="H7" s="33"/>
      <c r="I7" s="33"/>
      <c r="J7" s="33">
        <f>$C$27*('E Balans VL '!D9+'E Balans VL '!E9)/100/3.6*1000000</f>
        <v>0</v>
      </c>
      <c r="K7" s="33"/>
      <c r="L7" s="33"/>
      <c r="M7" s="33"/>
      <c r="N7" s="33">
        <f>$C$27*'E Balans VL '!Y9/100/3.6*1000000</f>
        <v>0.12387624809127244</v>
      </c>
      <c r="O7" s="33"/>
      <c r="P7" s="33"/>
      <c r="R7" s="32"/>
    </row>
    <row r="8" spans="1:18">
      <c r="A8" s="6" t="s">
        <v>52</v>
      </c>
      <c r="B8" s="37">
        <f t="shared" si="0"/>
        <v>1181.7699106999999</v>
      </c>
      <c r="C8" s="33"/>
      <c r="D8" s="37">
        <f>IF(ISERROR(TER_handel_gas_kWh/1000),0,TER_handel_gas_kWh/1000)*0.902</f>
        <v>459.46072207992</v>
      </c>
      <c r="E8" s="33">
        <f>$C$28*'E Balans VL '!I13/100/3.6*1000000</f>
        <v>37.298464072366301</v>
      </c>
      <c r="F8" s="33">
        <f>$C$28*('E Balans VL '!L13+'E Balans VL '!N13)/100/3.6*1000000</f>
        <v>231.76588916441816</v>
      </c>
      <c r="G8" s="34"/>
      <c r="H8" s="33"/>
      <c r="I8" s="33"/>
      <c r="J8" s="33">
        <f>$C$28*('E Balans VL '!D13+'E Balans VL '!E13)/100/3.6*1000000</f>
        <v>0</v>
      </c>
      <c r="K8" s="33"/>
      <c r="L8" s="33"/>
      <c r="M8" s="33"/>
      <c r="N8" s="33">
        <f>$C$28*'E Balans VL '!Y13/100/3.6*1000000</f>
        <v>1.4025314461894229</v>
      </c>
      <c r="O8" s="33"/>
      <c r="P8" s="33"/>
      <c r="R8" s="32"/>
    </row>
    <row r="9" spans="1:18">
      <c r="A9" s="32" t="s">
        <v>51</v>
      </c>
      <c r="B9" s="37">
        <f t="shared" si="0"/>
        <v>122.88698984999999</v>
      </c>
      <c r="C9" s="33"/>
      <c r="D9" s="37">
        <f>IF(ISERROR(TER_gezond_gas_kWh/1000),0,TER_gezond_gas_kWh/1000)*0.902</f>
        <v>344.39171554656002</v>
      </c>
      <c r="E9" s="33">
        <f>$C$29*'E Balans VL '!I10/100/3.6*1000000</f>
        <v>1.5733129679922214E-2</v>
      </c>
      <c r="F9" s="33">
        <f>$C$29*('E Balans VL '!L10+'E Balans VL '!N10)/100/3.6*1000000</f>
        <v>25.602510651524049</v>
      </c>
      <c r="G9" s="34"/>
      <c r="H9" s="33"/>
      <c r="I9" s="33"/>
      <c r="J9" s="33">
        <f>$C$29*('E Balans VL '!D10+'E Balans VL '!E10)/100/3.6*1000000</f>
        <v>0</v>
      </c>
      <c r="K9" s="33"/>
      <c r="L9" s="33"/>
      <c r="M9" s="33"/>
      <c r="N9" s="33">
        <f>$C$29*'E Balans VL '!Y10/100/3.6*1000000</f>
        <v>1.4433657798157176</v>
      </c>
      <c r="O9" s="33"/>
      <c r="P9" s="33"/>
      <c r="R9" s="32"/>
    </row>
    <row r="10" spans="1:18">
      <c r="A10" s="32" t="s">
        <v>50</v>
      </c>
      <c r="B10" s="37">
        <f t="shared" si="0"/>
        <v>615.93699125000001</v>
      </c>
      <c r="C10" s="33"/>
      <c r="D10" s="37">
        <f>IF(ISERROR(TER_ander_gas_kWh/1000),0,TER_ander_gas_kWh/1000)*0.902</f>
        <v>136.33575336766003</v>
      </c>
      <c r="E10" s="33">
        <f>$C$30*'E Balans VL '!I14/100/3.6*1000000</f>
        <v>0.92622438765533077</v>
      </c>
      <c r="F10" s="33">
        <f>$C$30*('E Balans VL '!L14+'E Balans VL '!N14)/100/3.6*1000000</f>
        <v>135.97903318731736</v>
      </c>
      <c r="G10" s="34"/>
      <c r="H10" s="33"/>
      <c r="I10" s="33"/>
      <c r="J10" s="33">
        <f>$C$30*('E Balans VL '!D14+'E Balans VL '!E14)/100/3.6*1000000</f>
        <v>0</v>
      </c>
      <c r="K10" s="33"/>
      <c r="L10" s="33"/>
      <c r="M10" s="33"/>
      <c r="N10" s="33">
        <f>$C$30*'E Balans VL '!Y14/100/3.6*1000000</f>
        <v>485.399800101653</v>
      </c>
      <c r="O10" s="33"/>
      <c r="P10" s="33"/>
      <c r="R10" s="32"/>
    </row>
    <row r="11" spans="1:18">
      <c r="A11" s="32" t="s">
        <v>55</v>
      </c>
      <c r="B11" s="37">
        <f t="shared" si="0"/>
        <v>62.018900456000004</v>
      </c>
      <c r="C11" s="33"/>
      <c r="D11" s="37">
        <f>IF(ISERROR(TER_onderwijs_gas_kWh/1000),0,TER_onderwijs_gas_kWh/1000)*0.902</f>
        <v>342.87736124950004</v>
      </c>
      <c r="E11" s="33">
        <f>$C$31*'E Balans VL '!I11/100/3.6*1000000</f>
        <v>0.10922048086890948</v>
      </c>
      <c r="F11" s="33">
        <f>$C$31*('E Balans VL '!L11+'E Balans VL '!N11)/100/3.6*1000000</f>
        <v>28.635248570682865</v>
      </c>
      <c r="G11" s="34"/>
      <c r="H11" s="33"/>
      <c r="I11" s="33"/>
      <c r="J11" s="33">
        <f>$C$31*('E Balans VL '!D11+'E Balans VL '!E11)/100/3.6*1000000</f>
        <v>0</v>
      </c>
      <c r="K11" s="33"/>
      <c r="L11" s="33"/>
      <c r="M11" s="33"/>
      <c r="N11" s="33">
        <f>$C$31*'E Balans VL '!Y11/100/3.6*1000000</f>
        <v>0.11554206919517829</v>
      </c>
      <c r="O11" s="33"/>
      <c r="P11" s="33"/>
      <c r="R11" s="32"/>
    </row>
    <row r="12" spans="1:18">
      <c r="A12" s="32" t="s">
        <v>260</v>
      </c>
      <c r="B12" s="37">
        <f t="shared" si="0"/>
        <v>1747.8901429</v>
      </c>
      <c r="C12" s="33"/>
      <c r="D12" s="37">
        <f>IF(ISERROR(TER_rest_gas_kWh/1000),0,TER_rest_gas_kWh/1000)*0.902</f>
        <v>2720.706412303</v>
      </c>
      <c r="E12" s="33">
        <f>$C$32*'E Balans VL '!I8/100/3.6*1000000</f>
        <v>30.774248090346084</v>
      </c>
      <c r="F12" s="33">
        <f>$C$32*('E Balans VL '!L8+'E Balans VL '!N8)/100/3.6*1000000</f>
        <v>450.31125225968373</v>
      </c>
      <c r="G12" s="34"/>
      <c r="H12" s="33"/>
      <c r="I12" s="33"/>
      <c r="J12" s="33">
        <f>$C$32*('E Balans VL '!D8+'E Balans VL '!E8)/100/3.6*1000000</f>
        <v>0</v>
      </c>
      <c r="K12" s="33"/>
      <c r="L12" s="33"/>
      <c r="M12" s="33"/>
      <c r="N12" s="33">
        <f>$C$32*'E Balans VL '!Y8/100/3.6*1000000</f>
        <v>154.23724749212883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5415.9906782460002</v>
      </c>
      <c r="C16" s="21">
        <f t="shared" ca="1" si="1"/>
        <v>0</v>
      </c>
      <c r="D16" s="21">
        <f t="shared" ca="1" si="1"/>
        <v>7450.4611010416393</v>
      </c>
      <c r="E16" s="21">
        <f t="shared" si="1"/>
        <v>101.48276136634516</v>
      </c>
      <c r="F16" s="21">
        <f t="shared" ca="1" si="1"/>
        <v>1392.137548454805</v>
      </c>
      <c r="G16" s="21">
        <f t="shared" si="1"/>
        <v>0</v>
      </c>
      <c r="H16" s="21">
        <f t="shared" si="1"/>
        <v>0</v>
      </c>
      <c r="I16" s="21">
        <f t="shared" si="1"/>
        <v>0</v>
      </c>
      <c r="J16" s="21">
        <f t="shared" si="1"/>
        <v>0</v>
      </c>
      <c r="K16" s="21">
        <f t="shared" si="1"/>
        <v>0</v>
      </c>
      <c r="L16" s="21">
        <f t="shared" ca="1" si="1"/>
        <v>0</v>
      </c>
      <c r="M16" s="21">
        <f t="shared" si="1"/>
        <v>0</v>
      </c>
      <c r="N16" s="21">
        <f t="shared" ca="1" si="1"/>
        <v>643.89717479420665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0.20260524142072028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1097.3080988984016</v>
      </c>
      <c r="C20" s="23">
        <f t="shared" ref="C20:P20" ca="1" si="2">C16*C18</f>
        <v>0</v>
      </c>
      <c r="D20" s="23">
        <f t="shared" ca="1" si="2"/>
        <v>1504.9931424104113</v>
      </c>
      <c r="E20" s="23">
        <f t="shared" si="2"/>
        <v>23.036586830160353</v>
      </c>
      <c r="F20" s="23">
        <f t="shared" ca="1" si="2"/>
        <v>371.70072543743294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1170.8688190999999</v>
      </c>
      <c r="C26" s="39">
        <f>IF(ISERROR(B26*3.6/1000000/'E Balans VL '!Z12*100),0,B26*3.6/1000000/'E Balans VL '!Z12*100)</f>
        <v>2.5080919717687673E-2</v>
      </c>
      <c r="D26" s="237" t="s">
        <v>660</v>
      </c>
      <c r="F26" s="6"/>
    </row>
    <row r="27" spans="1:18">
      <c r="A27" s="231" t="s">
        <v>53</v>
      </c>
      <c r="B27" s="33">
        <f>IF(ISERROR(TER_horeca_ele_kWh/1000),0,TER_horeca_ele_kWh/1000)</f>
        <v>514.61892398999998</v>
      </c>
      <c r="C27" s="39">
        <f>IF(ISERROR(B27*3.6/1000000/'E Balans VL '!Z9*100),0,B27*3.6/1000000/'E Balans VL '!Z9*100)</f>
        <v>4.1296379853076257E-2</v>
      </c>
      <c r="D27" s="237" t="s">
        <v>660</v>
      </c>
      <c r="F27" s="6"/>
    </row>
    <row r="28" spans="1:18">
      <c r="A28" s="171" t="s">
        <v>52</v>
      </c>
      <c r="B28" s="33">
        <f>IF(ISERROR(TER_handel_ele_kWh/1000),0,TER_handel_ele_kWh/1000)</f>
        <v>1181.7699106999999</v>
      </c>
      <c r="C28" s="39">
        <f>IF(ISERROR(B28*3.6/1000000/'E Balans VL '!Z13*100),0,B28*3.6/1000000/'E Balans VL '!Z13*100)</f>
        <v>3.485543400380911E-2</v>
      </c>
      <c r="D28" s="237" t="s">
        <v>660</v>
      </c>
      <c r="F28" s="6"/>
    </row>
    <row r="29" spans="1:18">
      <c r="A29" s="231" t="s">
        <v>51</v>
      </c>
      <c r="B29" s="33">
        <f>IF(ISERROR(TER_gezond_ele_kWh/1000),0,TER_gezond_ele_kWh/1000)</f>
        <v>122.88698984999999</v>
      </c>
      <c r="C29" s="39">
        <f>IF(ISERROR(B29*3.6/1000000/'E Balans VL '!Z10*100),0,B29*3.6/1000000/'E Balans VL '!Z10*100)</f>
        <v>1.3121035792230999E-2</v>
      </c>
      <c r="D29" s="237" t="s">
        <v>660</v>
      </c>
      <c r="F29" s="6"/>
    </row>
    <row r="30" spans="1:18">
      <c r="A30" s="231" t="s">
        <v>50</v>
      </c>
      <c r="B30" s="33">
        <f>IF(ISERROR(TER_ander_ele_kWh/1000),0,TER_ander_ele_kWh/1000)</f>
        <v>615.93699125000001</v>
      </c>
      <c r="C30" s="39">
        <f>IF(ISERROR(B30*3.6/1000000/'E Balans VL '!Z14*100),0,B30*3.6/1000000/'E Balans VL '!Z14*100)</f>
        <v>4.6524139636115354E-2</v>
      </c>
      <c r="D30" s="237" t="s">
        <v>660</v>
      </c>
      <c r="F30" s="6"/>
    </row>
    <row r="31" spans="1:18">
      <c r="A31" s="231" t="s">
        <v>55</v>
      </c>
      <c r="B31" s="33">
        <f>IF(ISERROR(TER_onderwijs_ele_kWh/1000),0,TER_onderwijs_ele_kWh/1000)</f>
        <v>62.018900456000004</v>
      </c>
      <c r="C31" s="39">
        <f>IF(ISERROR(B31*3.6/1000000/'E Balans VL '!Z11*100),0,B31*3.6/1000000/'E Balans VL '!Z11*100)</f>
        <v>1.2523686352906944E-2</v>
      </c>
      <c r="D31" s="237" t="s">
        <v>660</v>
      </c>
    </row>
    <row r="32" spans="1:18">
      <c r="A32" s="231" t="s">
        <v>260</v>
      </c>
      <c r="B32" s="33">
        <f>IF(ISERROR(TER_rest_ele_kWh/1000),0,TER_rest_ele_kWh/1000)</f>
        <v>1747.8901429</v>
      </c>
      <c r="C32" s="39">
        <f>IF(ISERROR(B32*3.6/1000000/'E Balans VL '!Z8*100),0,B32*3.6/1000000/'E Balans VL '!Z8*100)</f>
        <v>1.4492443204106399E-2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2170.2029362999997</v>
      </c>
      <c r="C5" s="17">
        <f>IF(ISERROR('Eigen informatie GS &amp; warmtenet'!B59),0,'Eigen informatie GS &amp; warmtenet'!B59)</f>
        <v>0</v>
      </c>
      <c r="D5" s="30">
        <f>SUM(D6:D15)</f>
        <v>1265.3075473431361</v>
      </c>
      <c r="E5" s="17">
        <f>SUM(E6:E15)</f>
        <v>190.02879831060892</v>
      </c>
      <c r="F5" s="17">
        <f>SUM(F6:F15)</f>
        <v>753.2698644009871</v>
      </c>
      <c r="G5" s="18"/>
      <c r="H5" s="17"/>
      <c r="I5" s="17"/>
      <c r="J5" s="17">
        <f>SUM(J6:J15)</f>
        <v>11.589274110218442</v>
      </c>
      <c r="K5" s="17"/>
      <c r="L5" s="17"/>
      <c r="M5" s="17"/>
      <c r="N5" s="17">
        <f>SUM(N6:N15)</f>
        <v>512.69433788072251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85.577027570000013</v>
      </c>
      <c r="C8" s="33"/>
      <c r="D8" s="37">
        <f>IF( ISERROR(IND_metaal_Gas_kWH/1000),0,IND_metaal_Gas_kWH/1000)*0.902</f>
        <v>90.166787889155998</v>
      </c>
      <c r="E8" s="33">
        <f>C30*'E Balans VL '!I18/100/3.6*1000000</f>
        <v>3.0793203400265039</v>
      </c>
      <c r="F8" s="33">
        <f>C30*'E Balans VL '!L18/100/3.6*1000000+C30*'E Balans VL '!N18/100/3.6*1000000</f>
        <v>37.368713831051188</v>
      </c>
      <c r="G8" s="34"/>
      <c r="H8" s="33"/>
      <c r="I8" s="33"/>
      <c r="J8" s="40">
        <f>C30*'E Balans VL '!D18/100/3.6*1000000+C30*'E Balans VL '!E18/100/3.6*1000000</f>
        <v>0</v>
      </c>
      <c r="K8" s="33"/>
      <c r="L8" s="33"/>
      <c r="M8" s="33"/>
      <c r="N8" s="33">
        <f>C30*'E Balans VL '!Y18/100/3.6*1000000</f>
        <v>4.2890624660560057</v>
      </c>
      <c r="O8" s="33"/>
      <c r="P8" s="33"/>
      <c r="R8" s="32"/>
    </row>
    <row r="9" spans="1:18">
      <c r="A9" s="6" t="s">
        <v>33</v>
      </c>
      <c r="B9" s="37">
        <f t="shared" si="0"/>
        <v>403.52216540000001</v>
      </c>
      <c r="C9" s="33"/>
      <c r="D9" s="37">
        <f>IF( ISERROR(IND_andere_gas_kWh/1000),0,IND_andere_gas_kWh/1000)*0.902</f>
        <v>254.31540413664004</v>
      </c>
      <c r="E9" s="33">
        <f>C31*'E Balans VL '!I19/100/3.6*1000000</f>
        <v>102.96972666536759</v>
      </c>
      <c r="F9" s="33">
        <f>C31*'E Balans VL '!L19/100/3.6*1000000+C31*'E Balans VL '!N19/100/3.6*1000000</f>
        <v>347.40225450432314</v>
      </c>
      <c r="G9" s="34"/>
      <c r="H9" s="33"/>
      <c r="I9" s="33"/>
      <c r="J9" s="40">
        <f>C31*'E Balans VL '!D19/100/3.6*1000000+C31*'E Balans VL '!E19/100/3.6*1000000</f>
        <v>0</v>
      </c>
      <c r="K9" s="33"/>
      <c r="L9" s="33"/>
      <c r="M9" s="33"/>
      <c r="N9" s="33">
        <f>C31*'E Balans VL '!Y19/100/3.6*1000000</f>
        <v>126.19520031148556</v>
      </c>
      <c r="O9" s="33"/>
      <c r="P9" s="33"/>
      <c r="R9" s="32"/>
    </row>
    <row r="10" spans="1:18">
      <c r="A10" s="6" t="s">
        <v>41</v>
      </c>
      <c r="B10" s="37">
        <f t="shared" si="0"/>
        <v>251.58494132999999</v>
      </c>
      <c r="C10" s="33"/>
      <c r="D10" s="37">
        <f>IF( ISERROR(IND_voed_gas_kWh/1000),0,IND_voed_gas_kWh/1000)*0.902</f>
        <v>220.5322839335</v>
      </c>
      <c r="E10" s="33">
        <f>C32*'E Balans VL '!I20/100/3.6*1000000</f>
        <v>6.3956346630424523</v>
      </c>
      <c r="F10" s="33">
        <f>C32*'E Balans VL '!L20/100/3.6*1000000+C32*'E Balans VL '!N20/100/3.6*1000000</f>
        <v>56.929895607314087</v>
      </c>
      <c r="G10" s="34"/>
      <c r="H10" s="33"/>
      <c r="I10" s="33"/>
      <c r="J10" s="40">
        <f>C32*'E Balans VL '!D20/100/3.6*1000000+C32*'E Balans VL '!E20/100/3.6*1000000</f>
        <v>0</v>
      </c>
      <c r="K10" s="33"/>
      <c r="L10" s="33"/>
      <c r="M10" s="33"/>
      <c r="N10" s="33">
        <f>C32*'E Balans VL '!Y20/100/3.6*1000000</f>
        <v>94.351172476819769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1429.5188019999998</v>
      </c>
      <c r="C15" s="33"/>
      <c r="D15" s="37">
        <f>IF( ISERROR(IND_rest_gas_kWh/1000),0,IND_rest_gas_kWh/1000)*0.902</f>
        <v>700.29307138384002</v>
      </c>
      <c r="E15" s="33">
        <f>C37*'E Balans VL '!I15/100/3.6*1000000</f>
        <v>77.584116642172376</v>
      </c>
      <c r="F15" s="33">
        <f>C37*'E Balans VL '!L15/100/3.6*1000000+C37*'E Balans VL '!N15/100/3.6*1000000</f>
        <v>311.56900045829866</v>
      </c>
      <c r="G15" s="34"/>
      <c r="H15" s="33"/>
      <c r="I15" s="33"/>
      <c r="J15" s="40">
        <f>C37*'E Balans VL '!D15/100/3.6*1000000+C37*'E Balans VL '!E15/100/3.6*1000000</f>
        <v>11.589274110218442</v>
      </c>
      <c r="K15" s="33"/>
      <c r="L15" s="33"/>
      <c r="M15" s="33"/>
      <c r="N15" s="33">
        <f>C37*'E Balans VL '!Y15/100/3.6*1000000</f>
        <v>287.8589026263611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2170.2029362999997</v>
      </c>
      <c r="C18" s="21">
        <f>C5+C16</f>
        <v>0</v>
      </c>
      <c r="D18" s="21">
        <f>MAX((D5+D16),0)</f>
        <v>1265.3075473431361</v>
      </c>
      <c r="E18" s="21">
        <f>MAX((E5+E16),0)</f>
        <v>190.02879831060892</v>
      </c>
      <c r="F18" s="21">
        <f>MAX((F5+F16),0)</f>
        <v>753.2698644009871</v>
      </c>
      <c r="G18" s="21"/>
      <c r="H18" s="21"/>
      <c r="I18" s="21"/>
      <c r="J18" s="21">
        <f>MAX((J5+J16),0)</f>
        <v>11.589274110218442</v>
      </c>
      <c r="K18" s="21"/>
      <c r="L18" s="21">
        <f>MAX((L5+L16),0)</f>
        <v>0</v>
      </c>
      <c r="M18" s="21"/>
      <c r="N18" s="21">
        <f>MAX((N5+N16),0)</f>
        <v>512.69433788072251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0.20260524142072028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439.69448984101746</v>
      </c>
      <c r="C22" s="23">
        <f ca="1">C18*C20</f>
        <v>0</v>
      </c>
      <c r="D22" s="23">
        <f>D18*D20</f>
        <v>255.59212456331352</v>
      </c>
      <c r="E22" s="23">
        <f>E18*E20</f>
        <v>43.136537216508223</v>
      </c>
      <c r="F22" s="23">
        <f>F18*F20</f>
        <v>201.12305379506356</v>
      </c>
      <c r="G22" s="23"/>
      <c r="H22" s="23"/>
      <c r="I22" s="23"/>
      <c r="J22" s="23">
        <f>J18*J20</f>
        <v>4.1026030350173279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85.577027570000013</v>
      </c>
      <c r="C30" s="39">
        <f>IF(ISERROR(B30*3.6/1000000/'E Balans VL '!Z18*100),0,B30*3.6/1000000/'E Balans VL '!Z18*100)</f>
        <v>1.8131937418967022E-2</v>
      </c>
      <c r="D30" s="237" t="s">
        <v>660</v>
      </c>
    </row>
    <row r="31" spans="1:18">
      <c r="A31" s="6" t="s">
        <v>33</v>
      </c>
      <c r="B31" s="37">
        <f>IF( ISERROR(IND_ander_ele_kWh/1000),0,IND_ander_ele_kWh/1000)</f>
        <v>403.52216540000001</v>
      </c>
      <c r="C31" s="39">
        <f>IF(ISERROR(B31*3.6/1000000/'E Balans VL '!Z19*100),0,B31*3.6/1000000/'E Balans VL '!Z19*100)</f>
        <v>1.698516420539866E-2</v>
      </c>
      <c r="D31" s="237" t="s">
        <v>660</v>
      </c>
    </row>
    <row r="32" spans="1:18">
      <c r="A32" s="171" t="s">
        <v>41</v>
      </c>
      <c r="B32" s="37">
        <f>IF( ISERROR(IND_voed_ele_kWh/1000),0,IND_voed_ele_kWh/1000)</f>
        <v>251.58494132999999</v>
      </c>
      <c r="C32" s="39">
        <f>IF(ISERROR(B32*3.6/1000000/'E Balans VL '!Z20*100),0,B32*3.6/1000000/'E Balans VL '!Z20*100)</f>
        <v>4.2030110937015683E-2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1429.5188019999998</v>
      </c>
      <c r="C37" s="39">
        <f>IF(ISERROR(B37*3.6/1000000/'E Balans VL '!Z15*100),0,B37*3.6/1000000/'E Balans VL '!Z15*100)</f>
        <v>1.1541058823596717E-2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386.21135500999998</v>
      </c>
      <c r="C5" s="17">
        <f>'Eigen informatie GS &amp; warmtenet'!B60</f>
        <v>0</v>
      </c>
      <c r="D5" s="30">
        <f>IF(ISERROR(SUM(LB_lb_gas_kWh,LB_rest_gas_kWh)/1000),0,SUM(LB_lb_gas_kWh,LB_rest_gas_kWh)/1000)*0.902</f>
        <v>19493.171796713999</v>
      </c>
      <c r="E5" s="17">
        <f>B17*'E Balans VL '!I25/3.6*1000000/100</f>
        <v>9.9589079655474908</v>
      </c>
      <c r="F5" s="17">
        <f>B17*('E Balans VL '!L25/3.6*1000000+'E Balans VL '!N25/3.6*1000000)/100</f>
        <v>1411.6760529412445</v>
      </c>
      <c r="G5" s="18"/>
      <c r="H5" s="17"/>
      <c r="I5" s="17"/>
      <c r="J5" s="17">
        <f>('E Balans VL '!D25+'E Balans VL '!E25)/3.6*1000000*landbouw!B17/100</f>
        <v>55.600227696765131</v>
      </c>
      <c r="K5" s="17"/>
      <c r="L5" s="17">
        <f>L6*(-1)</f>
        <v>0</v>
      </c>
      <c r="M5" s="17"/>
      <c r="N5" s="17">
        <f>N6*(-1)</f>
        <v>0</v>
      </c>
      <c r="O5" s="17"/>
      <c r="P5" s="17"/>
      <c r="R5" s="32"/>
    </row>
    <row r="6" spans="1:18">
      <c r="A6" s="16" t="s">
        <v>491</v>
      </c>
      <c r="B6" s="17" t="s">
        <v>211</v>
      </c>
      <c r="C6" s="17">
        <f>'lokale energieproductie'!O92+'lokale energieproductie'!O61</f>
        <v>9848.5714285714294</v>
      </c>
      <c r="D6" s="310">
        <f>('lokale energieproductie'!P61+'lokale energieproductie'!P92)*(-1)</f>
        <v>-19697.142857142859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386.21135500999998</v>
      </c>
      <c r="C8" s="21">
        <f>C5+C6</f>
        <v>9848.5714285714294</v>
      </c>
      <c r="D8" s="21">
        <f>MAX((D5+D6),0)</f>
        <v>0</v>
      </c>
      <c r="E8" s="21">
        <f>MAX((E5+E6),0)</f>
        <v>9.9589079655474908</v>
      </c>
      <c r="F8" s="21">
        <f>MAX((F5+F6),0)</f>
        <v>1411.6760529412445</v>
      </c>
      <c r="G8" s="21"/>
      <c r="H8" s="21"/>
      <c r="I8" s="21"/>
      <c r="J8" s="21">
        <f>MAX((J5+J6),0)</f>
        <v>55.600227696765131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0.20260524142072028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78.248444821224552</v>
      </c>
      <c r="C12" s="23">
        <f ca="1">C8*C10</f>
        <v>2340.4840336134462</v>
      </c>
      <c r="D12" s="23">
        <f>D8*D10</f>
        <v>0</v>
      </c>
      <c r="E12" s="23">
        <f>E8*E10</f>
        <v>2.2606721081792807</v>
      </c>
      <c r="F12" s="23">
        <f>F8*F10</f>
        <v>376.91750613531229</v>
      </c>
      <c r="G12" s="23"/>
      <c r="H12" s="23"/>
      <c r="I12" s="23"/>
      <c r="J12" s="23">
        <f>J8*J10</f>
        <v>19.682480604654856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5.445835926306325E-2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78.671570722036904</v>
      </c>
      <c r="C26" s="247">
        <f>B26*'GWP N2O_CH4'!B5</f>
        <v>1652.102985162775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25.227264335373096</v>
      </c>
      <c r="C27" s="247">
        <f>B27*'GWP N2O_CH4'!B5</f>
        <v>529.77255104283506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0.86910197216529694</v>
      </c>
      <c r="C28" s="247">
        <f>B28*'GWP N2O_CH4'!B4</f>
        <v>269.42161137124208</v>
      </c>
      <c r="D28" s="50"/>
    </row>
    <row r="29" spans="1:4">
      <c r="A29" s="41" t="s">
        <v>277</v>
      </c>
      <c r="B29" s="247">
        <f>B34*'ha_N2O bodem landbouw'!B4</f>
        <v>5.255102476988724</v>
      </c>
      <c r="C29" s="247">
        <f>B29*'GWP N2O_CH4'!B4</f>
        <v>1629.0817678665044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1.1826836278981377E-3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5.3056814417651036E-5</v>
      </c>
      <c r="C5" s="463" t="s">
        <v>211</v>
      </c>
      <c r="D5" s="448">
        <f>SUM(D6:D11)</f>
        <v>1.2464043183469138E-4</v>
      </c>
      <c r="E5" s="448">
        <f>SUM(E6:E11)</f>
        <v>4.774430156865447E-4</v>
      </c>
      <c r="F5" s="461" t="s">
        <v>211</v>
      </c>
      <c r="G5" s="448">
        <f>SUM(G6:G11)</f>
        <v>0.14229257918953081</v>
      </c>
      <c r="H5" s="448">
        <f>SUM(H6:H11)</f>
        <v>3.3391285163979739E-2</v>
      </c>
      <c r="I5" s="463" t="s">
        <v>211</v>
      </c>
      <c r="J5" s="463" t="s">
        <v>211</v>
      </c>
      <c r="K5" s="463" t="s">
        <v>211</v>
      </c>
      <c r="L5" s="463" t="s">
        <v>211</v>
      </c>
      <c r="M5" s="448">
        <f>SUM(M6:M11)</f>
        <v>5.4835551190031079E-3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4.0507971515528653E-5</v>
      </c>
      <c r="C6" s="449"/>
      <c r="D6" s="892">
        <f>vkm_2011_GW_PW*SUMIFS(TableVerdeelsleutelVkm[CNG],TableVerdeelsleutelVkm[Voertuigtype],"Lichte voertuigen")*SUMIFS(TableECFTransport[EnergieConsumptieFactor (PJ per km)],TableECFTransport[Index],CONCATENATE($A6,"_CNG_CNG"))</f>
        <v>8.0490048960634439E-5</v>
      </c>
      <c r="E6" s="892">
        <f>vkm_2011_GW_PW*SUMIFS(TableVerdeelsleutelVkm[LPG],TableVerdeelsleutelVkm[Voertuigtype],"Lichte voertuigen")*SUMIFS(TableECFTransport[EnergieConsumptieFactor (PJ per km)],TableECFTransport[Index],CONCATENATE($A6,"_LPG_LPG"))</f>
        <v>3.1675719617966027E-4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7.5313992678357339E-2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2.1791077743232693E-2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3.0258836624698212E-3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2.979525377676303E-2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9.6251396296985371E-6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9.3880285750112325E-4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1.254884290212238E-5</v>
      </c>
      <c r="C8" s="449"/>
      <c r="D8" s="451">
        <f>vkm_2011_NGW_PW*SUMIFS(TableVerdeelsleutelVkm[CNG],TableVerdeelsleutelVkm[Voertuigtype],"Lichte voertuigen")*SUMIFS(TableECFTransport[EnergieConsumptieFactor (PJ per km)],TableECFTransport[Index],CONCATENATE($A8,"_CNG_CNG"))</f>
        <v>4.4150382874056945E-5</v>
      </c>
      <c r="E8" s="451">
        <f>vkm_2011_NGW_PW*SUMIFS(TableVerdeelsleutelVkm[LPG],TableVerdeelsleutelVkm[Voertuigtype],"Lichte voertuigen")*SUMIFS(TableECFTransport[EnergieConsumptieFactor (PJ per km)],TableECFTransport[Index],CONCATENATE($A8,"_LPG_LPG"))</f>
        <v>1.6068581950688443E-4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3.5676768973370042E-2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1.1590122013114037E-2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1.4713998723932449E-3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1.5065637610403785E-3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4.6026800331068511E-7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4.7468726638918212E-5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14.738004004903067</v>
      </c>
      <c r="C14" s="21"/>
      <c r="D14" s="21">
        <f t="shared" ref="D14:M14" si="0">((D5)*10^9/3600)+D12</f>
        <v>34.622342176303164</v>
      </c>
      <c r="E14" s="21">
        <f t="shared" si="0"/>
        <v>132.62305991292908</v>
      </c>
      <c r="F14" s="21"/>
      <c r="G14" s="21">
        <f t="shared" si="0"/>
        <v>39525.716441536337</v>
      </c>
      <c r="H14" s="21">
        <f t="shared" si="0"/>
        <v>9275.3569899943723</v>
      </c>
      <c r="I14" s="21"/>
      <c r="J14" s="21"/>
      <c r="K14" s="21"/>
      <c r="L14" s="21"/>
      <c r="M14" s="21">
        <f t="shared" si="0"/>
        <v>1523.2097552786411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0.20260524142072028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2.985996859472928</v>
      </c>
      <c r="C18" s="23"/>
      <c r="D18" s="23">
        <f t="shared" ref="D18:M18" si="1">D14*D16</f>
        <v>6.9937131196132398</v>
      </c>
      <c r="E18" s="23">
        <f t="shared" si="1"/>
        <v>30.105434600234901</v>
      </c>
      <c r="F18" s="23"/>
      <c r="G18" s="23">
        <f t="shared" si="1"/>
        <v>10553.366289890202</v>
      </c>
      <c r="H18" s="23">
        <f t="shared" si="1"/>
        <v>2309.5638905085989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1.2846754074466644E-3</v>
      </c>
      <c r="H50" s="321">
        <f t="shared" si="2"/>
        <v>0</v>
      </c>
      <c r="I50" s="321">
        <f t="shared" si="2"/>
        <v>0</v>
      </c>
      <c r="J50" s="321">
        <f t="shared" si="2"/>
        <v>0</v>
      </c>
      <c r="K50" s="321">
        <f t="shared" si="2"/>
        <v>0</v>
      </c>
      <c r="L50" s="321">
        <f t="shared" si="2"/>
        <v>0</v>
      </c>
      <c r="M50" s="321">
        <f t="shared" si="2"/>
        <v>3.9847757086184929E-5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1.2846754074466644E-3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3.9847757086184929E-5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356.85427984629564</v>
      </c>
      <c r="H54" s="21">
        <f t="shared" si="3"/>
        <v>0</v>
      </c>
      <c r="I54" s="21">
        <f t="shared" si="3"/>
        <v>0</v>
      </c>
      <c r="J54" s="21">
        <f t="shared" si="3"/>
        <v>0</v>
      </c>
      <c r="K54" s="21">
        <f t="shared" si="3"/>
        <v>0</v>
      </c>
      <c r="L54" s="21">
        <f t="shared" si="3"/>
        <v>0</v>
      </c>
      <c r="M54" s="21">
        <f t="shared" si="3"/>
        <v>11.068821412829147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0.20260524142072028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95.280092718960944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2378.3922422980663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6894</v>
      </c>
      <c r="C8" s="570">
        <f>B101</f>
        <v>8110.5882352941189</v>
      </c>
      <c r="D8" s="1043"/>
      <c r="E8" s="1043">
        <f>E101</f>
        <v>0</v>
      </c>
      <c r="F8" s="1044"/>
      <c r="G8" s="571"/>
      <c r="H8" s="1043">
        <f>I101</f>
        <v>0</v>
      </c>
      <c r="I8" s="1043">
        <f>G101+F101</f>
        <v>0</v>
      </c>
      <c r="J8" s="1043">
        <f>H101+D101+C101</f>
        <v>0</v>
      </c>
      <c r="K8" s="1043"/>
      <c r="L8" s="1043"/>
      <c r="M8" s="1043"/>
      <c r="N8" s="572"/>
      <c r="O8" s="573">
        <f>C8*$C$12+D8*$D$12+E8*$E$12+F8*$F$12+G8*$G$12+H8*$H$12+I8*$I$12+J8*$J$12</f>
        <v>1638.3388235294121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9272.3922422980668</v>
      </c>
      <c r="C10" s="583">
        <f t="shared" ref="C10:L10" si="0">SUM(C8:C9)</f>
        <v>8110.5882352941189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1638.3388235294121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9848.5714285714294</v>
      </c>
      <c r="C17" s="595">
        <f>B102</f>
        <v>11586.554621848743</v>
      </c>
      <c r="D17" s="596"/>
      <c r="E17" s="596">
        <f>E102</f>
        <v>0</v>
      </c>
      <c r="F17" s="1049"/>
      <c r="G17" s="597"/>
      <c r="H17" s="595">
        <f>I102</f>
        <v>0</v>
      </c>
      <c r="I17" s="596">
        <f>G102+F102</f>
        <v>0</v>
      </c>
      <c r="J17" s="596">
        <f>H102+D102+C102</f>
        <v>0</v>
      </c>
      <c r="K17" s="596"/>
      <c r="L17" s="596"/>
      <c r="M17" s="596"/>
      <c r="N17" s="1050"/>
      <c r="O17" s="598">
        <f>C17*$C$22+E17*$E$22+H17*$H$22+I17*$I$22+J17*$J$22+D17*$D$22+F17*$F$22+G17*$G$22+K17*$K$22+L17*$L$22</f>
        <v>2340.4840336134462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9848.5714285714294</v>
      </c>
      <c r="C20" s="582">
        <f>SUM(C17:C19)</f>
        <v>11586.554621848743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2340.4840336134462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12034</v>
      </c>
      <c r="C28" s="796">
        <v>2890</v>
      </c>
      <c r="D28" s="653" t="s">
        <v>890</v>
      </c>
      <c r="E28" s="652" t="s">
        <v>891</v>
      </c>
      <c r="F28" s="652" t="s">
        <v>892</v>
      </c>
      <c r="G28" s="652" t="s">
        <v>893</v>
      </c>
      <c r="H28" s="652" t="s">
        <v>894</v>
      </c>
      <c r="I28" s="652" t="s">
        <v>891</v>
      </c>
      <c r="J28" s="795">
        <v>39242</v>
      </c>
      <c r="K28" s="795">
        <v>39261</v>
      </c>
      <c r="L28" s="652" t="s">
        <v>895</v>
      </c>
      <c r="M28" s="652">
        <v>1532</v>
      </c>
      <c r="N28" s="652">
        <v>6894</v>
      </c>
      <c r="O28" s="652">
        <v>9848.5714285714294</v>
      </c>
      <c r="P28" s="652">
        <v>19697.142857142859</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1532</v>
      </c>
      <c r="N58" s="610">
        <f>SUM(N28:N57)</f>
        <v>6894</v>
      </c>
      <c r="O58" s="610">
        <f t="shared" ref="O58:W58" si="2">SUM(O28:O57)</f>
        <v>9848.5714285714294</v>
      </c>
      <c r="P58" s="610">
        <f t="shared" si="2"/>
        <v>19697.142857142859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1532</v>
      </c>
      <c r="N61" s="615">
        <f t="shared" si="4"/>
        <v>6894</v>
      </c>
      <c r="O61" s="615">
        <f t="shared" si="4"/>
        <v>9848.5714285714294</v>
      </c>
      <c r="P61" s="615">
        <f t="shared" si="4"/>
        <v>19697.142857142859</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0.58823529411764719</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8110.5882352941189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11586.554621848743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2019-08-12T08:22:40Z</dcterms:modified>
</cp:coreProperties>
</file>