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P31"/>
  <c r="O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N19" i="59" l="1"/>
  <c r="N20" s="1"/>
  <c r="N90" i="14"/>
  <c r="L18" i="59"/>
  <c r="L20" s="1"/>
  <c r="L90" i="14"/>
  <c r="K18" i="59"/>
  <c r="K20" s="1"/>
  <c r="K90" i="14"/>
  <c r="L78"/>
  <c r="L8" i="59"/>
  <c r="L10" s="1"/>
  <c r="H90" i="14"/>
  <c r="H18" i="59"/>
  <c r="H78" i="14"/>
  <c r="H8" i="59"/>
  <c r="H10" s="1"/>
  <c r="E20"/>
  <c r="K10"/>
  <c r="H20"/>
  <c r="C98" i="18"/>
  <c r="F101" s="1"/>
  <c r="D13" i="15"/>
  <c r="O90" i="14"/>
  <c r="B10" i="18"/>
  <c r="G20"/>
  <c r="C13" i="15"/>
  <c r="O78" i="14"/>
  <c r="O9" i="59"/>
  <c r="O10" s="1"/>
  <c r="R9" i="14"/>
  <c r="P25" i="48"/>
  <c r="R25" i="14"/>
  <c r="G78"/>
  <c r="N10" i="59"/>
  <c r="B8" i="18"/>
  <c r="O19"/>
  <c r="L13" i="15"/>
  <c r="N13"/>
  <c r="Q77" i="14"/>
  <c r="P9" i="59" s="1"/>
  <c r="O9" i="18"/>
  <c r="O18"/>
  <c r="G88" i="14"/>
  <c r="F89"/>
  <c r="I101" i="18"/>
  <c r="H8" s="1"/>
  <c r="H101"/>
  <c r="D101"/>
  <c r="G101"/>
  <c r="C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89" l="1"/>
  <c r="C19" i="59" s="1"/>
  <c r="F19"/>
  <c r="E101" i="18"/>
  <c r="E8" s="1"/>
  <c r="G90" i="14"/>
  <c r="G18" i="59"/>
  <c r="G20" s="1"/>
  <c r="B89" i="14"/>
  <c r="B19"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G5" i="48" l="1"/>
  <c r="H10" i="14"/>
  <c r="H16" s="1"/>
  <c r="M90"/>
  <c r="M17" i="59"/>
  <c r="M20" s="1"/>
  <c r="H5" i="48"/>
  <c r="I10" i="14"/>
  <c r="I16" s="1"/>
  <c r="O17" i="18"/>
  <c r="O20" s="1"/>
  <c r="M78" i="14"/>
  <c r="M8" i="59"/>
  <c r="M10" s="1"/>
  <c r="F90" i="14"/>
  <c r="F17" i="59"/>
  <c r="F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90" i="14" l="1"/>
  <c r="B17" i="59"/>
  <c r="B20" s="1"/>
  <c r="B78" i="14"/>
  <c r="B4" i="6" s="1"/>
  <c r="B8" i="59"/>
  <c r="B1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24"/>
  <c r="I28"/>
  <c r="I22"/>
  <c r="I30"/>
  <c r="I29"/>
  <c r="I31"/>
  <c r="I25"/>
  <c r="I26"/>
  <c r="D4"/>
  <c r="D22" s="1"/>
  <c r="E11" i="14"/>
  <c r="H32" i="48"/>
  <c r="H25"/>
  <c r="H28"/>
  <c r="H29"/>
  <c r="H26"/>
  <c r="H22"/>
  <c r="H24"/>
  <c r="H30"/>
  <c r="H23"/>
  <c r="C4"/>
  <c r="D11" i="14"/>
  <c r="G32" i="48"/>
  <c r="G29"/>
  <c r="G25"/>
  <c r="G26"/>
  <c r="G24"/>
  <c r="G22"/>
  <c r="G30"/>
  <c r="G23"/>
  <c r="C11" i="14"/>
  <c r="B4" i="48"/>
  <c r="F32"/>
  <c r="F31"/>
  <c r="F29"/>
  <c r="F27"/>
  <c r="F30"/>
  <c r="F28"/>
  <c r="F24"/>
  <c r="N32"/>
  <c r="N31"/>
  <c r="N27"/>
  <c r="N29"/>
  <c r="N24"/>
  <c r="N28"/>
  <c r="N30"/>
  <c r="B10"/>
  <c r="C19" i="14"/>
  <c r="E31" i="48"/>
  <c r="E29"/>
  <c r="E28"/>
  <c r="E32"/>
  <c r="E24"/>
  <c r="E30"/>
  <c r="M29"/>
  <c r="M32"/>
  <c r="M26"/>
  <c r="M25"/>
  <c r="M22"/>
  <c r="M24"/>
  <c r="M30"/>
  <c r="M23"/>
  <c r="L10" i="14"/>
  <c r="L16" s="1"/>
  <c r="L27" s="1"/>
  <c r="K5" i="48"/>
  <c r="D29"/>
  <c r="D30"/>
  <c r="D28"/>
  <c r="D24"/>
  <c r="D31"/>
  <c r="D32"/>
  <c r="L29"/>
  <c r="L28"/>
  <c r="L32"/>
  <c r="L27"/>
  <c r="L22"/>
  <c r="L30"/>
  <c r="L31"/>
  <c r="L24"/>
  <c r="P5"/>
  <c r="P23" s="1"/>
  <c r="Q10" i="14"/>
  <c r="K28" i="48"/>
  <c r="K32"/>
  <c r="K25"/>
  <c r="K27"/>
  <c r="K31"/>
  <c r="K24"/>
  <c r="K29"/>
  <c r="K26"/>
  <c r="K30"/>
  <c r="K22"/>
  <c r="C24" i="14"/>
  <c r="C26" s="1"/>
  <c r="B7" i="48"/>
  <c r="J28"/>
  <c r="J27"/>
  <c r="J32"/>
  <c r="J29"/>
  <c r="J30"/>
  <c r="J24"/>
  <c r="J31"/>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15"/>
  <c r="C22" i="14"/>
  <c r="P8" i="48"/>
  <c r="P26" s="1"/>
  <c r="Q13" i="14"/>
  <c r="Q16" s="1"/>
  <c r="Q27" s="1"/>
  <c r="Q63" s="1"/>
  <c r="E9" i="48"/>
  <c r="E27" s="1"/>
  <c r="F20" i="14"/>
  <c r="F22" s="1"/>
  <c r="E20"/>
  <c r="E22" s="1"/>
  <c r="D9" i="48"/>
  <c r="D27" s="1"/>
  <c r="O5"/>
  <c r="O23" s="1"/>
  <c r="P10" i="14"/>
  <c r="J7" i="48"/>
  <c r="J25" s="1"/>
  <c r="K24" i="14"/>
  <c r="K26" s="1"/>
  <c r="P22" i="48"/>
  <c r="C20" i="14"/>
  <c r="B9" i="48"/>
  <c r="J46" i="14"/>
  <c r="J61" s="1"/>
  <c r="I20" i="15"/>
  <c r="J40" i="14" s="1"/>
  <c r="K33"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<sst xmlns="http://schemas.openxmlformats.org/spreadsheetml/2006/main" count="2480" uniqueCount="930">
  <si>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</si>
  <si>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</si>
  <si>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</si>
  <si>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</si>
  <si>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</si>
  <si>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</si>
  <si>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</si>
  <si>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</si>
  <si>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</si>
  <si>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</si>
  <si>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</si>
  <si>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</si>
  <si>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</si>
  <si>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</si>
  <si>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</si>
  <si>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</si>
  <si>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</si>
  <si>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</si>
  <si>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</si>
  <si>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</si>
  <si>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</si>
  <si>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</si>
  <si>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</si>
  <si>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</si>
  <si>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</si>
  <si>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</si>
  <si>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</si>
  <si>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</si>
  <si>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</si>
  <si>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</si>
  <si>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</si>
  <si>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</si>
  <si>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</si>
  <si>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</si>
  <si>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</si>
  <si>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</si>
  <si>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</si>
  <si>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</si>
  <si>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</si>
  <si>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</si>
  <si>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</si>
  <si>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</si>
  <si>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</si>
  <si>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</si>
  <si>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</si>
  <si>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</si>
  <si>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</si>
  <si>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</si>
  <si>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</si>
  <si>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</si>
  <si>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</si>
  <si>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</si>
  <si>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</si>
  <si>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</si>
  <si>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</si>
  <si>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</si>
  <si>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</si>
  <si>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</si>
  <si>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</si>
  <si>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</si>
  <si>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</si>
  <si>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</si>
  <si>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</si>
  <si>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</si>
  <si>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</si>
  <si>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</si>
  <si>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</si>
  <si>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</si>
  <si>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</si>
  <si>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</si>
  <si>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</si>
  <si>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</si>
  <si>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</si>
  <si>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</si>
  <si>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</si>
  <si>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</si>
  <si>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</si>
  <si>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</si>
  <si>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</si>
  <si>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</si>
  <si>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</si>
  <si>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</si>
  <si>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</si>
  <si>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</si>
  <si>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</si>
  <si>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</si>
  <si>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</si>
  <si>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</si>
  <si>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</si>
  <si>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</si>
  <si>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</si>
  <si>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</si>
  <si>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</si>
  <si>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</si>
  <si>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</si>
  <si>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</si>
  <si>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</si>
  <si>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</si>
  <si>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</si>
  <si>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</si>
  <si>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</si>
  <si>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</si>
  <si>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</si>
  <si>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</si>
  <si>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</si>
  <si>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</si>
  <si>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</si>
  <si>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</si>
  <si>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</si>
  <si>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</si>
  <si>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</si>
  <si>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</si>
  <si>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</si>
  <si>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</si>
  <si>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</si>
  <si>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</si>
  <si>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</si>
  <si>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</si>
  <si>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</si>
  <si>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</si>
  <si>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</si>
  <si>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</si>
  <si>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</si>
  <si>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</si>
  <si>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</si>
  <si>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</si>
  <si>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</si>
  <si>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</si>
  <si>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</si>
  <si>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</si>
  <si>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</si>
  <si>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</si>
  <si>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</si>
  <si>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</si>
  <si>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</si>
  <si>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</si>
  <si>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</si>
  <si>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</si>
  <si>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</si>
  <si>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</si>
  <si>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</si>
  <si>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</si>
  <si>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</si>
  <si>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</si>
  <si>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</si>
  <si>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</si>
  <si>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</si>
  <si>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</si>
  <si>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</si>
  <si>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</si>
  <si>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</si>
  <si>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</si>
  <si>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</si>
  <si>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</si>
  <si>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</si>
  <si>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</si>
  <si>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</si>
  <si>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</si>
  <si>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</si>
  <si>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</si>
  <si>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</si>
  <si>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</si>
  <si>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</si>
  <si>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</si>
  <si>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</si>
  <si>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</si>
  <si>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</si>
  <si>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</si>
  <si>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</si>
  <si>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</si>
  <si>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</si>
  <si>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</si>
  <si>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</si>
  <si>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</si>
  <si>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</si>
  <si>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</si>
  <si>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</si>
  <si>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</si>
  <si>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</si>
  <si>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</si>
  <si>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</si>
  <si>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</si>
  <si>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</si>
  <si>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</si>
  <si>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</si>
  <si>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</si>
  <si>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</si>
  <si>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</si>
  <si>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</si>
  <si>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</si>
  <si>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</si>
  <si>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</si>
  <si>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</si>
  <si>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</si>
  <si>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</si>
  <si>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</si>
  <si>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</si>
  <si>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</si>
  <si>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</si>
  <si>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</si>
  <si>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</si>
  <si>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</si>
  <si>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</si>
  <si>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</si>
  <si>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</si>
  <si>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</si>
  <si>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</si>
  <si>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</si>
  <si>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</si>
  <si>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</si>
  <si>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</si>
  <si>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</si>
  <si>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</si>
  <si>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</si>
  <si>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</si>
  <si>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</si>
  <si>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</si>
  <si>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</si>
  <si>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</si>
  <si>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</si>
  <si>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</si>
  <si>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</si>
  <si>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</si>
  <si>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</si>
  <si>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</si>
  <si>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</si>
  <si>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</si>
  <si>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</si>
  <si>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</si>
  <si>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</si>
  <si>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</si>
  <si>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</si>
  <si>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</si>
  <si>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</si>
  <si>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</si>
  <si>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</si>
  <si>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</si>
  <si>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</si>
  <si>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</si>
  <si>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</si>
  <si>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</si>
  <si>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</si>
  <si>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</si>
  <si>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</si>
  <si>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</si>
  <si>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</si>
  <si>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</si>
  <si>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</si>
  <si>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</si>
  <si>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</si>
  <si>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</si>
  <si>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</si>
  <si>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</si>
  <si>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</si>
  <si>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</si>
  <si>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</si>
  <si>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</si>
  <si>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</si>
  <si>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</si>
  <si>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</si>
  <si>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</si>
  <si>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</si>
  <si>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</si>
  <si>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</si>
  <si>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</si>
  <si>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</si>
  <si>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</si>
  <si>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</si>
  <si>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</si>
  <si>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</si>
  <si>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</si>
  <si>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</si>
  <si>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</si>
  <si>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</si>
  <si>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</si>
  <si>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</si>
  <si>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</si>
  <si>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</si>
  <si>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</si>
  <si>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</si>
  <si>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</si>
  <si>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</si>
  <si>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</si>
  <si>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</si>
  <si>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</si>
  <si>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</si>
  <si>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</si>
  <si>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</si>
  <si>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</si>
  <si>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</si>
  <si>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</si>
  <si>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</si>
  <si>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</si>
  <si>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</si>
  <si>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</si>
  <si>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</si>
  <si>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</si>
  <si>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</si>
  <si>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</si>
  <si>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</si>
  <si>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</si>
  <si>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</si>
  <si>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</si>
  <si>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</si>
  <si>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</si>
  <si>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</si>
  <si>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</si>
  <si>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</si>
  <si>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</si>
  <si>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</si>
  <si>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</si>
  <si>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</si>
  <si>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</si>
  <si>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</si>
  <si>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</si>
  <si>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</si>
  <si>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</si>
  <si>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</si>
  <si>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</si>
  <si>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</si>
  <si>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</si>
  <si>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</si>
  <si>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</si>
  <si>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</si>
  <si>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</si>
  <si>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</si>
  <si>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</si>
  <si>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</si>
  <si>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</si>
  <si>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</si>
  <si>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</si>
  <si>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</si>
  <si>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</si>
  <si>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</si>
  <si>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</si>
  <si>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</si>
  <si>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</si>
  <si>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</si>
  <si>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</si>
  <si>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</si>
  <si>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</si>
  <si>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</si>
  <si>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</si>
  <si>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</si>
  <si>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</si>
  <si>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</si>
  <si>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</si>
  <si>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</si>
  <si>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</si>
  <si>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</si>
  <si>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</si>
  <si>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</si>
  <si>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</si>
  <si>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</si>
  <si>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</si>
  <si>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</si>
  <si>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</si>
  <si>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</si>
  <si>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</si>
  <si>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</si>
  <si>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</si>
  <si>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</si>
  <si>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</si>
  <si>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</si>
  <si>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</si>
  <si>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</si>
  <si>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</si>
  <si>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</si>
  <si>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</si>
  <si>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</si>
  <si>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</si>
  <si>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</si>
  <si>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</si>
  <si>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</si>
  <si>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</si>
  <si>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</si>
  <si>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</si>
  <si>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</si>
  <si>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</si>
  <si>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</si>
  <si>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</si>
  <si>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</si>
  <si>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</si>
  <si>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</si>
  <si>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</si>
  <si>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</si>
  <si>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</si>
  <si>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</si>
  <si>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</si>
  <si>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</si>
  <si>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</si>
  <si>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</si>
  <si>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</si>
  <si>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</si>
  <si>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</si>
  <si>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</si>
  <si>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</si>
  <si>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</si>
  <si>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</si>
  <si>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</si>
  <si>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</si>
  <si>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</si>
  <si>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</si>
  <si>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</si>
  <si>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</si>
  <si>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</si>
  <si>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</si>
  <si>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</si>
  <si>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</si>
  <si>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</si>
  <si>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</si>
  <si>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</si>
  <si>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</si>
  <si>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</si>
  <si>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</si>
  <si>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</si>
  <si>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</si>
  <si>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</si>
  <si>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</si>
  <si>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</si>
  <si>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</si>
  <si>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</si>
  <si>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</si>
  <si>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</si>
  <si>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</si>
  <si>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</si>
  <si>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</si>
  <si>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</si>
  <si>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</si>
  <si>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</si>
  <si>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</si>
  <si>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</si>
  <si>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</si>
  <si>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</si>
  <si>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</si>
  <si>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</si>
  <si>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</si>
  <si>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</si>
  <si>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</si>
  <si>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</si>
  <si>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</si>
  <si>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</si>
  <si>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</si>
  <si>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</si>
  <si>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</si>
  <si>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</si>
  <si>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</si>
  <si>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</si>
  <si>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</si>
  <si>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</si>
  <si>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</si>
  <si>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</si>
  <si>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</si>
  <si>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</si>
  <si>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</si>
  <si>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</si>
  <si>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</si>
  <si>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</si>
  <si>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</si>
  <si>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</si>
  <si>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</si>
  <si>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</si>
  <si>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</si>
  <si>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</si>
  <si>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</si>
  <si>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</si>
  <si>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</si>
  <si>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</si>
  <si>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</si>
  <si>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</si>
  <si>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</si>
  <si>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</si>
  <si>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</si>
  <si>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</si>
  <si>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</si>
  <si>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</si>
  <si>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</si>
  <si>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</si>
  <si>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</si>
  <si>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</si>
  <si>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</si>
  <si>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</si>
  <si>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</si>
  <si>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</si>
  <si>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</si>
  <si>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</si>
  <si>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</si>
  <si>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</si>
  <si>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</si>
  <si>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</si>
  <si>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</si>
  <si>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</si>
  <si>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</si>
  <si>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</si>
  <si>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</si>
  <si>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</si>
  <si>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</si>
  <si>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</si>
  <si>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</si>
  <si>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</si>
  <si>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</si>
  <si>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</si>
  <si>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</si>
  <si>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</si>
  <si>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</si>
  <si>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</si>
  <si>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</si>
  <si>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</si>
  <si>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</si>
  <si>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</si>
  <si>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</si>
  <si>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</si>
  <si>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</si>
  <si>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</si>
  <si>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</si>
  <si>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</si>
  <si>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</si>
  <si>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</si>
  <si>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</si>
  <si>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</si>
  <si>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</si>
  <si>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</si>
  <si>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</si>
  <si>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</si>
  <si>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</si>
  <si>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</si>
  <si>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</si>
  <si>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</si>
  <si>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</si>
  <si>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</si>
  <si>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</si>
  <si>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</si>
  <si>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</si>
  <si>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</si>
  <si>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</si>
  <si>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</si>
  <si>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</si>
  <si>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</si>
  <si>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</si>
  <si>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</si>
  <si>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</si>
  <si>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</si>
  <si>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</si>
  <si>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</si>
  <si>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</si>
  <si>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</si>
  <si>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</si>
  <si>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</si>
  <si>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</si>
  <si>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</si>
  <si>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</si>
  <si>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</si>
  <si>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</si>
  <si>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</si>
  <si>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</si>
  <si>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</si>
  <si>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</si>
  <si>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</si>
  <si>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</si>
  <si>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</si>
  <si>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</si>
  <si>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</si>
  <si>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</si>
  <si>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</si>
  <si>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</si>
  <si>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</si>
  <si>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</si>
  <si>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</si>
  <si>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</si>
  <si>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</si>
  <si>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</si>
  <si>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</si>
  <si>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</si>
  <si>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</si>
  <si>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</si>
  <si>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</si>
  <si>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</si>
  <si>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</si>
  <si>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</si>
  <si>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</si>
  <si>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</si>
  <si>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</si>
  <si>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</si>
  <si>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</si>
  <si>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</si>
  <si>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</si>
  <si>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</si>
  <si>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</si>
  <si>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</si>
  <si>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</si>
  <si>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</si>
  <si>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</si>
  <si>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</si>
  <si>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</si>
  <si>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</si>
  <si>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</si>
  <si>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</si>
  <si>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</si>
  <si>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</si>
  <si>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</si>
  <si>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</si>
  <si>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</si>
  <si>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</si>
  <si>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</si>
  <si>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</si>
  <si>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</si>
  <si>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</si>
  <si>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</si>
  <si>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</si>
  <si>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</si>
  <si>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</si>
  <si>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</si>
  <si>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</si>
  <si>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</si>
  <si>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</si>
  <si>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</si>
  <si>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</si>
  <si>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</si>
  <si>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</si>
  <si>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</si>
  <si>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</si>
  <si>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</si>
  <si>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</si>
  <si>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</si>
  <si>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</si>
  <si>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</si>
  <si>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</si>
  <si>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</si>
  <si>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</si>
  <si>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</si>
  <si>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</si>
  <si>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</si>
  <si>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</si>
  <si>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</si>
  <si>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</si>
  <si>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</si>
  <si>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</si>
  <si>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</si>
  <si>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</si>
  <si>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</si>
  <si>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</si>
  <si>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</si>
  <si>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</si>
  <si>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</si>
  <si>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</si>
  <si>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</si>
  <si>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</si>
  <si>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</si>
  <si>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</si>
  <si>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</si>
  <si>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</si>
  <si>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</si>
  <si>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</si>
  <si>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</si>
  <si>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</si>
  <si>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</si>
  <si>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</si>
  <si>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</si>
  <si>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</si>
  <si>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</si>
  <si>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</si>
  <si>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</si>
  <si>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</si>
  <si>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</si>
  <si>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</si>
  <si>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</si>
  <si>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</si>
  <si>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</si>
  <si>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</si>
  <si>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</si>
  <si>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</si>
  <si>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</si>
  <si>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</si>
  <si>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</si>
  <si>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</si>
  <si>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</si>
  <si>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</si>
  <si>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</si>
  <si>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</si>
  <si>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</si>
  <si>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</si>
  <si>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</si>
  <si>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</si>
  <si>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</si>
  <si>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</si>
  <si>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</si>
  <si>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</si>
  <si>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</si>
  <si>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</si>
  <si>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</si>
  <si>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</si>
  <si>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</si>
  <si>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</si>
  <si>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</si>
  <si>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</si>
  <si>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</si>
  <si>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</si>
  <si>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</si>
  <si>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</si>
  <si>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</si>
  <si>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</si>
  <si>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</si>
  <si>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</si>
  <si>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</si>
  <si>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</si>
  <si>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</si>
  <si>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</si>
  <si>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</si>
  <si>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</si>
  <si>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</si>
  <si>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</si>
  <si>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</si>
  <si>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</si>
  <si>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</si>
  <si>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</si>
  <si>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</si>
  <si>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</si>
  <si>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</si>
  <si>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</si>
  <si>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</si>
  <si>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</si>
  <si>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</si>
  <si>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</si>
  <si>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</si>
  <si>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</si>
  <si>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</si>
  <si>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</si>
  <si>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</si>
  <si>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</si>
  <si>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</si>
  <si>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</si>
  <si>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</si>
  <si>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</si>
  <si>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</si>
  <si>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</si>
  <si>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</si>
  <si>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</si>
  <si>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</si>
  <si>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</si>
  <si>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</si>
  <si>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</si>
  <si>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</si>
  <si>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</si>
  <si>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</si>
  <si>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</si>
  <si>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</si>
  <si>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</si>
  <si>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</si>
  <si>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</si>
  <si>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</si>
  <si>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</si>
  <si>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</si>
  <si>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</si>
  <si>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</si>
  <si>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</si>
  <si>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</si>
  <si>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</si>
  <si>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</si>
  <si>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</si>
  <si>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</si>
  <si>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</si>
  <si>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</si>
  <si>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</si>
  <si>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</si>
  <si>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</si>
  <si>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</si>
  <si>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</si>
  <si>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</si>
  <si>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</si>
  <si>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</si>
  <si>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</si>
  <si>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</si>
  <si>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</si>
  <si>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</si>
  <si>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</si>
  <si>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</si>
  <si>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</si>
  <si>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</si>
  <si>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</si>
  <si>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</si>
  <si>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</si>
  <si>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</si>
  <si>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</si>
  <si>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</si>
  <si>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</si>
  <si>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</si>
  <si>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</si>
  <si>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</si>
  <si>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</si>
  <si>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</si>
  <si>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</si>
  <si>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</si>
  <si>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</si>
  <si>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</si>
  <si>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</si>
  <si>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</si>
  <si>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</si>
  <si>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</si>
  <si>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</si>
  <si>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</si>
  <si>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</si>
  <si>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</si>
  <si>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</si>
  <si>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</si>
  <si>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</si>
  <si>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</si>
  <si>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</si>
  <si>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</si>
  <si>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</si>
  <si>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</si>
  <si>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</si>
  <si>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</si>
  <si>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</si>
  <si>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</si>
  <si>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</si>
  <si>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</si>
  <si>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</si>
  <si>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</si>
  <si>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</si>
  <si>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</si>
  <si>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</si>
  <si>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</si>
  <si>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</si>
  <si>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</si>
  <si>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</si>
  <si>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</si>
  <si>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</si>
  <si>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</si>
  <si>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</si>
  <si>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</si>
  <si>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</si>
  <si>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</si>
  <si>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</si>
  <si>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</si>
  <si>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</si>
  <si>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</si>
  <si>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</si>
  <si>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</si>
  <si>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</si>
  <si>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</si>
  <si>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</si>
  <si>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</si>
  <si>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</si>
  <si>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</si>
  <si>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</si>
  <si>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</si>
  <si>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</si>
  <si>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</si>
  <si>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</si>
  <si>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</si>
  <si>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</si>
  <si>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</si>
  <si>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</si>
  <si>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</si>
  <si>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</si>
  <si>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</si>
  <si>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</si>
  <si>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</si>
  <si>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</si>
  <si>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</si>
  <si>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</si>
  <si>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</si>
  <si>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</si>
  <si>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</si>
  <si>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</si>
  <si>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</si>
  <si>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</si>
  <si>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</si>
  <si>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</si>
  <si>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</si>
  <si>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</si>
  <si>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</si>
  <si>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</si>
  <si>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</si>
  <si>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</si>
  <si>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</si>
  <si>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</si>
  <si>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</si>
  <si>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</si>
  <si>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</si>
  <si>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</si>
  <si>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</si>
  <si>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12021</t>
  </si>
  <si>
    <t>LIER</t>
  </si>
  <si>
    <t>Paarden&amp;pony's 200 - 600 kg</t>
  </si>
  <si>
    <t>Paarden&amp;pony's &lt; 200 kg</t>
  </si>
  <si>
    <t>referentietaak LNE (2017); Jaarverslag De Lijn (2015)</t>
  </si>
  <si>
    <t>op basis van VEA (maart 2018) en Inventaris Hernieuwbare Energiebronnen (juni 2018)</t>
  </si>
  <si>
    <t>VEA (januari 2017)</t>
  </si>
  <si>
    <t>VEA (juni 2018)</t>
  </si>
  <si>
    <t>Marc Pittoors</t>
  </si>
  <si>
    <t>Donderheide 35, 2500 Koningshooikt</t>
  </si>
  <si>
    <t>WKK-0055 Marc Pittoors</t>
  </si>
  <si>
    <t>interne verbrandingsmotor</t>
  </si>
  <si>
    <t>WKK interne verbrandinsgmotor (gas)</t>
  </si>
  <si>
    <t>IVEKA</t>
  </si>
  <si>
    <t>Costermans Marc</t>
  </si>
  <si>
    <t>Beekstraat 104, 2500 Koningshooikt</t>
  </si>
  <si>
    <t>WKK-0100 Costermans Marc</t>
  </si>
  <si>
    <t>Danny Dens</t>
  </si>
  <si>
    <t>Beekstraat 114 , 2500 Koningshooikt</t>
  </si>
  <si>
    <t>WKK-0199 Danny Dens</t>
  </si>
  <si>
    <t>WKK interne verbrandinsgmotor (vloeibaar)</t>
  </si>
  <si>
    <t>Vanlommel-Vanreusel</t>
  </si>
  <si>
    <t>Heistraat 31 A , 2500 Lier</t>
  </si>
  <si>
    <t>WKK-0193 Vanlommel-Vanreusel</t>
  </si>
  <si>
    <t>Heirstraat 31 b1 , 2500 Lier</t>
  </si>
  <si>
    <t>Fikoplant en Konaplant</t>
  </si>
  <si>
    <t>Tallaart 58 , 2500 Koningshooikt</t>
  </si>
  <si>
    <t>WKK-0201 Fikoplant en Konaplant</t>
  </si>
  <si>
    <t>Tallaart 46 , 2500 Koningshooikt</t>
  </si>
  <si>
    <t>Groeikracht Hooikt NV</t>
  </si>
  <si>
    <t>Haagstraat 5a , 2500 Koningshooikt</t>
  </si>
  <si>
    <t>WKK-0204 Groeikracht Hooikt</t>
  </si>
  <si>
    <t>Anne Mortelmans</t>
  </si>
  <si>
    <t>Maaikeneveld 47 , 2500 Lier</t>
  </si>
  <si>
    <t>WKK-0351 Anne Mortelmans</t>
  </si>
  <si>
    <t>OCMW Lier</t>
  </si>
  <si>
    <t>Paradeplein 2 2, 2500 Lier</t>
  </si>
  <si>
    <t>WKK-0596 OCMW Lier</t>
  </si>
  <si>
    <t>Transvaalstraat 44 , 2500 Lier</t>
  </si>
  <si>
    <t>WKK-0672 Eddy Van De Kerkhof Lier</t>
  </si>
  <si>
    <t>Voorbos 4 , 2500 Lier</t>
  </si>
  <si>
    <t xml:space="preserve">landbouw </t>
  </si>
  <si>
    <t>IVAREM</t>
  </si>
  <si>
    <t>Schoutetstraat 2 , 2800 Mechelen</t>
  </si>
  <si>
    <t>BGS-0009 IVAREM (GSC rest)</t>
  </si>
  <si>
    <t>biogas - stortgas</t>
  </si>
  <si>
    <t>niet WKK interne verbrandingsmotor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</si>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</sst>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234312.03058985728</c:v>
                </c:pt>
                <c:pt idx="1">
                  <c:v>151460.26143697128</c:v>
                </c:pt>
                <c:pt idx="2">
                  <c:v>2230.6860000000001</c:v>
                </c:pt>
                <c:pt idx="3">
                  <c:v>117412.33882421636</c:v>
                </c:pt>
                <c:pt idx="4">
                  <c:v>129796.01244271842</c:v>
                </c:pt>
                <c:pt idx="5">
                  <c:v>161449.03690439591</c:v>
                </c:pt>
                <c:pt idx="6">
                  <c:v>4750.4218661714303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234312.03058985728</c:v>
                </c:pt>
                <c:pt idx="1">
                  <c:v>151460.26143697128</c:v>
                </c:pt>
                <c:pt idx="2">
                  <c:v>2230.6860000000001</c:v>
                </c:pt>
                <c:pt idx="3">
                  <c:v>117412.33882421636</c:v>
                </c:pt>
                <c:pt idx="4">
                  <c:v>129796.01244271842</c:v>
                </c:pt>
                <c:pt idx="5">
                  <c:v>161449.03690439591</c:v>
                </c:pt>
                <c:pt idx="6">
                  <c:v>4750.4218661714303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44896.260674857047</c:v>
                </c:pt>
                <c:pt idx="2">
                  <c:v>31081.551806241783</c:v>
                </c:pt>
                <c:pt idx="3">
                  <c:v>433.89072420158533</c:v>
                </c:pt>
                <c:pt idx="4">
                  <c:v>24923.687868065284</c:v>
                </c:pt>
                <c:pt idx="5">
                  <c:v>25017.235827382021</c:v>
                </c:pt>
                <c:pt idx="6">
                  <c:v>41355.805602845605</c:v>
                </c:pt>
                <c:pt idx="7">
                  <c:v>1230.2044484676619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43840"/>
        <c:axId val="184001280"/>
      </c:barChart>
      <c:catAx>
        <c:axId val="183843840"/>
        <c:scaling>
          <c:orientation val="minMax"/>
        </c:scaling>
        <c:axPos val="b"/>
        <c:numFmt formatCode="General" sourceLinked="0"/>
        <c:tickLblPos val="nextTo"/>
        <c:crossAx val="184001280"/>
        <c:crosses val="autoZero"/>
        <c:auto val="1"/>
        <c:lblAlgn val="ctr"/>
        <c:lblOffset val="100"/>
      </c:catAx>
      <c:valAx>
        <c:axId val="184001280"/>
        <c:scaling>
          <c:orientation val="minMax"/>
        </c:scaling>
        <c:axPos val="l"/>
        <c:majorGridlines/>
        <c:numFmt formatCode="#,##0" sourceLinked="1"/>
        <c:tickLblPos val="nextTo"/>
        <c:crossAx val="18384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44896.260674857047</c:v>
                </c:pt>
                <c:pt idx="2">
                  <c:v>31081.551806241783</c:v>
                </c:pt>
                <c:pt idx="3">
                  <c:v>433.89072420158533</c:v>
                </c:pt>
                <c:pt idx="4">
                  <c:v>24923.687868065284</c:v>
                </c:pt>
                <c:pt idx="5">
                  <c:v>25017.235827382021</c:v>
                </c:pt>
                <c:pt idx="6">
                  <c:v>41355.805602845605</c:v>
                </c:pt>
                <c:pt idx="7">
                  <c:v>1230.2044484676619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12021</v>
      </c>
      <c r="B6" s="415"/>
      <c r="C6" s="416"/>
    </row>
    <row r="7" spans="1:7" s="413" customFormat="1" ht="15.75" customHeight="1">
      <c r="A7" s="417" t="str">
        <f>txtMunicipality</f>
        <v>LIER</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0.19450999567020427</v>
      </c>
      <c r="C17" s="524">
        <f ca="1">'EF ele_warmte'!B22</f>
        <v>0.21066508288128172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0.19450999567020427</v>
      </c>
      <c r="C29" s="525">
        <f ca="1">'EF ele_warmte'!B22</f>
        <v>0.21066508288128172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15337</v>
      </c>
      <c r="C9" s="342">
        <v>15752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2054.33</v>
      </c>
    </row>
    <row r="15" spans="1:6">
      <c r="A15" s="348" t="s">
        <v>184</v>
      </c>
      <c r="B15" s="334">
        <v>568</v>
      </c>
    </row>
    <row r="16" spans="1:6">
      <c r="A16" s="348" t="s">
        <v>6</v>
      </c>
      <c r="B16" s="334">
        <v>861</v>
      </c>
    </row>
    <row r="17" spans="1:6">
      <c r="A17" s="348" t="s">
        <v>7</v>
      </c>
      <c r="B17" s="334">
        <v>268</v>
      </c>
    </row>
    <row r="18" spans="1:6">
      <c r="A18" s="348" t="s">
        <v>8</v>
      </c>
      <c r="B18" s="334">
        <v>755</v>
      </c>
    </row>
    <row r="19" spans="1:6">
      <c r="A19" s="348" t="s">
        <v>9</v>
      </c>
      <c r="B19" s="334">
        <v>1050</v>
      </c>
    </row>
    <row r="20" spans="1:6">
      <c r="A20" s="348" t="s">
        <v>10</v>
      </c>
      <c r="B20" s="334">
        <v>521</v>
      </c>
    </row>
    <row r="21" spans="1:6">
      <c r="A21" s="348" t="s">
        <v>11</v>
      </c>
      <c r="B21" s="334">
        <v>40</v>
      </c>
    </row>
    <row r="22" spans="1:6">
      <c r="A22" s="348" t="s">
        <v>12</v>
      </c>
      <c r="B22" s="334">
        <v>278</v>
      </c>
    </row>
    <row r="23" spans="1:6">
      <c r="A23" s="348" t="s">
        <v>13</v>
      </c>
      <c r="B23" s="334">
        <v>0</v>
      </c>
    </row>
    <row r="24" spans="1:6">
      <c r="A24" s="348" t="s">
        <v>14</v>
      </c>
      <c r="B24" s="334">
        <v>0</v>
      </c>
    </row>
    <row r="25" spans="1:6">
      <c r="A25" s="348" t="s">
        <v>15</v>
      </c>
      <c r="B25" s="334">
        <v>8</v>
      </c>
    </row>
    <row r="26" spans="1:6">
      <c r="A26" s="348" t="s">
        <v>16</v>
      </c>
      <c r="B26" s="334">
        <v>579</v>
      </c>
    </row>
    <row r="27" spans="1:6">
      <c r="A27" s="348" t="s">
        <v>17</v>
      </c>
      <c r="B27" s="334">
        <v>22</v>
      </c>
    </row>
    <row r="28" spans="1:6" s="356" customFormat="1">
      <c r="A28" s="355" t="s">
        <v>18</v>
      </c>
      <c r="B28" s="355">
        <v>105</v>
      </c>
    </row>
    <row r="29" spans="1:6">
      <c r="A29" s="355" t="s">
        <v>884</v>
      </c>
      <c r="B29" s="355">
        <v>416</v>
      </c>
      <c r="C29" s="356"/>
      <c r="D29" s="356"/>
      <c r="E29" s="356"/>
      <c r="F29" s="356"/>
    </row>
    <row r="30" spans="1:6">
      <c r="A30" s="355" t="s">
        <v>885</v>
      </c>
      <c r="B30" s="341">
        <v>73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73</v>
      </c>
      <c r="D36" s="334">
        <v>3500107.4079</v>
      </c>
      <c r="E36" s="334">
        <v>38</v>
      </c>
      <c r="F36" s="334">
        <v>196012.83692</v>
      </c>
    </row>
    <row r="37" spans="1:6">
      <c r="A37" s="348" t="s">
        <v>25</v>
      </c>
      <c r="B37" s="348" t="s">
        <v>28</v>
      </c>
      <c r="C37" s="334">
        <v>0</v>
      </c>
      <c r="D37" s="334">
        <v>0</v>
      </c>
      <c r="E37" s="334">
        <v>0</v>
      </c>
      <c r="F37" s="334">
        <v>0</v>
      </c>
    </row>
    <row r="38" spans="1:6">
      <c r="A38" s="348" t="s">
        <v>25</v>
      </c>
      <c r="B38" s="348" t="s">
        <v>29</v>
      </c>
      <c r="C38" s="334">
        <v>2</v>
      </c>
      <c r="D38" s="334">
        <v>31773631.660999998</v>
      </c>
      <c r="E38" s="334">
        <v>3</v>
      </c>
      <c r="F38" s="334">
        <v>190880.02726</v>
      </c>
    </row>
    <row r="39" spans="1:6">
      <c r="A39" s="348" t="s">
        <v>30</v>
      </c>
      <c r="B39" s="348" t="s">
        <v>31</v>
      </c>
      <c r="C39" s="334">
        <v>12312</v>
      </c>
      <c r="D39" s="334">
        <v>178717277.53999999</v>
      </c>
      <c r="E39" s="334">
        <v>15446</v>
      </c>
      <c r="F39" s="334">
        <v>54992154.240999997</v>
      </c>
    </row>
    <row r="40" spans="1:6">
      <c r="A40" s="348" t="s">
        <v>30</v>
      </c>
      <c r="B40" s="348" t="s">
        <v>29</v>
      </c>
      <c r="C40" s="334">
        <v>0</v>
      </c>
      <c r="D40" s="334">
        <v>0</v>
      </c>
      <c r="E40" s="334">
        <v>0</v>
      </c>
      <c r="F40" s="334">
        <v>0</v>
      </c>
    </row>
    <row r="41" spans="1:6">
      <c r="A41" s="348" t="s">
        <v>32</v>
      </c>
      <c r="B41" s="348" t="s">
        <v>33</v>
      </c>
      <c r="C41" s="334">
        <v>171</v>
      </c>
      <c r="D41" s="334">
        <v>3730264.9936000002</v>
      </c>
      <c r="E41" s="334">
        <v>297</v>
      </c>
      <c r="F41" s="334">
        <v>4442504.8260000004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16</v>
      </c>
      <c r="D44" s="334">
        <v>651658.82039000001</v>
      </c>
      <c r="E44" s="334">
        <v>39</v>
      </c>
      <c r="F44" s="334">
        <v>32985746.059999999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136869.74656999999</v>
      </c>
      <c r="E47" s="334">
        <v>14</v>
      </c>
      <c r="F47" s="334">
        <v>3204582.4898000001</v>
      </c>
    </row>
    <row r="48" spans="1:6">
      <c r="A48" s="348" t="s">
        <v>32</v>
      </c>
      <c r="B48" s="348" t="s">
        <v>29</v>
      </c>
      <c r="C48" s="334">
        <v>34</v>
      </c>
      <c r="D48" s="334">
        <v>41163638.186999999</v>
      </c>
      <c r="E48" s="334">
        <v>47</v>
      </c>
      <c r="F48" s="334">
        <v>9969021.2645999994</v>
      </c>
    </row>
    <row r="49" spans="1:6">
      <c r="A49" s="348" t="s">
        <v>32</v>
      </c>
      <c r="B49" s="348" t="s">
        <v>40</v>
      </c>
      <c r="C49" s="334">
        <v>3</v>
      </c>
      <c r="D49" s="334">
        <v>165144.72575000001</v>
      </c>
      <c r="E49" s="334">
        <v>0</v>
      </c>
      <c r="F49" s="334">
        <v>0</v>
      </c>
    </row>
    <row r="50" spans="1:6">
      <c r="A50" s="348" t="s">
        <v>32</v>
      </c>
      <c r="B50" s="348" t="s">
        <v>41</v>
      </c>
      <c r="C50" s="334">
        <v>21</v>
      </c>
      <c r="D50" s="334">
        <v>1743798.7296</v>
      </c>
      <c r="E50" s="334">
        <v>31</v>
      </c>
      <c r="F50" s="334">
        <v>1064194.1409</v>
      </c>
    </row>
    <row r="51" spans="1:6">
      <c r="A51" s="348" t="s">
        <v>42</v>
      </c>
      <c r="B51" s="348" t="s">
        <v>43</v>
      </c>
      <c r="C51" s="334">
        <v>31</v>
      </c>
      <c r="D51" s="334">
        <v>179031213.25</v>
      </c>
      <c r="E51" s="334">
        <v>119</v>
      </c>
      <c r="F51" s="334">
        <v>3659593.2702000001</v>
      </c>
    </row>
    <row r="52" spans="1:6">
      <c r="A52" s="348" t="s">
        <v>42</v>
      </c>
      <c r="B52" s="348" t="s">
        <v>29</v>
      </c>
      <c r="C52" s="334">
        <v>8</v>
      </c>
      <c r="D52" s="334">
        <v>4768858.8733000001</v>
      </c>
      <c r="E52" s="334">
        <v>6</v>
      </c>
      <c r="F52" s="334">
        <v>94849.309313999998</v>
      </c>
    </row>
    <row r="53" spans="1:6">
      <c r="A53" s="348" t="s">
        <v>44</v>
      </c>
      <c r="B53" s="348" t="s">
        <v>45</v>
      </c>
      <c r="C53" s="334">
        <v>399</v>
      </c>
      <c r="D53" s="334">
        <v>9506368.5600000005</v>
      </c>
      <c r="E53" s="334">
        <v>782</v>
      </c>
      <c r="F53" s="334">
        <v>2251973.7721000002</v>
      </c>
    </row>
    <row r="54" spans="1:6">
      <c r="A54" s="348" t="s">
        <v>46</v>
      </c>
      <c r="B54" s="348" t="s">
        <v>47</v>
      </c>
      <c r="C54" s="334">
        <v>0</v>
      </c>
      <c r="D54" s="334">
        <v>0</v>
      </c>
      <c r="E54" s="334">
        <v>2</v>
      </c>
      <c r="F54" s="334">
        <v>2230686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134</v>
      </c>
      <c r="D57" s="334">
        <v>5697097.3558999998</v>
      </c>
      <c r="E57" s="334">
        <v>226</v>
      </c>
      <c r="F57" s="334">
        <v>6711740.8432</v>
      </c>
    </row>
    <row r="58" spans="1:6">
      <c r="A58" s="348" t="s">
        <v>49</v>
      </c>
      <c r="B58" s="348" t="s">
        <v>51</v>
      </c>
      <c r="C58" s="334">
        <v>109</v>
      </c>
      <c r="D58" s="334">
        <v>8820790.4492000006</v>
      </c>
      <c r="E58" s="334">
        <v>143</v>
      </c>
      <c r="F58" s="334">
        <v>7934663.5921</v>
      </c>
    </row>
    <row r="59" spans="1:6">
      <c r="A59" s="348" t="s">
        <v>49</v>
      </c>
      <c r="B59" s="348" t="s">
        <v>52</v>
      </c>
      <c r="C59" s="334">
        <v>329</v>
      </c>
      <c r="D59" s="334">
        <v>13091111.138</v>
      </c>
      <c r="E59" s="334">
        <v>550</v>
      </c>
      <c r="F59" s="334">
        <v>20721646.359999999</v>
      </c>
    </row>
    <row r="60" spans="1:6">
      <c r="A60" s="348" t="s">
        <v>49</v>
      </c>
      <c r="B60" s="348" t="s">
        <v>53</v>
      </c>
      <c r="C60" s="334">
        <v>169</v>
      </c>
      <c r="D60" s="334">
        <v>9782195.9160999991</v>
      </c>
      <c r="E60" s="334">
        <v>212</v>
      </c>
      <c r="F60" s="334">
        <v>6883926.1401000004</v>
      </c>
    </row>
    <row r="61" spans="1:6">
      <c r="A61" s="348" t="s">
        <v>49</v>
      </c>
      <c r="B61" s="348" t="s">
        <v>54</v>
      </c>
      <c r="C61" s="334">
        <v>365</v>
      </c>
      <c r="D61" s="334">
        <v>18103468.532000002</v>
      </c>
      <c r="E61" s="334">
        <v>885</v>
      </c>
      <c r="F61" s="334">
        <v>15406828.620999999</v>
      </c>
    </row>
    <row r="62" spans="1:6">
      <c r="A62" s="348" t="s">
        <v>49</v>
      </c>
      <c r="B62" s="348" t="s">
        <v>55</v>
      </c>
      <c r="C62" s="334">
        <v>18</v>
      </c>
      <c r="D62" s="334">
        <v>3404077.2678</v>
      </c>
      <c r="E62" s="334">
        <v>32</v>
      </c>
      <c r="F62" s="334">
        <v>1660830.6454</v>
      </c>
    </row>
    <row r="63" spans="1:6">
      <c r="A63" s="348" t="s">
        <v>49</v>
      </c>
      <c r="B63" s="348" t="s">
        <v>29</v>
      </c>
      <c r="C63" s="334">
        <v>110</v>
      </c>
      <c r="D63" s="334">
        <v>10424574.237</v>
      </c>
      <c r="E63" s="334">
        <v>84</v>
      </c>
      <c r="F63" s="334">
        <v>3045865.3319000001</v>
      </c>
    </row>
    <row r="64" spans="1:6">
      <c r="A64" s="348" t="s">
        <v>56</v>
      </c>
      <c r="B64" s="348" t="s">
        <v>57</v>
      </c>
      <c r="C64" s="334">
        <v>0</v>
      </c>
      <c r="D64" s="334">
        <v>0</v>
      </c>
      <c r="E64" s="334">
        <v>0</v>
      </c>
      <c r="F64" s="334">
        <v>0</v>
      </c>
    </row>
    <row r="65" spans="1:6">
      <c r="A65" s="348" t="s">
        <v>56</v>
      </c>
      <c r="B65" s="348" t="s">
        <v>29</v>
      </c>
      <c r="C65" s="334">
        <v>5</v>
      </c>
      <c r="D65" s="334">
        <v>450274.16496999998</v>
      </c>
      <c r="E65" s="334">
        <v>3</v>
      </c>
      <c r="F65" s="334">
        <v>127888.96113</v>
      </c>
    </row>
    <row r="66" spans="1:6">
      <c r="A66" s="348" t="s">
        <v>56</v>
      </c>
      <c r="B66" s="348" t="s">
        <v>58</v>
      </c>
      <c r="C66" s="334">
        <v>0</v>
      </c>
      <c r="D66" s="334">
        <v>0</v>
      </c>
      <c r="E66" s="334">
        <v>12</v>
      </c>
      <c r="F66" s="334">
        <v>463236.25566000002</v>
      </c>
    </row>
    <row r="67" spans="1:6">
      <c r="A67" s="355" t="s">
        <v>56</v>
      </c>
      <c r="B67" s="355" t="s">
        <v>59</v>
      </c>
      <c r="C67" s="334">
        <v>0</v>
      </c>
      <c r="D67" s="334">
        <v>0</v>
      </c>
      <c r="E67" s="334">
        <v>0</v>
      </c>
      <c r="F67" s="334">
        <v>0</v>
      </c>
    </row>
    <row r="68" spans="1:6">
      <c r="A68" s="341" t="s">
        <v>56</v>
      </c>
      <c r="B68" s="341" t="s">
        <v>60</v>
      </c>
      <c r="C68" s="334">
        <v>16</v>
      </c>
      <c r="D68" s="334">
        <v>459846.79973000003</v>
      </c>
      <c r="E68" s="334">
        <v>28</v>
      </c>
      <c r="F68" s="334">
        <v>499905.50685000001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161722083</v>
      </c>
      <c r="E73" s="475">
        <v>153540986.88066113</v>
      </c>
    </row>
    <row r="74" spans="1:6">
      <c r="A74" s="348" t="s">
        <v>64</v>
      </c>
      <c r="B74" s="348" t="s">
        <v>667</v>
      </c>
      <c r="C74" s="1294" t="s">
        <v>669</v>
      </c>
      <c r="D74" s="475">
        <v>19004169.724832665</v>
      </c>
      <c r="E74" s="475">
        <v>18663673.341885686</v>
      </c>
    </row>
    <row r="75" spans="1:6">
      <c r="A75" s="348" t="s">
        <v>65</v>
      </c>
      <c r="B75" s="348" t="s">
        <v>666</v>
      </c>
      <c r="C75" s="1294" t="s">
        <v>670</v>
      </c>
      <c r="D75" s="475">
        <v>14933423</v>
      </c>
      <c r="E75" s="475">
        <v>13585865.585800745</v>
      </c>
    </row>
    <row r="76" spans="1:6">
      <c r="A76" s="348" t="s">
        <v>65</v>
      </c>
      <c r="B76" s="348" t="s">
        <v>667</v>
      </c>
      <c r="C76" s="1294" t="s">
        <v>671</v>
      </c>
      <c r="D76" s="475">
        <v>432499.72483266552</v>
      </c>
      <c r="E76" s="475">
        <v>398520.38017615129</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1275898.550334669</v>
      </c>
      <c r="C83" s="475">
        <v>1275898.550334669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3514.9198457779962</v>
      </c>
    </row>
    <row r="92" spans="1:6">
      <c r="A92" s="341" t="s">
        <v>69</v>
      </c>
      <c r="B92" s="342">
        <v>6518.3101665187123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8975</v>
      </c>
    </row>
    <row r="98" spans="1:6">
      <c r="A98" s="348" t="s">
        <v>72</v>
      </c>
      <c r="B98" s="334">
        <v>10</v>
      </c>
    </row>
    <row r="99" spans="1:6">
      <c r="A99" s="348" t="s">
        <v>73</v>
      </c>
      <c r="B99" s="334">
        <v>93</v>
      </c>
    </row>
    <row r="100" spans="1:6">
      <c r="A100" s="348" t="s">
        <v>74</v>
      </c>
      <c r="B100" s="334">
        <v>1324</v>
      </c>
    </row>
    <row r="101" spans="1:6">
      <c r="A101" s="348" t="s">
        <v>75</v>
      </c>
      <c r="B101" s="334">
        <v>71</v>
      </c>
    </row>
    <row r="102" spans="1:6">
      <c r="A102" s="348" t="s">
        <v>76</v>
      </c>
      <c r="B102" s="334">
        <v>164</v>
      </c>
    </row>
    <row r="103" spans="1:6">
      <c r="A103" s="348" t="s">
        <v>77</v>
      </c>
      <c r="B103" s="334">
        <v>319</v>
      </c>
    </row>
    <row r="104" spans="1:6">
      <c r="A104" s="348" t="s">
        <v>78</v>
      </c>
      <c r="B104" s="334">
        <v>2496</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37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124</v>
      </c>
    </row>
    <row r="130" spans="1:6">
      <c r="A130" s="348" t="s">
        <v>295</v>
      </c>
      <c r="B130" s="334">
        <v>3</v>
      </c>
    </row>
    <row r="131" spans="1:6">
      <c r="A131" s="348" t="s">
        <v>296</v>
      </c>
      <c r="B131" s="334">
        <v>5</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191392.12336426604</v>
      </c>
      <c r="C3" s="43" t="s">
        <v>170</v>
      </c>
      <c r="D3" s="43"/>
      <c r="E3" s="154"/>
      <c r="F3" s="43"/>
      <c r="G3" s="43"/>
      <c r="H3" s="43"/>
      <c r="I3" s="43"/>
      <c r="J3" s="43"/>
      <c r="K3" s="96"/>
    </row>
    <row r="4" spans="1:11">
      <c r="A4" s="383" t="s">
        <v>171</v>
      </c>
      <c r="B4" s="49">
        <f>IF(ISERROR('SEAP template'!B78+'SEAP template'!C78),0,'SEAP template'!B78+'SEAP template'!C78)</f>
        <v>83335.230012296699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13347.107656109365</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0.19450999567020427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18300.641272462064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86870.78571428571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0.21066508288128172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2230.6860000000001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2230.6860000000001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0.19450999567020427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433.89072420158533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54992.154240999997</v>
      </c>
      <c r="C5" s="17">
        <f>IF(ISERROR('Eigen informatie GS &amp; warmtenet'!B57),0,'Eigen informatie GS &amp; warmtenet'!B57)</f>
        <v>0</v>
      </c>
      <c r="D5" s="30">
        <f>(SUM(HH_hh_gas_kWh,HH_rest_gas_kWh)/1000)*0.902</f>
        <v>161202.98434107998</v>
      </c>
      <c r="E5" s="17">
        <f>B46*B57</f>
        <v>4198.4454214245943</v>
      </c>
      <c r="F5" s="17">
        <f>B51*B62</f>
        <v>0</v>
      </c>
      <c r="G5" s="18"/>
      <c r="H5" s="17"/>
      <c r="I5" s="17"/>
      <c r="J5" s="17">
        <f>B50*B61+C50*C61</f>
        <v>0</v>
      </c>
      <c r="K5" s="17"/>
      <c r="L5" s="17"/>
      <c r="M5" s="17"/>
      <c r="N5" s="17">
        <f>B48*B59+C48*C59</f>
        <v>9103.1634072414163</v>
      </c>
      <c r="O5" s="17">
        <f>B69*B70*B71</f>
        <v>251.69666666666669</v>
      </c>
      <c r="P5" s="17">
        <f>B77*B78*B79/1000-B77*B78*B79/1000/B80</f>
        <v>1048.6666666666667</v>
      </c>
    </row>
    <row r="6" spans="1:16">
      <c r="A6" s="16" t="s">
        <v>624</v>
      </c>
      <c r="B6" s="788">
        <f>kWh_PV_kleiner_dan_10kW</f>
        <v>3514.9198457779962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58507.07408677799</v>
      </c>
      <c r="C8" s="21">
        <f>C5</f>
        <v>0</v>
      </c>
      <c r="D8" s="21">
        <f>D5</f>
        <v>161202.98434107998</v>
      </c>
      <c r="E8" s="21">
        <f>E5</f>
        <v>4198.4454214245943</v>
      </c>
      <c r="F8" s="21">
        <f>F5</f>
        <v>0</v>
      </c>
      <c r="G8" s="21"/>
      <c r="H8" s="21"/>
      <c r="I8" s="21"/>
      <c r="J8" s="21">
        <f>J5</f>
        <v>0</v>
      </c>
      <c r="K8" s="21"/>
      <c r="L8" s="21">
        <f>L5</f>
        <v>0</v>
      </c>
      <c r="M8" s="21">
        <f>M5</f>
        <v>0</v>
      </c>
      <c r="N8" s="21">
        <f>N5</f>
        <v>9103.1634072414163</v>
      </c>
      <c r="O8" s="21">
        <f>O5</f>
        <v>251.69666666666669</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0.19450999567020427</v>
      </c>
      <c r="C10" s="25">
        <f ca="1">'EF ele_warmte'!B22</f>
        <v>0.21066508288128172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11380.210727295507</v>
      </c>
      <c r="C12" s="23">
        <f ca="1">C10*C8</f>
        <v>0</v>
      </c>
      <c r="D12" s="23">
        <f>D8*D10</f>
        <v>32563.002836898158</v>
      </c>
      <c r="E12" s="23">
        <f>E10*E8</f>
        <v>953.04711066338291</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8975</v>
      </c>
      <c r="C18" s="166" t="s">
        <v>111</v>
      </c>
      <c r="D18" s="228"/>
      <c r="E18" s="15"/>
    </row>
    <row r="19" spans="1:7">
      <c r="A19" s="171" t="s">
        <v>72</v>
      </c>
      <c r="B19" s="37">
        <f>aantalw2001_ander</f>
        <v>10</v>
      </c>
      <c r="C19" s="166" t="s">
        <v>111</v>
      </c>
      <c r="D19" s="229"/>
      <c r="E19" s="15"/>
    </row>
    <row r="20" spans="1:7">
      <c r="A20" s="171" t="s">
        <v>73</v>
      </c>
      <c r="B20" s="37">
        <f>aantalw2001_propaan</f>
        <v>93</v>
      </c>
      <c r="C20" s="167">
        <f>IF(ISERROR(B20/SUM($B$20,$B$21,$B$22)*100),0,B20/SUM($B$20,$B$21,$B$22)*100)</f>
        <v>6.25</v>
      </c>
      <c r="D20" s="229"/>
      <c r="E20" s="15"/>
    </row>
    <row r="21" spans="1:7">
      <c r="A21" s="171" t="s">
        <v>74</v>
      </c>
      <c r="B21" s="37">
        <f>aantalw2001_elektriciteit</f>
        <v>1324</v>
      </c>
      <c r="C21" s="167">
        <f>IF(ISERROR(B21/SUM($B$20,$B$21,$B$22)*100),0,B21/SUM($B$20,$B$21,$B$22)*100)</f>
        <v>88.978494623655919</v>
      </c>
      <c r="D21" s="229"/>
      <c r="E21" s="15"/>
    </row>
    <row r="22" spans="1:7">
      <c r="A22" s="171" t="s">
        <v>75</v>
      </c>
      <c r="B22" s="37">
        <f>aantalw2001_hout</f>
        <v>71</v>
      </c>
      <c r="C22" s="167">
        <f>IF(ISERROR(B22/SUM($B$20,$B$21,$B$22)*100),0,B22/SUM($B$20,$B$21,$B$22)*100)</f>
        <v>4.771505376344086</v>
      </c>
      <c r="D22" s="229"/>
      <c r="E22" s="15"/>
    </row>
    <row r="23" spans="1:7">
      <c r="A23" s="171" t="s">
        <v>76</v>
      </c>
      <c r="B23" s="37">
        <f>aantalw2001_niet_gespec</f>
        <v>164</v>
      </c>
      <c r="C23" s="166" t="s">
        <v>111</v>
      </c>
      <c r="D23" s="228"/>
      <c r="E23" s="15"/>
    </row>
    <row r="24" spans="1:7">
      <c r="A24" s="171" t="s">
        <v>77</v>
      </c>
      <c r="B24" s="37">
        <f>aantalw2001_steenkool</f>
        <v>319</v>
      </c>
      <c r="C24" s="166" t="s">
        <v>111</v>
      </c>
      <c r="D24" s="229"/>
      <c r="E24" s="15"/>
    </row>
    <row r="25" spans="1:7">
      <c r="A25" s="171" t="s">
        <v>78</v>
      </c>
      <c r="B25" s="37">
        <f>aantalw2001_stookolie</f>
        <v>2496</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15337</v>
      </c>
      <c r="C28" s="36"/>
      <c r="D28" s="228"/>
    </row>
    <row r="29" spans="1:7" s="15" customFormat="1">
      <c r="A29" s="230" t="s">
        <v>699</v>
      </c>
      <c r="B29" s="37">
        <f>SUM(HH_hh_gas_aantal,HH_rest_gas_aantal)</f>
        <v>12312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12312</v>
      </c>
      <c r="C32" s="167">
        <f>IF(ISERROR(B32/SUM($B$32,$B$34,$B$35,$B$36,$B$38,$B$39)*100),0,B32/SUM($B$32,$B$34,$B$35,$B$36,$B$38,$B$39)*100)</f>
        <v>80.565371024734986</v>
      </c>
      <c r="D32" s="233"/>
      <c r="G32" s="15"/>
    </row>
    <row r="33" spans="1:7">
      <c r="A33" s="171" t="s">
        <v>72</v>
      </c>
      <c r="B33" s="34" t="s">
        <v>111</v>
      </c>
      <c r="C33" s="167"/>
      <c r="D33" s="233"/>
      <c r="G33" s="15"/>
    </row>
    <row r="34" spans="1:7">
      <c r="A34" s="171" t="s">
        <v>73</v>
      </c>
      <c r="B34" s="33">
        <f>IF((($B$28-$B$32-$B$39-$B$77-$B$38)*C20/100)&lt;0,0,($B$28-$B$32-$B$39-$B$77-$B$38)*C20/100)</f>
        <v>185.625</v>
      </c>
      <c r="C34" s="167">
        <f>IF(ISERROR(B34/SUM($B$32,$B$34,$B$35,$B$36,$B$38,$B$39)*100),0,B34/SUM($B$32,$B$34,$B$35,$B$36,$B$38,$B$39)*100)</f>
        <v>1.2146643109540638</v>
      </c>
      <c r="D34" s="233"/>
      <c r="G34" s="15"/>
    </row>
    <row r="35" spans="1:7">
      <c r="A35" s="171" t="s">
        <v>74</v>
      </c>
      <c r="B35" s="33">
        <f>IF((($B$28-$B$32-$B$39-$B$77-$B$38)*C21/100)&lt;0,0,($B$28-$B$32-$B$39-$B$77-$B$38)*C21/100)</f>
        <v>2642.6612903225805</v>
      </c>
      <c r="C35" s="167">
        <f>IF(ISERROR(B35/SUM($B$32,$B$34,$B$35,$B$36,$B$38,$B$39)*100),0,B35/SUM($B$32,$B$34,$B$35,$B$36,$B$38,$B$39)*100)</f>
        <v>17.292640297883661</v>
      </c>
      <c r="D35" s="233"/>
      <c r="G35" s="15"/>
    </row>
    <row r="36" spans="1:7">
      <c r="A36" s="171" t="s">
        <v>75</v>
      </c>
      <c r="B36" s="33">
        <f>IF((($B$28-$B$32-$B$39-$B$77-$B$38)*C22/100)&lt;0,0,($B$28-$B$32-$B$39-$B$77-$B$38)*C22/100)</f>
        <v>141.71370967741936</v>
      </c>
      <c r="C36" s="167">
        <f>IF(ISERROR(B36/SUM($B$32,$B$34,$B$35,$B$36,$B$38,$B$39)*100),0,B36/SUM($B$32,$B$34,$B$35,$B$36,$B$38,$B$39)*100)</f>
        <v>0.92732436642729599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12312</v>
      </c>
      <c r="C44" s="34" t="s">
        <v>111</v>
      </c>
      <c r="D44" s="174"/>
    </row>
    <row r="45" spans="1:7">
      <c r="A45" s="171" t="s">
        <v>72</v>
      </c>
      <c r="B45" s="33" t="str">
        <f t="shared" si="0"/>
        <v>-</v>
      </c>
      <c r="C45" s="34" t="s">
        <v>111</v>
      </c>
      <c r="D45" s="174"/>
    </row>
    <row r="46" spans="1:7">
      <c r="A46" s="171" t="s">
        <v>73</v>
      </c>
      <c r="B46" s="33">
        <f t="shared" si="0"/>
        <v>185.625</v>
      </c>
      <c r="C46" s="34" t="s">
        <v>111</v>
      </c>
      <c r="D46" s="174"/>
    </row>
    <row r="47" spans="1:7">
      <c r="A47" s="171" t="s">
        <v>74</v>
      </c>
      <c r="B47" s="33">
        <f t="shared" si="0"/>
        <v>2642.6612903225805</v>
      </c>
      <c r="C47" s="34" t="s">
        <v>111</v>
      </c>
      <c r="D47" s="174"/>
    </row>
    <row r="48" spans="1:7">
      <c r="A48" s="171" t="s">
        <v>75</v>
      </c>
      <c r="B48" s="33">
        <f t="shared" si="0"/>
        <v>141.71370967741936</v>
      </c>
      <c r="C48" s="33">
        <f>B48*10</f>
        <v>1417.1370967741937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62365.501533699993</v>
      </c>
      <c r="C5" s="17">
        <f>IF(ISERROR('Eigen informatie GS &amp; warmtenet'!B58),0,'Eigen informatie GS &amp; warmtenet'!B58)</f>
        <v>0</v>
      </c>
      <c r="D5" s="30">
        <f>SUM(D6:D12)</f>
        <v>62529.630036192</v>
      </c>
      <c r="E5" s="17">
        <f>SUM(E6:E12)</f>
        <v>1151.1779418707233</v>
      </c>
      <c r="F5" s="17">
        <f>SUM(F6:F12)</f>
        <v>15638.928591875207</v>
      </c>
      <c r="G5" s="18"/>
      <c r="H5" s="17"/>
      <c r="I5" s="17"/>
      <c r="J5" s="17">
        <f>SUM(J6:J12)</f>
        <v>0</v>
      </c>
      <c r="K5" s="17"/>
      <c r="L5" s="17"/>
      <c r="M5" s="17"/>
      <c r="N5" s="17">
        <f>SUM(N6:N12)</f>
        <v>5696.0754535820861</v>
      </c>
      <c r="O5" s="17">
        <f>B38*B39*B40</f>
        <v>4.6900000000000004</v>
      </c>
      <c r="P5" s="17">
        <f>B46*B47*B48/1000-B46*B47*B48/1000/B49</f>
        <v>95.333333333333343</v>
      </c>
      <c r="R5" s="32"/>
    </row>
    <row r="6" spans="1:18">
      <c r="A6" s="32" t="s">
        <v>54</v>
      </c>
      <c r="B6" s="37">
        <f>B26</f>
        <v>15406.828620999999</v>
      </c>
      <c r="C6" s="33"/>
      <c r="D6" s="37">
        <f>IF(ISERROR(TER_kantoor_gas_kWh/1000),0,TER_kantoor_gas_kWh/1000)*0.902</f>
        <v>16329.328615864002</v>
      </c>
      <c r="E6" s="33">
        <f>$C$26*'E Balans VL '!I12/100/3.6*1000000</f>
        <v>201.69436510979787</v>
      </c>
      <c r="F6" s="33">
        <f>$C$26*('E Balans VL '!L12+'E Balans VL '!N12)/100/3.6*1000000</f>
        <v>3928.5820901352376</v>
      </c>
      <c r="G6" s="34"/>
      <c r="H6" s="33"/>
      <c r="I6" s="33"/>
      <c r="J6" s="33">
        <f>$C$26*('E Balans VL '!D12+'E Balans VL '!E12)/100/3.6*1000000</f>
        <v>0</v>
      </c>
      <c r="K6" s="33"/>
      <c r="L6" s="33"/>
      <c r="M6" s="33"/>
      <c r="N6" s="33">
        <f>$C$26*'E Balans VL '!Y12/100/3.6*1000000</f>
        <v>15.458710291148195</v>
      </c>
      <c r="O6" s="33"/>
      <c r="P6" s="33"/>
      <c r="R6" s="32"/>
    </row>
    <row r="7" spans="1:18">
      <c r="A7" s="32" t="s">
        <v>53</v>
      </c>
      <c r="B7" s="37">
        <f t="shared" ref="B7:B12" si="0">B27</f>
        <v>6883.9261401000003</v>
      </c>
      <c r="C7" s="33"/>
      <c r="D7" s="37">
        <f>IF(ISERROR(TER_horeca_gas_kWh/1000),0,TER_horeca_gas_kWh/1000)*0.902</f>
        <v>8823.5407163221989</v>
      </c>
      <c r="E7" s="33">
        <f>$C$27*'E Balans VL '!I9/100/3.6*1000000</f>
        <v>227.81608171928633</v>
      </c>
      <c r="F7" s="33">
        <f>$C$27*('E Balans VL '!L9+'E Balans VL '!N9)/100/3.6*1000000</f>
        <v>2960.0618578423769</v>
      </c>
      <c r="G7" s="34"/>
      <c r="H7" s="33"/>
      <c r="I7" s="33"/>
      <c r="J7" s="33">
        <f>$C$27*('E Balans VL '!D9+'E Balans VL '!E9)/100/3.6*1000000</f>
        <v>0</v>
      </c>
      <c r="K7" s="33"/>
      <c r="L7" s="33"/>
      <c r="M7" s="33"/>
      <c r="N7" s="33">
        <f>$C$27*'E Balans VL '!Y9/100/3.6*1000000</f>
        <v>1.6570609874999349</v>
      </c>
      <c r="O7" s="33"/>
      <c r="P7" s="33"/>
      <c r="R7" s="32"/>
    </row>
    <row r="8" spans="1:18">
      <c r="A8" s="6" t="s">
        <v>52</v>
      </c>
      <c r="B8" s="37">
        <f t="shared" si="0"/>
        <v>20721.646359999999</v>
      </c>
      <c r="C8" s="33"/>
      <c r="D8" s="37">
        <f>IF(ISERROR(TER_handel_gas_kWh/1000),0,TER_handel_gas_kWh/1000)*0.902</f>
        <v>11808.182246476001</v>
      </c>
      <c r="E8" s="33">
        <f>$C$28*'E Balans VL '!I13/100/3.6*1000000</f>
        <v>654.00682085477638</v>
      </c>
      <c r="F8" s="33">
        <f>$C$28*('E Balans VL '!L13+'E Balans VL '!N13)/100/3.6*1000000</f>
        <v>4063.8797367342972</v>
      </c>
      <c r="G8" s="34"/>
      <c r="H8" s="33"/>
      <c r="I8" s="33"/>
      <c r="J8" s="33">
        <f>$C$28*('E Balans VL '!D13+'E Balans VL '!E13)/100/3.6*1000000</f>
        <v>0</v>
      </c>
      <c r="K8" s="33"/>
      <c r="L8" s="33"/>
      <c r="M8" s="33"/>
      <c r="N8" s="33">
        <f>$C$28*'E Balans VL '!Y13/100/3.6*1000000</f>
        <v>24.592571171068144</v>
      </c>
      <c r="O8" s="33"/>
      <c r="P8" s="33"/>
      <c r="R8" s="32"/>
    </row>
    <row r="9" spans="1:18">
      <c r="A9" s="32" t="s">
        <v>51</v>
      </c>
      <c r="B9" s="37">
        <f t="shared" si="0"/>
        <v>7934.6635920999997</v>
      </c>
      <c r="C9" s="33"/>
      <c r="D9" s="37">
        <f>IF(ISERROR(TER_gezond_gas_kWh/1000),0,TER_gezond_gas_kWh/1000)*0.902</f>
        <v>7956.3529851783996</v>
      </c>
      <c r="E9" s="33">
        <f>$C$29*'E Balans VL '!I10/100/3.6*1000000</f>
        <v>1.015869063221803</v>
      </c>
      <c r="F9" s="33">
        <f>$C$29*('E Balans VL '!L10+'E Balans VL '!N10)/100/3.6*1000000</f>
        <v>1653.1229984636191</v>
      </c>
      <c r="G9" s="34"/>
      <c r="H9" s="33"/>
      <c r="I9" s="33"/>
      <c r="J9" s="33">
        <f>$C$29*('E Balans VL '!D10+'E Balans VL '!E10)/100/3.6*1000000</f>
        <v>0</v>
      </c>
      <c r="K9" s="33"/>
      <c r="L9" s="33"/>
      <c r="M9" s="33"/>
      <c r="N9" s="33">
        <f>$C$29*'E Balans VL '!Y10/100/3.6*1000000</f>
        <v>93.19637430427953</v>
      </c>
      <c r="O9" s="33"/>
      <c r="P9" s="33"/>
      <c r="R9" s="32"/>
    </row>
    <row r="10" spans="1:18">
      <c r="A10" s="32" t="s">
        <v>50</v>
      </c>
      <c r="B10" s="37">
        <f t="shared" si="0"/>
        <v>6711.7408432000002</v>
      </c>
      <c r="C10" s="33"/>
      <c r="D10" s="37">
        <f>IF(ISERROR(TER_ander_gas_kWh/1000),0,TER_ander_gas_kWh/1000)*0.902</f>
        <v>5138.7818150218</v>
      </c>
      <c r="E10" s="33">
        <f>$C$30*'E Balans VL '!I14/100/3.6*1000000</f>
        <v>10.092879857691441</v>
      </c>
      <c r="F10" s="33">
        <f>$C$30*('E Balans VL '!L14+'E Balans VL '!N14)/100/3.6*1000000</f>
        <v>1481.7360279173947</v>
      </c>
      <c r="G10" s="34"/>
      <c r="H10" s="33"/>
      <c r="I10" s="33"/>
      <c r="J10" s="33">
        <f>$C$30*('E Balans VL '!D14+'E Balans VL '!E14)/100/3.6*1000000</f>
        <v>0</v>
      </c>
      <c r="K10" s="33"/>
      <c r="L10" s="33"/>
      <c r="M10" s="33"/>
      <c r="N10" s="33">
        <f>$C$30*'E Balans VL '!Y14/100/3.6*1000000</f>
        <v>5289.3034675701992</v>
      </c>
      <c r="O10" s="33"/>
      <c r="P10" s="33"/>
      <c r="R10" s="32"/>
    </row>
    <row r="11" spans="1:18">
      <c r="A11" s="32" t="s">
        <v>55</v>
      </c>
      <c r="B11" s="37">
        <f t="shared" si="0"/>
        <v>1660.8306454000001</v>
      </c>
      <c r="C11" s="33"/>
      <c r="D11" s="37">
        <f>IF(ISERROR(TER_onderwijs_gas_kWh/1000),0,TER_onderwijs_gas_kWh/1000)*0.902</f>
        <v>3070.4776955555999</v>
      </c>
      <c r="E11" s="33">
        <f>$C$31*'E Balans VL '!I11/100/3.6*1000000</f>
        <v>2.9248619436763992</v>
      </c>
      <c r="F11" s="33">
        <f>$C$31*('E Balans VL '!L11+'E Balans VL '!N11)/100/3.6*1000000</f>
        <v>766.83556166200356</v>
      </c>
      <c r="G11" s="34"/>
      <c r="H11" s="33"/>
      <c r="I11" s="33"/>
      <c r="J11" s="33">
        <f>$C$31*('E Balans VL '!D11+'E Balans VL '!E11)/100/3.6*1000000</f>
        <v>0</v>
      </c>
      <c r="K11" s="33"/>
      <c r="L11" s="33"/>
      <c r="M11" s="33"/>
      <c r="N11" s="33">
        <f>$C$31*'E Balans VL '!Y11/100/3.6*1000000</f>
        <v>3.0941504596396716</v>
      </c>
      <c r="O11" s="33"/>
      <c r="P11" s="33"/>
      <c r="R11" s="32"/>
    </row>
    <row r="12" spans="1:18">
      <c r="A12" s="32" t="s">
        <v>260</v>
      </c>
      <c r="B12" s="37">
        <f t="shared" si="0"/>
        <v>3045.8653319</v>
      </c>
      <c r="C12" s="33"/>
      <c r="D12" s="37">
        <f>IF(ISERROR(TER_rest_gas_kWh/1000),0,TER_rest_gas_kWh/1000)*0.902</f>
        <v>9402.9659617739999</v>
      </c>
      <c r="E12" s="33">
        <f>$C$32*'E Balans VL '!I8/100/3.6*1000000</f>
        <v>53.627063322272917</v>
      </c>
      <c r="F12" s="33">
        <f>$C$32*('E Balans VL '!L8+'E Balans VL '!N8)/100/3.6*1000000</f>
        <v>784.71031912027752</v>
      </c>
      <c r="G12" s="34"/>
      <c r="H12" s="33"/>
      <c r="I12" s="33"/>
      <c r="J12" s="33">
        <f>$C$32*('E Balans VL '!D8+'E Balans VL '!E8)/100/3.6*1000000</f>
        <v>0</v>
      </c>
      <c r="K12" s="33"/>
      <c r="L12" s="33"/>
      <c r="M12" s="33"/>
      <c r="N12" s="33">
        <f>$C$32*'E Balans VL '!Y8/100/3.6*1000000</f>
        <v>268.77311879825209</v>
      </c>
      <c r="O12" s="33"/>
      <c r="P12" s="33"/>
      <c r="R12" s="32"/>
    </row>
    <row r="13" spans="1:18">
      <c r="A13" s="16" t="s">
        <v>491</v>
      </c>
      <c r="B13" s="247">
        <f ca="1">'lokale energieproductie'!N91+'lokale energieproductie'!N60</f>
        <v>10575</v>
      </c>
      <c r="C13" s="247">
        <f ca="1">'lokale energieproductie'!O91+'lokale energieproductie'!O60</f>
        <v>900.00000000000023</v>
      </c>
      <c r="D13" s="310">
        <f ca="1">('lokale energieproductie'!P60+'lokale energieproductie'!P91)*(-1)</f>
        <v>-1800.0000000000005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-28414.285714285717</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72940.501533699993</v>
      </c>
      <c r="C16" s="21">
        <f t="shared" ca="1" si="1"/>
        <v>900.00000000000023</v>
      </c>
      <c r="D16" s="21">
        <f t="shared" ca="1" si="1"/>
        <v>60729.630036192</v>
      </c>
      <c r="E16" s="21">
        <f t="shared" si="1"/>
        <v>1151.1779418707233</v>
      </c>
      <c r="F16" s="21">
        <f t="shared" ca="1" si="1"/>
        <v>15638.928591875207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0.19450999567020427</v>
      </c>
      <c r="C18" s="25">
        <f ca="1">'EF ele_warmte'!B22</f>
        <v>0.21066508288128172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14187.656637502514</v>
      </c>
      <c r="C20" s="23">
        <f t="shared" ref="C20:P20" ca="1" si="2">C16*C18</f>
        <v>189.59857459315359</v>
      </c>
      <c r="D20" s="23">
        <f t="shared" ca="1" si="2"/>
        <v>12267.385267310785</v>
      </c>
      <c r="E20" s="23">
        <f t="shared" si="2"/>
        <v>261.31739280465422</v>
      </c>
      <c r="F20" s="23">
        <f t="shared" ca="1" si="2"/>
        <v>4175.5939340306804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15406.828620999999</v>
      </c>
      <c r="C26" s="39">
        <f>IF(ISERROR(B26*3.6/1000000/'E Balans VL '!Z12*100),0,B26*3.6/1000000/'E Balans VL '!Z12*100)</f>
        <v>0.33002623816090454</v>
      </c>
      <c r="D26" s="237" t="s">
        <v>660</v>
      </c>
      <c r="F26" s="6"/>
    </row>
    <row r="27" spans="1:18">
      <c r="A27" s="231" t="s">
        <v>53</v>
      </c>
      <c r="B27" s="33">
        <f>IF(ISERROR(TER_horeca_ele_kWh/1000),0,TER_horeca_ele_kWh/1000)</f>
        <v>6883.9261401000003</v>
      </c>
      <c r="C27" s="39">
        <f>IF(ISERROR(B27*3.6/1000000/'E Balans VL '!Z9*100),0,B27*3.6/1000000/'E Balans VL '!Z9*100)</f>
        <v>0.55241114446000195</v>
      </c>
      <c r="D27" s="237" t="s">
        <v>660</v>
      </c>
      <c r="F27" s="6"/>
    </row>
    <row r="28" spans="1:18">
      <c r="A28" s="171" t="s">
        <v>52</v>
      </c>
      <c r="B28" s="33">
        <f>IF(ISERROR(TER_handel_ele_kWh/1000),0,TER_handel_ele_kWh/1000)</f>
        <v>20721.646359999999</v>
      </c>
      <c r="C28" s="39">
        <f>IF(ISERROR(B28*3.6/1000000/'E Balans VL '!Z13*100),0,B28*3.6/1000000/'E Balans VL '!Z13*100)</f>
        <v>0.61116971299720491</v>
      </c>
      <c r="D28" s="237" t="s">
        <v>660</v>
      </c>
      <c r="F28" s="6"/>
    </row>
    <row r="29" spans="1:18">
      <c r="A29" s="231" t="s">
        <v>51</v>
      </c>
      <c r="B29" s="33">
        <f>IF(ISERROR(TER_gezond_ele_kWh/1000),0,TER_gezond_ele_kWh/1000)</f>
        <v>7934.6635920999997</v>
      </c>
      <c r="C29" s="39">
        <f>IF(ISERROR(B29*3.6/1000000/'E Balans VL '!Z10*100),0,B29*3.6/1000000/'E Balans VL '!Z10*100)</f>
        <v>0.84720933532782994</v>
      </c>
      <c r="D29" s="237" t="s">
        <v>660</v>
      </c>
      <c r="F29" s="6"/>
    </row>
    <row r="30" spans="1:18">
      <c r="A30" s="231" t="s">
        <v>50</v>
      </c>
      <c r="B30" s="33">
        <f>IF(ISERROR(TER_ander_ele_kWh/1000),0,TER_ander_ele_kWh/1000)</f>
        <v>6711.7408432000002</v>
      </c>
      <c r="C30" s="39">
        <f>IF(ISERROR(B30*3.6/1000000/'E Balans VL '!Z14*100),0,B30*3.6/1000000/'E Balans VL '!Z14*100)</f>
        <v>0.50696414183007621</v>
      </c>
      <c r="D30" s="237" t="s">
        <v>660</v>
      </c>
      <c r="F30" s="6"/>
    </row>
    <row r="31" spans="1:18">
      <c r="A31" s="231" t="s">
        <v>55</v>
      </c>
      <c r="B31" s="33">
        <f>IF(ISERROR(TER_onderwijs_ele_kWh/1000),0,TER_onderwijs_ele_kWh/1000)</f>
        <v>1660.8306454000001</v>
      </c>
      <c r="C31" s="39">
        <f>IF(ISERROR(B31*3.6/1000000/'E Balans VL '!Z11*100),0,B31*3.6/1000000/'E Balans VL '!Z11*100)</f>
        <v>0.33537715011639407</v>
      </c>
      <c r="D31" s="237" t="s">
        <v>660</v>
      </c>
    </row>
    <row r="32" spans="1:18">
      <c r="A32" s="231" t="s">
        <v>260</v>
      </c>
      <c r="B32" s="33">
        <f>IF(ISERROR(TER_rest_ele_kWh/1000),0,TER_rest_ele_kWh/1000)</f>
        <v>3045.8653319</v>
      </c>
      <c r="C32" s="39">
        <f>IF(ISERROR(B32*3.6/1000000/'E Balans VL '!Z8*100),0,B32*3.6/1000000/'E Balans VL '!Z8*100)</f>
        <v>2.5254464938328159E-2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51666.048781299993</v>
      </c>
      <c r="C5" s="17">
        <f>IF(ISERROR('Eigen informatie GS &amp; warmtenet'!B59),0,'Eigen informatie GS &amp; warmtenet'!B59)</f>
        <v>0</v>
      </c>
      <c r="D5" s="30">
        <f>SUM(D6:D15)</f>
        <v>42927.420433024818</v>
      </c>
      <c r="E5" s="17">
        <f>SUM(E6:E15)</f>
        <v>2902.3980414827279</v>
      </c>
      <c r="F5" s="17">
        <f>SUM(F6:F15)</f>
        <v>20722.6067146879</v>
      </c>
      <c r="G5" s="18"/>
      <c r="H5" s="17"/>
      <c r="I5" s="17"/>
      <c r="J5" s="17">
        <f>SUM(J6:J15)</f>
        <v>295.34922860320376</v>
      </c>
      <c r="K5" s="17"/>
      <c r="L5" s="17"/>
      <c r="M5" s="17"/>
      <c r="N5" s="17">
        <f>SUM(N6:N15)</f>
        <v>11282.189243619792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32985.746059999998</v>
      </c>
      <c r="C8" s="33"/>
      <c r="D8" s="37">
        <f>IF( ISERROR(IND_metaal_Gas_kWH/1000),0,IND_metaal_Gas_kWH/1000)*0.902</f>
        <v>587.79625599177996</v>
      </c>
      <c r="E8" s="33">
        <f>C30*'E Balans VL '!I18/100/3.6*1000000</f>
        <v>1186.9269318851048</v>
      </c>
      <c r="F8" s="33">
        <f>C30*'E Balans VL '!L18/100/3.6*1000000+C30*'E Balans VL '!N18/100/3.6*1000000</f>
        <v>14403.806021558736</v>
      </c>
      <c r="G8" s="34"/>
      <c r="H8" s="33"/>
      <c r="I8" s="33"/>
      <c r="J8" s="40">
        <f>C30*'E Balans VL '!D18/100/3.6*1000000+C30*'E Balans VL '!E18/100/3.6*1000000</f>
        <v>0</v>
      </c>
      <c r="K8" s="33"/>
      <c r="L8" s="33"/>
      <c r="M8" s="33"/>
      <c r="N8" s="33">
        <f>C30*'E Balans VL '!Y18/100/3.6*1000000</f>
        <v>1653.2231763375419</v>
      </c>
      <c r="O8" s="33"/>
      <c r="P8" s="33"/>
      <c r="R8" s="32"/>
    </row>
    <row r="9" spans="1:18">
      <c r="A9" s="6" t="s">
        <v>33</v>
      </c>
      <c r="B9" s="37">
        <f t="shared" si="0"/>
        <v>4442.5048260000003</v>
      </c>
      <c r="C9" s="33"/>
      <c r="D9" s="37">
        <f>IF( ISERROR(IND_andere_gas_kWh/1000),0,IND_andere_gas_kWh/1000)*0.902</f>
        <v>3364.6990242272004</v>
      </c>
      <c r="E9" s="33">
        <f>C31*'E Balans VL '!I19/100/3.6*1000000</f>
        <v>1133.6267171082054</v>
      </c>
      <c r="F9" s="33">
        <f>C31*'E Balans VL '!L19/100/3.6*1000000+C31*'E Balans VL '!N19/100/3.6*1000000</f>
        <v>3824.6627435419086</v>
      </c>
      <c r="G9" s="34"/>
      <c r="H9" s="33"/>
      <c r="I9" s="33"/>
      <c r="J9" s="40">
        <f>C31*'E Balans VL '!D19/100/3.6*1000000+C31*'E Balans VL '!E19/100/3.6*1000000</f>
        <v>0</v>
      </c>
      <c r="K9" s="33"/>
      <c r="L9" s="33"/>
      <c r="M9" s="33"/>
      <c r="N9" s="33">
        <f>C31*'E Balans VL '!Y19/100/3.6*1000000</f>
        <v>1389.3233989911853</v>
      </c>
      <c r="O9" s="33"/>
      <c r="P9" s="33"/>
      <c r="R9" s="32"/>
    </row>
    <row r="10" spans="1:18">
      <c r="A10" s="6" t="s">
        <v>41</v>
      </c>
      <c r="B10" s="37">
        <f t="shared" si="0"/>
        <v>1064.1941409000001</v>
      </c>
      <c r="C10" s="33"/>
      <c r="D10" s="37">
        <f>IF( ISERROR(IND_voed_gas_kWh/1000),0,IND_voed_gas_kWh/1000)*0.902</f>
        <v>1572.9064540991999</v>
      </c>
      <c r="E10" s="33">
        <f>C32*'E Balans VL '!I20/100/3.6*1000000</f>
        <v>27.053276319981105</v>
      </c>
      <c r="F10" s="33">
        <f>C32*'E Balans VL '!L20/100/3.6*1000000+C32*'E Balans VL '!N20/100/3.6*1000000</f>
        <v>240.8111591539361</v>
      </c>
      <c r="G10" s="34"/>
      <c r="H10" s="33"/>
      <c r="I10" s="33"/>
      <c r="J10" s="40">
        <f>C32*'E Balans VL '!D20/100/3.6*1000000+C32*'E Balans VL '!E20/100/3.6*1000000</f>
        <v>0</v>
      </c>
      <c r="K10" s="33"/>
      <c r="L10" s="33"/>
      <c r="M10" s="33"/>
      <c r="N10" s="33">
        <f>C32*'E Balans VL '!Y20/100/3.6*1000000</f>
        <v>399.10164895431245</v>
      </c>
      <c r="O10" s="33"/>
      <c r="P10" s="33"/>
      <c r="R10" s="32"/>
    </row>
    <row r="11" spans="1:18">
      <c r="A11" s="6" t="s">
        <v>40</v>
      </c>
      <c r="B11" s="37">
        <f t="shared" si="0"/>
        <v>0</v>
      </c>
      <c r="C11" s="33"/>
      <c r="D11" s="37">
        <f>IF( ISERROR(IND_textiel_gas_kWh/1000),0,IND_textiel_gas_kWh/1000)*0.902</f>
        <v>148.96054262650003</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3204.5824898000001</v>
      </c>
      <c r="C13" s="33"/>
      <c r="D13" s="37">
        <f>IF( ISERROR(IND_papier_gas_kWh/1000),0,IND_papier_gas_kWh/1000)*0.902</f>
        <v>123.45651140614</v>
      </c>
      <c r="E13" s="33">
        <f>C35*'E Balans VL '!I23/100/3.6*1000000</f>
        <v>13.743522028716997</v>
      </c>
      <c r="F13" s="33">
        <f>C35*'E Balans VL '!L23/100/3.6*1000000+C35*'E Balans VL '!N23/100/3.6*1000000</f>
        <v>80.541104359534671</v>
      </c>
      <c r="G13" s="34"/>
      <c r="H13" s="33"/>
      <c r="I13" s="33"/>
      <c r="J13" s="40">
        <f>C35*'E Balans VL '!D23/100/3.6*1000000+C35*'E Balans VL '!E23/100/3.6*1000000</f>
        <v>214.52922128017599</v>
      </c>
      <c r="K13" s="33"/>
      <c r="L13" s="33"/>
      <c r="M13" s="33"/>
      <c r="N13" s="33">
        <f>C35*'E Balans VL '!Y23/100/3.6*1000000</f>
        <v>5833.1022102271854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9969.0212646</v>
      </c>
      <c r="C15" s="33"/>
      <c r="D15" s="37">
        <f>IF( ISERROR(IND_rest_gas_kWh/1000),0,IND_rest_gas_kWh/1000)*0.902</f>
        <v>37129.601644673996</v>
      </c>
      <c r="E15" s="33">
        <f>C37*'E Balans VL '!I15/100/3.6*1000000</f>
        <v>541.0475941407193</v>
      </c>
      <c r="F15" s="33">
        <f>C37*'E Balans VL '!L15/100/3.6*1000000+C37*'E Balans VL '!N15/100/3.6*1000000</f>
        <v>2172.7856860737866</v>
      </c>
      <c r="G15" s="34"/>
      <c r="H15" s="33"/>
      <c r="I15" s="33"/>
      <c r="J15" s="40">
        <f>C37*'E Balans VL '!D15/100/3.6*1000000+C37*'E Balans VL '!E15/100/3.6*1000000</f>
        <v>80.820007323027795</v>
      </c>
      <c r="K15" s="33"/>
      <c r="L15" s="33"/>
      <c r="M15" s="33"/>
      <c r="N15" s="33">
        <f>C37*'E Balans VL '!Y15/100/3.6*1000000</f>
        <v>2007.4388091095673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51666.048781299993</v>
      </c>
      <c r="C18" s="21">
        <f>C5+C16</f>
        <v>0</v>
      </c>
      <c r="D18" s="21">
        <f>MAX((D5+D16),0)</f>
        <v>42927.420433024818</v>
      </c>
      <c r="E18" s="21">
        <f>MAX((E5+E16),0)</f>
        <v>2902.3980414827279</v>
      </c>
      <c r="F18" s="21">
        <f>MAX((F5+F16),0)</f>
        <v>20722.6067146879</v>
      </c>
      <c r="G18" s="21"/>
      <c r="H18" s="21"/>
      <c r="I18" s="21"/>
      <c r="J18" s="21">
        <f>MAX((J5+J16),0)</f>
        <v>295.34922860320376</v>
      </c>
      <c r="K18" s="21"/>
      <c r="L18" s="21">
        <f>MAX((L5+L16),0)</f>
        <v>0</v>
      </c>
      <c r="M18" s="21"/>
      <c r="N18" s="21">
        <f>MAX((N5+N16),0)</f>
        <v>11282.189243619792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0.19450999567020427</v>
      </c>
      <c r="C20" s="25">
        <f ca="1">'EF ele_warmte'!B22</f>
        <v>0.21066508288128172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10049.562924747224</v>
      </c>
      <c r="C22" s="23">
        <f ca="1">C18*C20</f>
        <v>0</v>
      </c>
      <c r="D22" s="23">
        <f>D18*D20</f>
        <v>8671.3389274710134</v>
      </c>
      <c r="E22" s="23">
        <f>E18*E20</f>
        <v>658.84435541657922</v>
      </c>
      <c r="F22" s="23">
        <f>F18*F20</f>
        <v>5532.9359928216691</v>
      </c>
      <c r="G22" s="23"/>
      <c r="H22" s="23"/>
      <c r="I22" s="23"/>
      <c r="J22" s="23">
        <f>J18*J20</f>
        <v>104.55362692553412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32985.746059999998</v>
      </c>
      <c r="C30" s="39">
        <f>IF(ISERROR(B30*3.6/1000000/'E Balans VL '!Z18*100),0,B30*3.6/1000000/'E Balans VL '!Z18*100)</f>
        <v>6.9889723943570017</v>
      </c>
      <c r="D30" s="237" t="s">
        <v>660</v>
      </c>
    </row>
    <row r="31" spans="1:18">
      <c r="A31" s="6" t="s">
        <v>33</v>
      </c>
      <c r="B31" s="37">
        <f>IF( ISERROR(IND_ander_ele_kWh/1000),0,IND_ander_ele_kWh/1000)</f>
        <v>4442.5048260000003</v>
      </c>
      <c r="C31" s="39">
        <f>IF(ISERROR(B31*3.6/1000000/'E Balans VL '!Z19*100),0,B31*3.6/1000000/'E Balans VL '!Z19*100)</f>
        <v>0.1869951155671658</v>
      </c>
      <c r="D31" s="237" t="s">
        <v>660</v>
      </c>
    </row>
    <row r="32" spans="1:18">
      <c r="A32" s="171" t="s">
        <v>41</v>
      </c>
      <c r="B32" s="37">
        <f>IF( ISERROR(IND_voed_ele_kWh/1000),0,IND_voed_ele_kWh/1000)</f>
        <v>1064.1941409000001</v>
      </c>
      <c r="C32" s="39">
        <f>IF(ISERROR(B32*3.6/1000000/'E Balans VL '!Z20*100),0,B32*3.6/1000000/'E Balans VL '!Z20*100)</f>
        <v>0.17778567176594179</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3204.5824898000001</v>
      </c>
      <c r="C35" s="39">
        <f>IF(ISERROR(B35*3.6/1000000/'E Balans VL '!Z22*100),0,B35*3.6/1000000/'E Balans VL '!Z22*100)</f>
        <v>0.40619811284447499</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9969.0212646</v>
      </c>
      <c r="C37" s="39">
        <f>IF(ISERROR(B37*3.6/1000000/'E Balans VL '!Z15*100),0,B37*3.6/1000000/'E Balans VL '!Z15*100)</f>
        <v>8.0483768851076054E-2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3754.442579514</v>
      </c>
      <c r="C5" s="17">
        <f>'Eigen informatie GS &amp; warmtenet'!B60</f>
        <v>0</v>
      </c>
      <c r="D5" s="30">
        <f>IF(ISERROR(SUM(LB_lb_gas_kWh,LB_rest_gas_kWh)/1000),0,SUM(LB_lb_gas_kWh,LB_rest_gas_kWh)/1000)*0.902</f>
        <v>165787.66505521661</v>
      </c>
      <c r="E5" s="17">
        <f>B17*'E Balans VL '!I25/3.6*1000000/100</f>
        <v>96.812658732792883</v>
      </c>
      <c r="F5" s="17">
        <f>B17*('E Balans VL '!L25/3.6*1000000+'E Balans VL '!N25/3.6*1000000)/100</f>
        <v>13723.202626980341</v>
      </c>
      <c r="G5" s="18"/>
      <c r="H5" s="17"/>
      <c r="I5" s="17"/>
      <c r="J5" s="17">
        <f>('E Balans VL '!D25+'E Balans VL '!E25)/3.6*1000000*landbouw!B17/100</f>
        <v>540.50161805833909</v>
      </c>
      <c r="K5" s="17"/>
      <c r="L5" s="17">
        <f>L6*(-1)</f>
        <v>22477.5</v>
      </c>
      <c r="M5" s="17"/>
      <c r="N5" s="17">
        <f>N6*(-1)</f>
        <v>0</v>
      </c>
      <c r="O5" s="17"/>
      <c r="P5" s="17"/>
      <c r="R5" s="32"/>
    </row>
    <row r="6" spans="1:18">
      <c r="A6" s="16" t="s">
        <v>491</v>
      </c>
      <c r="B6" s="17" t="s">
        <v>211</v>
      </c>
      <c r="C6" s="17">
        <f>'lokale energieproductie'!O92+'lokale energieproductie'!O61</f>
        <v>85970.78571428571</v>
      </c>
      <c r="D6" s="310">
        <f>('lokale energieproductie'!P61+'lokale energieproductie'!P92)*(-1)</f>
        <v>-144968.57142857142</v>
      </c>
      <c r="E6" s="248"/>
      <c r="F6" s="310">
        <f>('lokale energieproductie'!S61+'lokale energieproductie'!S92)*(-1)</f>
        <v>-7492.5</v>
      </c>
      <c r="G6" s="249"/>
      <c r="H6" s="248"/>
      <c r="I6" s="248"/>
      <c r="J6" s="248"/>
      <c r="K6" s="248"/>
      <c r="L6" s="310">
        <f>('lokale energieproductie'!T61+'lokale energieproductie'!U61+'lokale energieproductie'!T92+'lokale energieproductie'!U92)*(-1)</f>
        <v>-22477.5</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3754.442579514</v>
      </c>
      <c r="C8" s="21">
        <f>C5+C6</f>
        <v>85970.78571428571</v>
      </c>
      <c r="D8" s="21">
        <f>MAX((D5+D6),0)</f>
        <v>20819.09362664519</v>
      </c>
      <c r="E8" s="21">
        <f>MAX((E5+E6),0)</f>
        <v>96.812658732792883</v>
      </c>
      <c r="F8" s="21">
        <f>MAX((F5+F6),0)</f>
        <v>6230.7026269803409</v>
      </c>
      <c r="G8" s="21"/>
      <c r="H8" s="21"/>
      <c r="I8" s="21"/>
      <c r="J8" s="21">
        <f>MAX((J5+J6),0)</f>
        <v>540.50161805833909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0.19450999567020427</v>
      </c>
      <c r="C10" s="31">
        <f ca="1">'EF ele_warmte'!B22</f>
        <v>0.21066508288128172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730.27660988529874</v>
      </c>
      <c r="C12" s="23">
        <f ca="1">C8*C10</f>
        <v>18111.04269786891</v>
      </c>
      <c r="D12" s="23">
        <f>D8*D10</f>
        <v>4205.4569125823282</v>
      </c>
      <c r="E12" s="23">
        <f>E8*E10</f>
        <v>21.976473532343984</v>
      </c>
      <c r="F12" s="23">
        <f>F8*F10</f>
        <v>1663.597601403751</v>
      </c>
      <c r="G12" s="23"/>
      <c r="H12" s="23"/>
      <c r="I12" s="23"/>
      <c r="J12" s="23">
        <f>J8*J10</f>
        <v>191.33757279265203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0.52940127258148928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268.79198873830165</v>
      </c>
      <c r="C26" s="247">
        <f>B26*'GWP N2O_CH4'!B5</f>
        <v>5644.6317635043351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45.549570451738497</v>
      </c>
      <c r="C27" s="247">
        <f>B27*'GWP N2O_CH4'!B5</f>
        <v>956.54097948650838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3.6900356747317997</v>
      </c>
      <c r="C28" s="247">
        <f>B28*'GWP N2O_CH4'!B4</f>
        <v>1143.911059166858</v>
      </c>
      <c r="D28" s="50"/>
    </row>
    <row r="29" spans="1:4">
      <c r="A29" s="41" t="s">
        <v>277</v>
      </c>
      <c r="B29" s="247">
        <f>B34*'ha_N2O bodem landbouw'!B4</f>
        <v>13.552580621597633</v>
      </c>
      <c r="C29" s="247">
        <f>B29*'GWP N2O_CH4'!B4</f>
        <v>4201.2999926952662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3.0500671085138729E-3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1.4902779914664405E-4</v>
      </c>
      <c r="C5" s="463" t="s">
        <v>211</v>
      </c>
      <c r="D5" s="448">
        <f>SUM(D6:D11)</f>
        <v>3.1541163765388177E-4</v>
      </c>
      <c r="E5" s="448">
        <f>SUM(E6:E11)</f>
        <v>1.2281449948235001E-3</v>
      </c>
      <c r="F5" s="461" t="s">
        <v>211</v>
      </c>
      <c r="G5" s="448">
        <f>SUM(G6:G11)</f>
        <v>0.47686354467201625</v>
      </c>
      <c r="H5" s="448">
        <f>SUM(H6:H11)</f>
        <v>8.5087728038626659E-2</v>
      </c>
      <c r="I5" s="463" t="s">
        <v>211</v>
      </c>
      <c r="J5" s="463" t="s">
        <v>211</v>
      </c>
      <c r="K5" s="463" t="s">
        <v>211</v>
      </c>
      <c r="L5" s="463" t="s">
        <v>211</v>
      </c>
      <c r="M5" s="448">
        <f>SUM(M6:M11)</f>
        <v>1.7572675713558326E-2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1.364298608552903E-4</v>
      </c>
      <c r="C6" s="449"/>
      <c r="D6" s="892">
        <f>vkm_2011_GW_PW*SUMIFS(TableVerdeelsleutelVkm[CNG],TableVerdeelsleutelVkm[Voertuigtype],"Lichte voertuigen")*SUMIFS(TableECFTransport[EnergieConsumptieFactor (PJ per km)],TableECFTransport[Index],CONCATENATE($A6,"_CNG_CNG"))</f>
        <v>2.7108852329782104E-4</v>
      </c>
      <c r="E6" s="892">
        <f>vkm_2011_GW_PW*SUMIFS(TableVerdeelsleutelVkm[LPG],TableVerdeelsleutelVkm[Voertuigtype],"Lichte voertuigen")*SUMIFS(TableECFTransport[EnergieConsumptieFactor (PJ per km)],TableECFTransport[Index],CONCATENATE($A6,"_LPG_LPG"))</f>
        <v>1.0668305171276347E-3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0.25365569188340403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7.3391818774642251E-2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1.0191102432191642E-2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0.18210171113531248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5.8826630899561721E-5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5.737746288403938E-3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1.2597938291353764E-5</v>
      </c>
      <c r="C8" s="449"/>
      <c r="D8" s="451">
        <f>vkm_2011_NGW_PW*SUMIFS(TableVerdeelsleutelVkm[CNG],TableVerdeelsleutelVkm[Voertuigtype],"Lichte voertuigen")*SUMIFS(TableECFTransport[EnergieConsumptieFactor (PJ per km)],TableECFTransport[Index],CONCATENATE($A8,"_CNG_CNG"))</f>
        <v>4.4323114356060742E-5</v>
      </c>
      <c r="E8" s="451">
        <f>vkm_2011_NGW_PW*SUMIFS(TableVerdeelsleutelVkm[LPG],TableVerdeelsleutelVkm[Voertuigtype],"Lichte voertuigen")*SUMIFS(TableECFTransport[EnergieConsumptieFactor (PJ per km)],TableECFTransport[Index],CONCATENATE($A8,"_LPG_LPG"))</f>
        <v>1.6131447769586536E-4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3.5816348763548909E-2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1.1635466556504315E-2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1.4771564947379185E-3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5.2897928897508491E-3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1.616076580530087E-6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1.6667049822483178E-4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41.39661087406779</v>
      </c>
      <c r="C14" s="21"/>
      <c r="D14" s="21">
        <f t="shared" ref="D14:M14" si="0">((D5)*10^9/3600)+D12</f>
        <v>87.614343792744933</v>
      </c>
      <c r="E14" s="21">
        <f t="shared" si="0"/>
        <v>341.15138745097221</v>
      </c>
      <c r="F14" s="21"/>
      <c r="G14" s="21">
        <f t="shared" si="0"/>
        <v>132462.09574222675</v>
      </c>
      <c r="H14" s="21">
        <f t="shared" si="0"/>
        <v>23635.480010729625</v>
      </c>
      <c r="I14" s="21"/>
      <c r="J14" s="21"/>
      <c r="K14" s="21"/>
      <c r="L14" s="21"/>
      <c r="M14" s="21">
        <f t="shared" si="0"/>
        <v>4881.2988093217573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0.19450999567020427</v>
      </c>
      <c r="C16" s="56">
        <f ca="1">'EF ele_warmte'!B22</f>
        <v>0.21066508288128172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8.0520546018760566</v>
      </c>
      <c r="C18" s="23"/>
      <c r="D18" s="23">
        <f t="shared" ref="D18:M18" si="1">D14*D16</f>
        <v>17.698097446134476</v>
      </c>
      <c r="E18" s="23">
        <f t="shared" si="1"/>
        <v>77.441364951370687</v>
      </c>
      <c r="F18" s="23"/>
      <c r="G18" s="23">
        <f t="shared" si="1"/>
        <v>35367.379563174545</v>
      </c>
      <c r="H18" s="23">
        <f t="shared" si="1"/>
        <v>5885.234522671677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1.6587026271474091E-2</v>
      </c>
      <c r="H50" s="321">
        <f t="shared" si="2"/>
        <v>0</v>
      </c>
      <c r="I50" s="321">
        <f t="shared" si="2"/>
        <v>0</v>
      </c>
      <c r="J50" s="321">
        <f t="shared" si="2"/>
        <v>0</v>
      </c>
      <c r="K50" s="321">
        <f t="shared" si="2"/>
        <v>0</v>
      </c>
      <c r="L50" s="321">
        <f t="shared" si="2"/>
        <v>0</v>
      </c>
      <c r="M50" s="321">
        <f t="shared" si="2"/>
        <v>5.1449244674305647E-4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1.6587026271474091E-2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5.1449244674305647E-4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4607.5072976316924</v>
      </c>
      <c r="H54" s="21">
        <f t="shared" si="3"/>
        <v>0</v>
      </c>
      <c r="I54" s="21">
        <f t="shared" si="3"/>
        <v>0</v>
      </c>
      <c r="J54" s="21">
        <f t="shared" si="3"/>
        <v>0</v>
      </c>
      <c r="K54" s="21">
        <f t="shared" si="3"/>
        <v>0</v>
      </c>
      <c r="L54" s="21">
        <f t="shared" si="3"/>
        <v>0</v>
      </c>
      <c r="M54" s="21">
        <f t="shared" si="3"/>
        <v>142.9145685397379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0.19450999567020427</v>
      </c>
      <c r="C56" s="56">
        <f ca="1">'EF ele_warmte'!B22</f>
        <v>0.21066508288128172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1230.2044484676619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75171.187533699995</v>
      </c>
      <c r="D10" s="1012">
        <f ca="1">tertiair!C16</f>
        <v>900.00000000000023</v>
      </c>
      <c r="E10" s="1012">
        <f ca="1">tertiair!D16</f>
        <v>60729.630036192</v>
      </c>
      <c r="F10" s="1012">
        <f>tertiair!E16</f>
        <v>1151.1779418707233</v>
      </c>
      <c r="G10" s="1012">
        <f ca="1">tertiair!F16</f>
        <v>15638.928591875207</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4.6900000000000004</v>
      </c>
      <c r="Q10" s="1013">
        <f>tertiair!P16</f>
        <v>95.333333333333343</v>
      </c>
      <c r="R10" s="700">
        <f ca="1">SUM(C10:Q10)</f>
        <v>153690.94743697127</v>
      </c>
      <c r="S10" s="67"/>
    </row>
    <row r="11" spans="1:19" s="473" customFormat="1">
      <c r="A11" s="809" t="s">
        <v>225</v>
      </c>
      <c r="B11" s="814"/>
      <c r="C11" s="1012">
        <f>huishoudens!B8</f>
        <v>58507.07408677799</v>
      </c>
      <c r="D11" s="1012">
        <f>huishoudens!C8</f>
        <v>0</v>
      </c>
      <c r="E11" s="1012">
        <f>huishoudens!D8</f>
        <v>161202.98434107998</v>
      </c>
      <c r="F11" s="1012">
        <f>huishoudens!E8</f>
        <v>4198.4454214245943</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9103.1634072414163</v>
      </c>
      <c r="P11" s="1012">
        <f>huishoudens!O8</f>
        <v>251.69666666666669</v>
      </c>
      <c r="Q11" s="1013">
        <f>huishoudens!P8</f>
        <v>1048.6666666666667</v>
      </c>
      <c r="R11" s="700">
        <f>SUM(C11:Q11)</f>
        <v>234312.03058985728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51666.048781299993</v>
      </c>
      <c r="D13" s="1012">
        <f>industrie!C18</f>
        <v>0</v>
      </c>
      <c r="E13" s="1012">
        <f>industrie!D18</f>
        <v>42927.420433024818</v>
      </c>
      <c r="F13" s="1012">
        <f>industrie!E18</f>
        <v>2902.3980414827279</v>
      </c>
      <c r="G13" s="1012">
        <f>industrie!F18</f>
        <v>20722.6067146879</v>
      </c>
      <c r="H13" s="1012">
        <f>industrie!G18</f>
        <v>0</v>
      </c>
      <c r="I13" s="1012">
        <f>industrie!H18</f>
        <v>0</v>
      </c>
      <c r="J13" s="1012">
        <f>industrie!I18</f>
        <v>0</v>
      </c>
      <c r="K13" s="1012">
        <f>industrie!J18</f>
        <v>295.34922860320376</v>
      </c>
      <c r="L13" s="1012">
        <f>industrie!K18</f>
        <v>0</v>
      </c>
      <c r="M13" s="1012">
        <f>industrie!L18</f>
        <v>0</v>
      </c>
      <c r="N13" s="1012">
        <f>industrie!M18</f>
        <v>0</v>
      </c>
      <c r="O13" s="1012">
        <f>industrie!N18</f>
        <v>11282.189243619792</v>
      </c>
      <c r="P13" s="1012">
        <f>industrie!O18</f>
        <v>0</v>
      </c>
      <c r="Q13" s="1013">
        <f>industrie!P18</f>
        <v>0</v>
      </c>
      <c r="R13" s="700">
        <f>SUM(C13:Q13)</f>
        <v>129796.01244271842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185344.31040177797</v>
      </c>
      <c r="D16" s="732">
        <f t="shared" ref="D16:R16" ca="1" si="0">SUM(D9:D15)</f>
        <v>900.00000000000023</v>
      </c>
      <c r="E16" s="732">
        <f t="shared" ca="1" si="0"/>
        <v>264860.03481029678</v>
      </c>
      <c r="F16" s="732">
        <f t="shared" si="0"/>
        <v>8252.0214047780446</v>
      </c>
      <c r="G16" s="732">
        <f t="shared" ca="1" si="0"/>
        <v>36361.535306563106</v>
      </c>
      <c r="H16" s="732">
        <f t="shared" si="0"/>
        <v>0</v>
      </c>
      <c r="I16" s="732">
        <f t="shared" si="0"/>
        <v>0</v>
      </c>
      <c r="J16" s="732">
        <f t="shared" si="0"/>
        <v>0</v>
      </c>
      <c r="K16" s="732">
        <f t="shared" si="0"/>
        <v>295.34922860320376</v>
      </c>
      <c r="L16" s="732">
        <f t="shared" si="0"/>
        <v>0</v>
      </c>
      <c r="M16" s="732">
        <f t="shared" ca="1" si="0"/>
        <v>0</v>
      </c>
      <c r="N16" s="732">
        <f t="shared" si="0"/>
        <v>0</v>
      </c>
      <c r="O16" s="732">
        <f t="shared" ca="1" si="0"/>
        <v>20385.352650861209</v>
      </c>
      <c r="P16" s="732">
        <f t="shared" si="0"/>
        <v>256.38666666666671</v>
      </c>
      <c r="Q16" s="732">
        <f t="shared" si="0"/>
        <v>1144</v>
      </c>
      <c r="R16" s="732">
        <f t="shared" ca="1" si="0"/>
        <v>517798.99046954699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4607.5072976316924</v>
      </c>
      <c r="I19" s="1012">
        <f>transport!H54</f>
        <v>0</v>
      </c>
      <c r="J19" s="1012">
        <f>transport!I54</f>
        <v>0</v>
      </c>
      <c r="K19" s="1012">
        <f>transport!J54</f>
        <v>0</v>
      </c>
      <c r="L19" s="1012">
        <f>transport!K54</f>
        <v>0</v>
      </c>
      <c r="M19" s="1012">
        <f>transport!L54</f>
        <v>0</v>
      </c>
      <c r="N19" s="1012">
        <f>transport!M54</f>
        <v>142.9145685397379</v>
      </c>
      <c r="O19" s="1012">
        <f>transport!N54</f>
        <v>0</v>
      </c>
      <c r="P19" s="1012">
        <f>transport!O54</f>
        <v>0</v>
      </c>
      <c r="Q19" s="1013">
        <f>transport!P54</f>
        <v>0</v>
      </c>
      <c r="R19" s="700">
        <f>SUM(C19:Q19)</f>
        <v>4750.4218661714303</v>
      </c>
      <c r="S19" s="67"/>
    </row>
    <row r="20" spans="1:19" s="473" customFormat="1">
      <c r="A20" s="809" t="s">
        <v>307</v>
      </c>
      <c r="B20" s="814"/>
      <c r="C20" s="1012">
        <f>transport!B14</f>
        <v>41.39661087406779</v>
      </c>
      <c r="D20" s="1012">
        <f>transport!C14</f>
        <v>0</v>
      </c>
      <c r="E20" s="1012">
        <f>transport!D14</f>
        <v>87.614343792744933</v>
      </c>
      <c r="F20" s="1012">
        <f>transport!E14</f>
        <v>341.15138745097221</v>
      </c>
      <c r="G20" s="1012">
        <f>transport!F14</f>
        <v>0</v>
      </c>
      <c r="H20" s="1012">
        <f>transport!G14</f>
        <v>132462.09574222675</v>
      </c>
      <c r="I20" s="1012">
        <f>transport!H14</f>
        <v>23635.480010729625</v>
      </c>
      <c r="J20" s="1012">
        <f>transport!I14</f>
        <v>0</v>
      </c>
      <c r="K20" s="1012">
        <f>transport!J14</f>
        <v>0</v>
      </c>
      <c r="L20" s="1012">
        <f>transport!K14</f>
        <v>0</v>
      </c>
      <c r="M20" s="1012">
        <f>transport!L14</f>
        <v>0</v>
      </c>
      <c r="N20" s="1012">
        <f>transport!M14</f>
        <v>4881.2988093217573</v>
      </c>
      <c r="O20" s="1012">
        <f>transport!N14</f>
        <v>0</v>
      </c>
      <c r="P20" s="1012">
        <f>transport!O14</f>
        <v>0</v>
      </c>
      <c r="Q20" s="1013">
        <f>transport!P14</f>
        <v>0</v>
      </c>
      <c r="R20" s="700">
        <f>SUM(C20:Q20)</f>
        <v>161449.03690439591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41.39661087406779</v>
      </c>
      <c r="D22" s="812">
        <f t="shared" ref="D22:R22" si="1">SUM(D18:D21)</f>
        <v>0</v>
      </c>
      <c r="E22" s="812">
        <f t="shared" si="1"/>
        <v>87.614343792744933</v>
      </c>
      <c r="F22" s="812">
        <f t="shared" si="1"/>
        <v>341.15138745097221</v>
      </c>
      <c r="G22" s="812">
        <f t="shared" si="1"/>
        <v>0</v>
      </c>
      <c r="H22" s="812">
        <f t="shared" si="1"/>
        <v>137069.60303985846</v>
      </c>
      <c r="I22" s="812">
        <f t="shared" si="1"/>
        <v>23635.480010729625</v>
      </c>
      <c r="J22" s="812">
        <f t="shared" si="1"/>
        <v>0</v>
      </c>
      <c r="K22" s="812">
        <f t="shared" si="1"/>
        <v>0</v>
      </c>
      <c r="L22" s="812">
        <f t="shared" si="1"/>
        <v>0</v>
      </c>
      <c r="M22" s="812">
        <f t="shared" si="1"/>
        <v>0</v>
      </c>
      <c r="N22" s="812">
        <f t="shared" si="1"/>
        <v>5024.2133778614952</v>
      </c>
      <c r="O22" s="812">
        <f t="shared" si="1"/>
        <v>0</v>
      </c>
      <c r="P22" s="812">
        <f t="shared" si="1"/>
        <v>0</v>
      </c>
      <c r="Q22" s="812">
        <f t="shared" si="1"/>
        <v>0</v>
      </c>
      <c r="R22" s="812">
        <f t="shared" si="1"/>
        <v>166199.45877056735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3754.442579514</v>
      </c>
      <c r="D24" s="1012">
        <f>+landbouw!C8</f>
        <v>85970.78571428571</v>
      </c>
      <c r="E24" s="1012">
        <f>+landbouw!D8</f>
        <v>20819.09362664519</v>
      </c>
      <c r="F24" s="1012">
        <f>+landbouw!E8</f>
        <v>96.812658732792883</v>
      </c>
      <c r="G24" s="1012">
        <f>+landbouw!F8</f>
        <v>6230.7026269803409</v>
      </c>
      <c r="H24" s="1012">
        <f>+landbouw!G8</f>
        <v>0</v>
      </c>
      <c r="I24" s="1012">
        <f>+landbouw!H8</f>
        <v>0</v>
      </c>
      <c r="J24" s="1012">
        <f>+landbouw!I8</f>
        <v>0</v>
      </c>
      <c r="K24" s="1012">
        <f>+landbouw!J8</f>
        <v>540.50161805833909</v>
      </c>
      <c r="L24" s="1012">
        <f>+landbouw!K8</f>
        <v>0</v>
      </c>
      <c r="M24" s="1012">
        <f>+landbouw!L8</f>
        <v>0</v>
      </c>
      <c r="N24" s="1012">
        <f>+landbouw!M8</f>
        <v>0</v>
      </c>
      <c r="O24" s="1012">
        <f>+landbouw!N8</f>
        <v>0</v>
      </c>
      <c r="P24" s="1012">
        <f>+landbouw!O8</f>
        <v>0</v>
      </c>
      <c r="Q24" s="1013">
        <f>+landbouw!P8</f>
        <v>0</v>
      </c>
      <c r="R24" s="700">
        <f>SUM(C24:Q24)</f>
        <v>117412.33882421636</v>
      </c>
      <c r="S24" s="67"/>
    </row>
    <row r="25" spans="1:19" s="473" customFormat="1" ht="15" thickBot="1">
      <c r="A25" s="831" t="s">
        <v>848</v>
      </c>
      <c r="B25" s="1015"/>
      <c r="C25" s="1016">
        <f>IF(Onbekend_ele_kWh="---",0,Onbekend_ele_kWh)/1000+IF(REST_rest_ele_kWh="---",0,REST_rest_ele_kWh)/1000</f>
        <v>2251.9737721000001</v>
      </c>
      <c r="D25" s="1016"/>
      <c r="E25" s="1016">
        <f>IF(onbekend_gas_kWh="---",0,onbekend_gas_kWh)/1000+IF(REST_rest_gas_kWh="---",0,REST_rest_gas_kWh)/1000</f>
        <v>9506.3685600000008</v>
      </c>
      <c r="F25" s="1016"/>
      <c r="G25" s="1016"/>
      <c r="H25" s="1016"/>
      <c r="I25" s="1016"/>
      <c r="J25" s="1016"/>
      <c r="K25" s="1016"/>
      <c r="L25" s="1016"/>
      <c r="M25" s="1016"/>
      <c r="N25" s="1016"/>
      <c r="O25" s="1016"/>
      <c r="P25" s="1016"/>
      <c r="Q25" s="1017"/>
      <c r="R25" s="700">
        <f>SUM(C25:Q25)</f>
        <v>11758.342332100001</v>
      </c>
      <c r="S25" s="67"/>
    </row>
    <row r="26" spans="1:19" s="473" customFormat="1" ht="15.75" thickBot="1">
      <c r="A26" s="705" t="s">
        <v>849</v>
      </c>
      <c r="B26" s="817"/>
      <c r="C26" s="812">
        <f>SUM(C24:C25)</f>
        <v>6006.4163516139997</v>
      </c>
      <c r="D26" s="812">
        <f t="shared" ref="D26:R26" si="2">SUM(D24:D25)</f>
        <v>85970.78571428571</v>
      </c>
      <c r="E26" s="812">
        <f t="shared" si="2"/>
        <v>30325.462186645193</v>
      </c>
      <c r="F26" s="812">
        <f t="shared" si="2"/>
        <v>96.812658732792883</v>
      </c>
      <c r="G26" s="812">
        <f t="shared" si="2"/>
        <v>6230.7026269803409</v>
      </c>
      <c r="H26" s="812">
        <f t="shared" si="2"/>
        <v>0</v>
      </c>
      <c r="I26" s="812">
        <f t="shared" si="2"/>
        <v>0</v>
      </c>
      <c r="J26" s="812">
        <f t="shared" si="2"/>
        <v>0</v>
      </c>
      <c r="K26" s="812">
        <f t="shared" si="2"/>
        <v>540.50161805833909</v>
      </c>
      <c r="L26" s="812">
        <f t="shared" si="2"/>
        <v>0</v>
      </c>
      <c r="M26" s="812">
        <f t="shared" si="2"/>
        <v>0</v>
      </c>
      <c r="N26" s="812">
        <f t="shared" si="2"/>
        <v>0</v>
      </c>
      <c r="O26" s="812">
        <f t="shared" si="2"/>
        <v>0</v>
      </c>
      <c r="P26" s="812">
        <f t="shared" si="2"/>
        <v>0</v>
      </c>
      <c r="Q26" s="812">
        <f t="shared" si="2"/>
        <v>0</v>
      </c>
      <c r="R26" s="812">
        <f t="shared" si="2"/>
        <v>129170.68115631636</v>
      </c>
      <c r="S26" s="67"/>
    </row>
    <row r="27" spans="1:19" s="473" customFormat="1" ht="17.25" thickTop="1" thickBot="1">
      <c r="A27" s="706" t="s">
        <v>116</v>
      </c>
      <c r="B27" s="805"/>
      <c r="C27" s="707">
        <f ca="1">C22+C16+C26</f>
        <v>191392.12336426604</v>
      </c>
      <c r="D27" s="707">
        <f t="shared" ref="D27:R27" ca="1" si="3">D22+D16+D26</f>
        <v>86870.78571428571</v>
      </c>
      <c r="E27" s="707">
        <f t="shared" ca="1" si="3"/>
        <v>295273.1113407347</v>
      </c>
      <c r="F27" s="707">
        <f t="shared" si="3"/>
        <v>8689.9854509618108</v>
      </c>
      <c r="G27" s="707">
        <f t="shared" ca="1" si="3"/>
        <v>42592.237933543445</v>
      </c>
      <c r="H27" s="707">
        <f t="shared" si="3"/>
        <v>137069.60303985846</v>
      </c>
      <c r="I27" s="707">
        <f t="shared" si="3"/>
        <v>23635.480010729625</v>
      </c>
      <c r="J27" s="707">
        <f t="shared" si="3"/>
        <v>0</v>
      </c>
      <c r="K27" s="707">
        <f t="shared" si="3"/>
        <v>835.85084666154285</v>
      </c>
      <c r="L27" s="707">
        <f t="shared" si="3"/>
        <v>0</v>
      </c>
      <c r="M27" s="707">
        <f t="shared" ca="1" si="3"/>
        <v>0</v>
      </c>
      <c r="N27" s="707">
        <f t="shared" si="3"/>
        <v>5024.2133778614952</v>
      </c>
      <c r="O27" s="707">
        <f t="shared" ca="1" si="3"/>
        <v>20385.352650861209</v>
      </c>
      <c r="P27" s="707">
        <f t="shared" si="3"/>
        <v>256.38666666666671</v>
      </c>
      <c r="Q27" s="707">
        <f t="shared" si="3"/>
        <v>1144</v>
      </c>
      <c r="R27" s="707">
        <f t="shared" ca="1" si="3"/>
        <v>813169.13039643061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14621.547361704099</v>
      </c>
      <c r="D40" s="1012">
        <f ca="1">tertiair!C20</f>
        <v>189.59857459315359</v>
      </c>
      <c r="E40" s="1012">
        <f ca="1">tertiair!D20</f>
        <v>12267.385267310785</v>
      </c>
      <c r="F40" s="1012">
        <f>tertiair!E20</f>
        <v>261.31739280465422</v>
      </c>
      <c r="G40" s="1012">
        <f ca="1">tertiair!F20</f>
        <v>4175.5939340306804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31515.442530443368</v>
      </c>
    </row>
    <row r="41" spans="1:18">
      <c r="A41" s="822" t="s">
        <v>225</v>
      </c>
      <c r="B41" s="829"/>
      <c r="C41" s="1012">
        <f ca="1">huishoudens!B12</f>
        <v>11380.210727295507</v>
      </c>
      <c r="D41" s="1012">
        <f ca="1">huishoudens!C12</f>
        <v>0</v>
      </c>
      <c r="E41" s="1012">
        <f>huishoudens!D12</f>
        <v>32563.002836898158</v>
      </c>
      <c r="F41" s="1012">
        <f>huishoudens!E12</f>
        <v>953.04711066338291</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44896.260674857047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10049.562924747224</v>
      </c>
      <c r="D43" s="1012">
        <f ca="1">industrie!C22</f>
        <v>0</v>
      </c>
      <c r="E43" s="1012">
        <f>industrie!D22</f>
        <v>8671.3389274710134</v>
      </c>
      <c r="F43" s="1012">
        <f>industrie!E22</f>
        <v>658.84435541657922</v>
      </c>
      <c r="G43" s="1012">
        <f>industrie!F22</f>
        <v>5532.9359928216691</v>
      </c>
      <c r="H43" s="1012">
        <f>industrie!G22</f>
        <v>0</v>
      </c>
      <c r="I43" s="1012">
        <f>industrie!H22</f>
        <v>0</v>
      </c>
      <c r="J43" s="1012">
        <f>industrie!I22</f>
        <v>0</v>
      </c>
      <c r="K43" s="1012">
        <f>industrie!J22</f>
        <v>104.55362692553412</v>
      </c>
      <c r="L43" s="1012">
        <f>industrie!K22</f>
        <v>0</v>
      </c>
      <c r="M43" s="1012">
        <f>industrie!L22</f>
        <v>0</v>
      </c>
      <c r="N43" s="1012">
        <f>industrie!M22</f>
        <v>0</v>
      </c>
      <c r="O43" s="1012">
        <f>industrie!N22</f>
        <v>0</v>
      </c>
      <c r="P43" s="1012">
        <f>industrie!O22</f>
        <v>0</v>
      </c>
      <c r="Q43" s="774">
        <f>industrie!P22</f>
        <v>0</v>
      </c>
      <c r="R43" s="849">
        <f t="shared" ca="1" si="4"/>
        <v>25017.235827382021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36051.321013746827</v>
      </c>
      <c r="D46" s="732">
        <f t="shared" ref="D46:Q46" ca="1" si="5">SUM(D39:D45)</f>
        <v>189.59857459315359</v>
      </c>
      <c r="E46" s="732">
        <f t="shared" ca="1" si="5"/>
        <v>53501.727031679955</v>
      </c>
      <c r="F46" s="732">
        <f t="shared" si="5"/>
        <v>1873.2088588846163</v>
      </c>
      <c r="G46" s="732">
        <f t="shared" ca="1" si="5"/>
        <v>9708.5299268523486</v>
      </c>
      <c r="H46" s="732">
        <f t="shared" si="5"/>
        <v>0</v>
      </c>
      <c r="I46" s="732">
        <f t="shared" si="5"/>
        <v>0</v>
      </c>
      <c r="J46" s="732">
        <f t="shared" si="5"/>
        <v>0</v>
      </c>
      <c r="K46" s="732">
        <f t="shared" si="5"/>
        <v>104.55362692553412</v>
      </c>
      <c r="L46" s="732">
        <f t="shared" si="5"/>
        <v>0</v>
      </c>
      <c r="M46" s="732">
        <f t="shared" ca="1" si="5"/>
        <v>0</v>
      </c>
      <c r="N46" s="732">
        <f t="shared" si="5"/>
        <v>0</v>
      </c>
      <c r="O46" s="732">
        <f t="shared" ca="1" si="5"/>
        <v>0</v>
      </c>
      <c r="P46" s="732">
        <f t="shared" si="5"/>
        <v>0</v>
      </c>
      <c r="Q46" s="732">
        <f t="shared" si="5"/>
        <v>0</v>
      </c>
      <c r="R46" s="732">
        <f ca="1">SUM(R39:R45)</f>
        <v>101428.93903268242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1230.2044484676619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1230.2044484676619</v>
      </c>
    </row>
    <row r="50" spans="1:18">
      <c r="A50" s="825" t="s">
        <v>307</v>
      </c>
      <c r="B50" s="835"/>
      <c r="C50" s="703">
        <f ca="1">transport!B18</f>
        <v>8.0520546018760566</v>
      </c>
      <c r="D50" s="703">
        <f>transport!C18</f>
        <v>0</v>
      </c>
      <c r="E50" s="703">
        <f>transport!D18</f>
        <v>17.698097446134476</v>
      </c>
      <c r="F50" s="703">
        <f>transport!E18</f>
        <v>77.441364951370687</v>
      </c>
      <c r="G50" s="703">
        <f>transport!F18</f>
        <v>0</v>
      </c>
      <c r="H50" s="703">
        <f>transport!G18</f>
        <v>35367.379563174545</v>
      </c>
      <c r="I50" s="703">
        <f>transport!H18</f>
        <v>5885.234522671677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41355.805602845605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8.0520546018760566</v>
      </c>
      <c r="D52" s="732">
        <f t="shared" ref="D52:Q52" ca="1" si="6">SUM(D48:D51)</f>
        <v>0</v>
      </c>
      <c r="E52" s="732">
        <f t="shared" si="6"/>
        <v>17.698097446134476</v>
      </c>
      <c r="F52" s="732">
        <f t="shared" si="6"/>
        <v>77.441364951370687</v>
      </c>
      <c r="G52" s="732">
        <f t="shared" si="6"/>
        <v>0</v>
      </c>
      <c r="H52" s="732">
        <f t="shared" si="6"/>
        <v>36597.584011642204</v>
      </c>
      <c r="I52" s="732">
        <f t="shared" si="6"/>
        <v>5885.234522671677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42586.010051313264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730.27660988529874</v>
      </c>
      <c r="D54" s="703">
        <f ca="1">+landbouw!C12</f>
        <v>18111.04269786891</v>
      </c>
      <c r="E54" s="703">
        <f>+landbouw!D12</f>
        <v>4205.4569125823282</v>
      </c>
      <c r="F54" s="703">
        <f>+landbouw!E12</f>
        <v>21.976473532343984</v>
      </c>
      <c r="G54" s="703">
        <f>+landbouw!F12</f>
        <v>1663.597601403751</v>
      </c>
      <c r="H54" s="703">
        <f>+landbouw!G12</f>
        <v>0</v>
      </c>
      <c r="I54" s="703">
        <f>+landbouw!H12</f>
        <v>0</v>
      </c>
      <c r="J54" s="703">
        <f>+landbouw!I12</f>
        <v>0</v>
      </c>
      <c r="K54" s="703">
        <f>+landbouw!J12</f>
        <v>191.33757279265203</v>
      </c>
      <c r="L54" s="703">
        <f>+landbouw!K12</f>
        <v>0</v>
      </c>
      <c r="M54" s="703">
        <f>+landbouw!L12</f>
        <v>0</v>
      </c>
      <c r="N54" s="703">
        <f>+landbouw!M12</f>
        <v>0</v>
      </c>
      <c r="O54" s="703">
        <f>+landbouw!N12</f>
        <v>0</v>
      </c>
      <c r="P54" s="703">
        <f>+landbouw!O12</f>
        <v>0</v>
      </c>
      <c r="Q54" s="704">
        <f>+landbouw!P12</f>
        <v>0</v>
      </c>
      <c r="R54" s="731">
        <f ca="1">SUM(C54:Q54)</f>
        <v>24923.687868065284</v>
      </c>
    </row>
    <row r="55" spans="1:18" ht="15" thickBot="1">
      <c r="A55" s="825" t="s">
        <v>848</v>
      </c>
      <c r="B55" s="835"/>
      <c r="C55" s="703">
        <f ca="1">C25*'EF ele_warmte'!B12</f>
        <v>438.03140866058459</v>
      </c>
      <c r="D55" s="703"/>
      <c r="E55" s="703">
        <f>E25*EF_CO2_aardgas</f>
        <v>1920.2864491200003</v>
      </c>
      <c r="F55" s="703"/>
      <c r="G55" s="703"/>
      <c r="H55" s="703"/>
      <c r="I55" s="703"/>
      <c r="J55" s="703"/>
      <c r="K55" s="703"/>
      <c r="L55" s="703"/>
      <c r="M55" s="703"/>
      <c r="N55" s="703"/>
      <c r="O55" s="703"/>
      <c r="P55" s="703"/>
      <c r="Q55" s="704"/>
      <c r="R55" s="731">
        <f ca="1">SUM(C55:Q55)</f>
        <v>2358.3178577805847</v>
      </c>
    </row>
    <row r="56" spans="1:18" ht="15.75" thickBot="1">
      <c r="A56" s="823" t="s">
        <v>849</v>
      </c>
      <c r="B56" s="836"/>
      <c r="C56" s="732">
        <f ca="1">SUM(C54:C55)</f>
        <v>1168.3080185458834</v>
      </c>
      <c r="D56" s="732">
        <f t="shared" ref="D56:Q56" ca="1" si="7">SUM(D54:D55)</f>
        <v>18111.04269786891</v>
      </c>
      <c r="E56" s="732">
        <f t="shared" si="7"/>
        <v>6125.7433617023289</v>
      </c>
      <c r="F56" s="732">
        <f t="shared" si="7"/>
        <v>21.976473532343984</v>
      </c>
      <c r="G56" s="732">
        <f t="shared" si="7"/>
        <v>1663.597601403751</v>
      </c>
      <c r="H56" s="732">
        <f t="shared" si="7"/>
        <v>0</v>
      </c>
      <c r="I56" s="732">
        <f t="shared" si="7"/>
        <v>0</v>
      </c>
      <c r="J56" s="732">
        <f t="shared" si="7"/>
        <v>0</v>
      </c>
      <c r="K56" s="732">
        <f t="shared" si="7"/>
        <v>191.33757279265203</v>
      </c>
      <c r="L56" s="732">
        <f t="shared" si="7"/>
        <v>0</v>
      </c>
      <c r="M56" s="732">
        <f t="shared" si="7"/>
        <v>0</v>
      </c>
      <c r="N56" s="732">
        <f t="shared" si="7"/>
        <v>0</v>
      </c>
      <c r="O56" s="732">
        <f t="shared" si="7"/>
        <v>0</v>
      </c>
      <c r="P56" s="732">
        <f t="shared" si="7"/>
        <v>0</v>
      </c>
      <c r="Q56" s="733">
        <f t="shared" si="7"/>
        <v>0</v>
      </c>
      <c r="R56" s="734">
        <f ca="1">SUM(R54:R55)</f>
        <v>27282.005725845869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37227.681086894583</v>
      </c>
      <c r="D61" s="740">
        <f t="shared" ref="D61:Q61" ca="1" si="8">D46+D52+D56</f>
        <v>18300.641272462064</v>
      </c>
      <c r="E61" s="740">
        <f t="shared" ca="1" si="8"/>
        <v>59645.168490828415</v>
      </c>
      <c r="F61" s="740">
        <f t="shared" si="8"/>
        <v>1972.626697368331</v>
      </c>
      <c r="G61" s="740">
        <f t="shared" ca="1" si="8"/>
        <v>11372.1275282561</v>
      </c>
      <c r="H61" s="740">
        <f t="shared" si="8"/>
        <v>36597.584011642204</v>
      </c>
      <c r="I61" s="740">
        <f t="shared" si="8"/>
        <v>5885.234522671677</v>
      </c>
      <c r="J61" s="740">
        <f t="shared" si="8"/>
        <v>0</v>
      </c>
      <c r="K61" s="740">
        <f t="shared" si="8"/>
        <v>295.89119971818616</v>
      </c>
      <c r="L61" s="740">
        <f t="shared" si="8"/>
        <v>0</v>
      </c>
      <c r="M61" s="740">
        <f t="shared" ca="1" si="8"/>
        <v>0</v>
      </c>
      <c r="N61" s="740">
        <f t="shared" si="8"/>
        <v>0</v>
      </c>
      <c r="O61" s="740">
        <f t="shared" ca="1" si="8"/>
        <v>0</v>
      </c>
      <c r="P61" s="740">
        <f t="shared" si="8"/>
        <v>0</v>
      </c>
      <c r="Q61" s="740">
        <f t="shared" si="8"/>
        <v>0</v>
      </c>
      <c r="R61" s="740">
        <f ca="1">R46+R52+R56</f>
        <v>171296.95480984155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0.19450999567020424</v>
      </c>
      <c r="D63" s="781">
        <f t="shared" ca="1" si="9"/>
        <v>0.21066508288128172</v>
      </c>
      <c r="E63" s="1023">
        <f t="shared" ca="1" si="9"/>
        <v>0.20200000000000001</v>
      </c>
      <c r="F63" s="781">
        <f t="shared" si="9"/>
        <v>0.22699999999999998</v>
      </c>
      <c r="G63" s="781">
        <f t="shared" ca="1" si="9"/>
        <v>0.26700000000000002</v>
      </c>
      <c r="H63" s="781">
        <f t="shared" si="9"/>
        <v>0.26699999999999996</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10033.230012296708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8057.7032845122349</v>
      </c>
      <c r="C76" s="750">
        <f>'lokale energieproductie'!B8*IFERROR(SUM(D76:H76)/SUM(D76:O76),0)</f>
        <v>55299.296715487762</v>
      </c>
      <c r="D76" s="1033">
        <f>'lokale energieproductie'!C8</f>
        <v>61898.112494882764</v>
      </c>
      <c r="E76" s="1034">
        <f>'lokale energieproductie'!D8</f>
        <v>0</v>
      </c>
      <c r="F76" s="1034">
        <f>'lokale energieproductie'!E8</f>
        <v>3159.8836409851897</v>
      </c>
      <c r="G76" s="1034">
        <f>'lokale energieproductie'!F8</f>
        <v>0</v>
      </c>
      <c r="H76" s="1034">
        <f>'lokale energieproductie'!G8</f>
        <v>0</v>
      </c>
      <c r="I76" s="1034">
        <f>'lokale energieproductie'!I8</f>
        <v>9479.6509229555686</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13347.107656109365</v>
      </c>
      <c r="R76" s="852">
        <v>0</v>
      </c>
    </row>
    <row r="77" spans="1:18" ht="30.75" thickBot="1">
      <c r="A77" s="753" t="s">
        <v>353</v>
      </c>
      <c r="B77" s="750">
        <f>'lokale energieproductie'!B9*IFERROR(SUM(I77:O77)/SUM(D77:O77),0)</f>
        <v>9945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28414.285714285717</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28035.933296808944</v>
      </c>
      <c r="C78" s="755">
        <f>SUM(C72:C77)</f>
        <v>55299.296715487762</v>
      </c>
      <c r="D78" s="756">
        <f t="shared" ref="D78:H78" si="10">SUM(D76:D77)</f>
        <v>61898.112494882764</v>
      </c>
      <c r="E78" s="756">
        <f t="shared" si="10"/>
        <v>0</v>
      </c>
      <c r="F78" s="756">
        <f t="shared" si="10"/>
        <v>3159.8836409851897</v>
      </c>
      <c r="G78" s="756">
        <f t="shared" si="10"/>
        <v>0</v>
      </c>
      <c r="H78" s="756">
        <f t="shared" si="10"/>
        <v>0</v>
      </c>
      <c r="I78" s="756">
        <f>SUM(I76:I77)</f>
        <v>9479.6509229555686</v>
      </c>
      <c r="J78" s="756">
        <f>SUM(J76:J77)</f>
        <v>28414.285714285717</v>
      </c>
      <c r="K78" s="756">
        <f t="shared" ref="K78:L78" si="11">SUM(K76:K77)</f>
        <v>0</v>
      </c>
      <c r="L78" s="756">
        <f t="shared" si="11"/>
        <v>0</v>
      </c>
      <c r="M78" s="756">
        <f>SUM(M76:M77)</f>
        <v>0</v>
      </c>
      <c r="N78" s="756">
        <f>SUM(N76:N77)</f>
        <v>0</v>
      </c>
      <c r="O78" s="860">
        <f>SUM(O76:O77)</f>
        <v>0</v>
      </c>
      <c r="P78" s="757">
        <v>0</v>
      </c>
      <c r="Q78" s="757">
        <f>SUM(Q76:Q77)</f>
        <v>13347.107656109365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11048.171715487768</v>
      </c>
      <c r="C87" s="766">
        <f>'lokale energieproductie'!B17*IFERROR(SUM(D87:H87)/SUM(D87:O87),0)</f>
        <v>75822.61399879794</v>
      </c>
      <c r="D87" s="777">
        <f>'lokale energieproductie'!C17</f>
        <v>84870.458933688657</v>
      </c>
      <c r="E87" s="777">
        <f>'lokale energieproductie'!D17</f>
        <v>0</v>
      </c>
      <c r="F87" s="777">
        <f>'lokale energieproductie'!E17</f>
        <v>4332.6163590148108</v>
      </c>
      <c r="G87" s="777">
        <f>'lokale energieproductie'!F17</f>
        <v>0</v>
      </c>
      <c r="H87" s="777">
        <f>'lokale energieproductie'!G17</f>
        <v>0</v>
      </c>
      <c r="I87" s="777">
        <f>'lokale energieproductie'!I17</f>
        <v>12997.849077044431</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18300.641272462064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11048.171715487768</v>
      </c>
      <c r="C90" s="755">
        <f>SUM(C87:C89)</f>
        <v>75822.61399879794</v>
      </c>
      <c r="D90" s="755">
        <f t="shared" ref="D90:H90" si="12">SUM(D87:D89)</f>
        <v>84870.458933688657</v>
      </c>
      <c r="E90" s="755">
        <f t="shared" si="12"/>
        <v>0</v>
      </c>
      <c r="F90" s="755">
        <f t="shared" si="12"/>
        <v>4332.6163590148108</v>
      </c>
      <c r="G90" s="755">
        <f t="shared" si="12"/>
        <v>0</v>
      </c>
      <c r="H90" s="755">
        <f t="shared" si="12"/>
        <v>0</v>
      </c>
      <c r="I90" s="755">
        <f>SUM(I87:I89)</f>
        <v>12997.849077044431</v>
      </c>
      <c r="J90" s="755">
        <f>SUM(J87:J89)</f>
        <v>0</v>
      </c>
      <c r="K90" s="755">
        <f t="shared" ref="K90:L90" si="13">SUM(K87:K89)</f>
        <v>0</v>
      </c>
      <c r="L90" s="755">
        <f t="shared" si="13"/>
        <v>0</v>
      </c>
      <c r="M90" s="755">
        <f>SUM(M87:M89)</f>
        <v>0</v>
      </c>
      <c r="N90" s="755">
        <f>SUM(N87:N89)</f>
        <v>0</v>
      </c>
      <c r="O90" s="755">
        <f>SUM(O87:O89)</f>
        <v>0</v>
      </c>
      <c r="P90" s="755">
        <v>0</v>
      </c>
      <c r="Q90" s="755">
        <f>SUM(Q87:Q89)</f>
        <v>18300.641272462064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10033.230012296708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63357</v>
      </c>
      <c r="C8" s="570">
        <f>B101</f>
        <v>61898.112494882764</v>
      </c>
      <c r="D8" s="1043"/>
      <c r="E8" s="1043">
        <f>E101</f>
        <v>3159.8836409851897</v>
      </c>
      <c r="F8" s="1044"/>
      <c r="G8" s="571"/>
      <c r="H8" s="1043">
        <f>I101</f>
        <v>0</v>
      </c>
      <c r="I8" s="1043">
        <f>G101+F101</f>
        <v>9479.6509229555686</v>
      </c>
      <c r="J8" s="1043">
        <f>H101+D101+C101</f>
        <v>0</v>
      </c>
      <c r="K8" s="1043"/>
      <c r="L8" s="1043"/>
      <c r="M8" s="1043"/>
      <c r="N8" s="572"/>
      <c r="O8" s="573">
        <f>C8*$C$12+D8*$D$12+E8*$E$12+F8*$F$12+G8*$G$12+H8*$H$12+I8*$I$12+J8*$J$12</f>
        <v>13347.107656109365</v>
      </c>
      <c r="P8" s="1258"/>
      <c r="Q8" s="1259"/>
      <c r="S8" s="1007"/>
      <c r="T8" s="1237"/>
      <c r="U8" s="1237"/>
    </row>
    <row r="9" spans="1:21" s="559" customFormat="1" ht="17.45" customHeight="1" thickBot="1">
      <c r="A9" s="574" t="s">
        <v>248</v>
      </c>
      <c r="B9" s="575">
        <f>N89+'Eigen informatie GS &amp; warmtenet'!B12</f>
        <v>9945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83335.230012296714</v>
      </c>
      <c r="C10" s="583">
        <f t="shared" ref="C10:L10" si="0">SUM(C8:C9)</f>
        <v>61898.112494882764</v>
      </c>
      <c r="D10" s="583">
        <f t="shared" si="0"/>
        <v>0</v>
      </c>
      <c r="E10" s="583">
        <f t="shared" si="0"/>
        <v>3159.8836409851897</v>
      </c>
      <c r="F10" s="583">
        <f t="shared" si="0"/>
        <v>0</v>
      </c>
      <c r="G10" s="583">
        <f t="shared" si="0"/>
        <v>0</v>
      </c>
      <c r="H10" s="583">
        <f t="shared" si="0"/>
        <v>0</v>
      </c>
      <c r="I10" s="583">
        <f t="shared" si="0"/>
        <v>9479.6509229555686</v>
      </c>
      <c r="J10" s="583">
        <f t="shared" si="0"/>
        <v>28414.285714285717</v>
      </c>
      <c r="K10" s="583">
        <f t="shared" si="0"/>
        <v>0</v>
      </c>
      <c r="L10" s="583">
        <f t="shared" si="0"/>
        <v>0</v>
      </c>
      <c r="M10" s="1046"/>
      <c r="N10" s="1046"/>
      <c r="O10" s="584">
        <f>SUM(O4:O9)</f>
        <v>13347.107656109365</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86870.78571428571</v>
      </c>
      <c r="C17" s="595">
        <f>B102</f>
        <v>84870.458933688657</v>
      </c>
      <c r="D17" s="596"/>
      <c r="E17" s="596">
        <f>E102</f>
        <v>4332.6163590148108</v>
      </c>
      <c r="F17" s="1049"/>
      <c r="G17" s="597"/>
      <c r="H17" s="595">
        <f>I102</f>
        <v>0</v>
      </c>
      <c r="I17" s="596">
        <f>G102+F102</f>
        <v>12997.849077044431</v>
      </c>
      <c r="J17" s="596">
        <f>H102+D102+C102</f>
        <v>0</v>
      </c>
      <c r="K17" s="596"/>
      <c r="L17" s="596"/>
      <c r="M17" s="596"/>
      <c r="N17" s="1050"/>
      <c r="O17" s="598">
        <f>C17*$C$22+E17*$E$22+H17*$H$22+I17*$I$22+J17*$J$22+D17*$D$22+F17*$F$22+G17*$G$22+K17*$K$22+L17*$L$22</f>
        <v>18300.641272462064</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86870.78571428571</v>
      </c>
      <c r="C20" s="582">
        <f>SUM(C17:C19)</f>
        <v>84870.458933688657</v>
      </c>
      <c r="D20" s="582">
        <f t="shared" ref="D20:L20" si="1">SUM(D17:D19)</f>
        <v>0</v>
      </c>
      <c r="E20" s="582">
        <f t="shared" si="1"/>
        <v>4332.6163590148108</v>
      </c>
      <c r="F20" s="582">
        <f t="shared" si="1"/>
        <v>0</v>
      </c>
      <c r="G20" s="582">
        <f t="shared" si="1"/>
        <v>0</v>
      </c>
      <c r="H20" s="582">
        <f t="shared" si="1"/>
        <v>0</v>
      </c>
      <c r="I20" s="582">
        <f t="shared" si="1"/>
        <v>12997.849077044431</v>
      </c>
      <c r="J20" s="582">
        <f t="shared" si="1"/>
        <v>0</v>
      </c>
      <c r="K20" s="582">
        <f t="shared" si="1"/>
        <v>0</v>
      </c>
      <c r="L20" s="582">
        <f t="shared" si="1"/>
        <v>0</v>
      </c>
      <c r="M20" s="582"/>
      <c r="N20" s="582"/>
      <c r="O20" s="601">
        <f>SUM(O17:O19)</f>
        <v>18300.641272462064</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12021</v>
      </c>
      <c r="C28" s="796">
        <v>2500</v>
      </c>
      <c r="D28" s="653" t="s">
        <v>890</v>
      </c>
      <c r="E28" s="652" t="s">
        <v>891</v>
      </c>
      <c r="F28" s="652" t="s">
        <v>892</v>
      </c>
      <c r="G28" s="652" t="s">
        <v>893</v>
      </c>
      <c r="H28" s="652" t="s">
        <v>894</v>
      </c>
      <c r="I28" s="652" t="s">
        <v>891</v>
      </c>
      <c r="J28" s="795">
        <v>39386</v>
      </c>
      <c r="K28" s="795">
        <v>39218</v>
      </c>
      <c r="L28" s="652" t="s">
        <v>895</v>
      </c>
      <c r="M28" s="652">
        <v>3116</v>
      </c>
      <c r="N28" s="652">
        <v>14022</v>
      </c>
      <c r="O28" s="652">
        <v>20031.428571428572</v>
      </c>
      <c r="P28" s="652">
        <v>40062.857142857145</v>
      </c>
      <c r="Q28" s="652">
        <v>0</v>
      </c>
      <c r="R28" s="652">
        <v>0</v>
      </c>
      <c r="S28" s="652">
        <v>0</v>
      </c>
      <c r="T28" s="652">
        <v>0</v>
      </c>
      <c r="U28" s="652">
        <v>0</v>
      </c>
      <c r="V28" s="652">
        <v>0</v>
      </c>
      <c r="W28" s="652">
        <v>0</v>
      </c>
      <c r="X28" s="652">
        <v>10</v>
      </c>
      <c r="Y28" s="652" t="s">
        <v>112</v>
      </c>
      <c r="Z28" s="654" t="s">
        <v>112</v>
      </c>
    </row>
    <row r="29" spans="1:26" s="606" customFormat="1" ht="25.5">
      <c r="A29" s="605"/>
      <c r="B29" s="796">
        <v>12021</v>
      </c>
      <c r="C29" s="796">
        <v>2500</v>
      </c>
      <c r="D29" s="653" t="s">
        <v>896</v>
      </c>
      <c r="E29" s="652" t="s">
        <v>897</v>
      </c>
      <c r="F29" s="652" t="s">
        <v>898</v>
      </c>
      <c r="G29" s="652" t="s">
        <v>893</v>
      </c>
      <c r="H29" s="652" t="s">
        <v>894</v>
      </c>
      <c r="I29" s="652" t="s">
        <v>897</v>
      </c>
      <c r="J29" s="795">
        <v>39370</v>
      </c>
      <c r="K29" s="795">
        <v>39444</v>
      </c>
      <c r="L29" s="652" t="s">
        <v>895</v>
      </c>
      <c r="M29" s="652">
        <v>1147</v>
      </c>
      <c r="N29" s="652">
        <v>5161.5</v>
      </c>
      <c r="O29" s="652">
        <v>7373.5714285714284</v>
      </c>
      <c r="P29" s="652">
        <v>14747.142857142859</v>
      </c>
      <c r="Q29" s="652">
        <v>0</v>
      </c>
      <c r="R29" s="652">
        <v>0</v>
      </c>
      <c r="S29" s="652">
        <v>0</v>
      </c>
      <c r="T29" s="652">
        <v>0</v>
      </c>
      <c r="U29" s="652">
        <v>0</v>
      </c>
      <c r="V29" s="652">
        <v>0</v>
      </c>
      <c r="W29" s="652">
        <v>0</v>
      </c>
      <c r="X29" s="652">
        <v>10</v>
      </c>
      <c r="Y29" s="652" t="s">
        <v>112</v>
      </c>
      <c r="Z29" s="654" t="s">
        <v>112</v>
      </c>
    </row>
    <row r="30" spans="1:26" s="606" customFormat="1" ht="38.25">
      <c r="A30" s="605"/>
      <c r="B30" s="796">
        <v>12021</v>
      </c>
      <c r="C30" s="796">
        <v>2500</v>
      </c>
      <c r="D30" s="653" t="s">
        <v>899</v>
      </c>
      <c r="E30" s="652" t="s">
        <v>900</v>
      </c>
      <c r="F30" s="652" t="s">
        <v>901</v>
      </c>
      <c r="G30" s="652" t="s">
        <v>893</v>
      </c>
      <c r="H30" s="652" t="s">
        <v>902</v>
      </c>
      <c r="I30" s="652" t="s">
        <v>900</v>
      </c>
      <c r="J30" s="795">
        <v>40823</v>
      </c>
      <c r="K30" s="795">
        <v>39630</v>
      </c>
      <c r="L30" s="652" t="s">
        <v>895</v>
      </c>
      <c r="M30" s="652">
        <v>2664</v>
      </c>
      <c r="N30" s="652">
        <v>11988</v>
      </c>
      <c r="O30" s="652">
        <v>13486.5</v>
      </c>
      <c r="P30" s="652">
        <v>0</v>
      </c>
      <c r="Q30" s="652">
        <v>0</v>
      </c>
      <c r="R30" s="652">
        <v>0</v>
      </c>
      <c r="S30" s="652">
        <v>7492.5</v>
      </c>
      <c r="T30" s="652">
        <v>0</v>
      </c>
      <c r="U30" s="652">
        <v>22477.5</v>
      </c>
      <c r="V30" s="652">
        <v>0</v>
      </c>
      <c r="W30" s="652">
        <v>0</v>
      </c>
      <c r="X30" s="652">
        <v>10</v>
      </c>
      <c r="Y30" s="652" t="s">
        <v>112</v>
      </c>
      <c r="Z30" s="654" t="s">
        <v>112</v>
      </c>
    </row>
    <row r="31" spans="1:26" s="606" customFormat="1" ht="38.25">
      <c r="A31" s="605"/>
      <c r="B31" s="796">
        <v>12021</v>
      </c>
      <c r="C31" s="796">
        <v>2500</v>
      </c>
      <c r="D31" s="653" t="s">
        <v>903</v>
      </c>
      <c r="E31" s="652" t="s">
        <v>904</v>
      </c>
      <c r="F31" s="652" t="s">
        <v>905</v>
      </c>
      <c r="G31" s="652" t="s">
        <v>893</v>
      </c>
      <c r="H31" s="652" t="s">
        <v>894</v>
      </c>
      <c r="I31" s="652" t="s">
        <v>906</v>
      </c>
      <c r="J31" s="795">
        <v>40016</v>
      </c>
      <c r="K31" s="795">
        <v>40023</v>
      </c>
      <c r="L31" s="652" t="s">
        <v>895</v>
      </c>
      <c r="M31" s="652">
        <v>1008</v>
      </c>
      <c r="N31" s="652">
        <v>4536</v>
      </c>
      <c r="O31" s="652">
        <v>6480</v>
      </c>
      <c r="P31" s="652">
        <v>12960</v>
      </c>
      <c r="Q31" s="652">
        <v>0</v>
      </c>
      <c r="R31" s="652">
        <v>0</v>
      </c>
      <c r="S31" s="652">
        <v>0</v>
      </c>
      <c r="T31" s="652">
        <v>0</v>
      </c>
      <c r="U31" s="652">
        <v>0</v>
      </c>
      <c r="V31" s="652">
        <v>0</v>
      </c>
      <c r="W31" s="652">
        <v>0</v>
      </c>
      <c r="X31" s="652">
        <v>10</v>
      </c>
      <c r="Y31" s="652" t="s">
        <v>112</v>
      </c>
      <c r="Z31" s="654" t="s">
        <v>112</v>
      </c>
    </row>
    <row r="32" spans="1:26" s="606" customFormat="1" ht="25.5">
      <c r="A32" s="605"/>
      <c r="B32" s="796">
        <v>12021</v>
      </c>
      <c r="C32" s="796">
        <v>2500</v>
      </c>
      <c r="D32" s="653" t="s">
        <v>907</v>
      </c>
      <c r="E32" s="652" t="s">
        <v>908</v>
      </c>
      <c r="F32" s="652" t="s">
        <v>909</v>
      </c>
      <c r="G32" s="652" t="s">
        <v>893</v>
      </c>
      <c r="H32" s="652" t="s">
        <v>894</v>
      </c>
      <c r="I32" s="652" t="s">
        <v>910</v>
      </c>
      <c r="J32" s="795">
        <v>39998</v>
      </c>
      <c r="K32" s="795">
        <v>40028</v>
      </c>
      <c r="L32" s="652" t="s">
        <v>895</v>
      </c>
      <c r="M32" s="652">
        <v>1562</v>
      </c>
      <c r="N32" s="652">
        <v>7029</v>
      </c>
      <c r="O32" s="652">
        <v>10041.428571428572</v>
      </c>
      <c r="P32" s="652">
        <v>20082.857142857145</v>
      </c>
      <c r="Q32" s="652">
        <v>0</v>
      </c>
      <c r="R32" s="652">
        <v>0</v>
      </c>
      <c r="S32" s="652">
        <v>0</v>
      </c>
      <c r="T32" s="652">
        <v>0</v>
      </c>
      <c r="U32" s="652">
        <v>0</v>
      </c>
      <c r="V32" s="652">
        <v>0</v>
      </c>
      <c r="W32" s="652">
        <v>0</v>
      </c>
      <c r="X32" s="652">
        <v>10</v>
      </c>
      <c r="Y32" s="652" t="s">
        <v>112</v>
      </c>
      <c r="Z32" s="654" t="s">
        <v>112</v>
      </c>
    </row>
    <row r="33" spans="1:26" s="606" customFormat="1" ht="25.5">
      <c r="A33" s="605"/>
      <c r="B33" s="796">
        <v>12021</v>
      </c>
      <c r="C33" s="796">
        <v>2500</v>
      </c>
      <c r="D33" s="653" t="s">
        <v>911</v>
      </c>
      <c r="E33" s="652" t="s">
        <v>912</v>
      </c>
      <c r="F33" s="652" t="s">
        <v>913</v>
      </c>
      <c r="G33" s="652" t="s">
        <v>893</v>
      </c>
      <c r="H33" s="652" t="s">
        <v>894</v>
      </c>
      <c r="I33" s="652" t="s">
        <v>912</v>
      </c>
      <c r="J33" s="795">
        <v>40043</v>
      </c>
      <c r="K33" s="795">
        <v>40043</v>
      </c>
      <c r="L33" s="652" t="s">
        <v>895</v>
      </c>
      <c r="M33" s="652">
        <v>2425</v>
      </c>
      <c r="N33" s="652">
        <v>10912.5</v>
      </c>
      <c r="O33" s="652">
        <v>15589.285714285714</v>
      </c>
      <c r="P33" s="652">
        <v>31178.571428571431</v>
      </c>
      <c r="Q33" s="652">
        <v>0</v>
      </c>
      <c r="R33" s="652">
        <v>0</v>
      </c>
      <c r="S33" s="652">
        <v>0</v>
      </c>
      <c r="T33" s="652">
        <v>0</v>
      </c>
      <c r="U33" s="652">
        <v>0</v>
      </c>
      <c r="V33" s="652">
        <v>0</v>
      </c>
      <c r="W33" s="652">
        <v>0</v>
      </c>
      <c r="X33" s="652">
        <v>10</v>
      </c>
      <c r="Y33" s="652" t="s">
        <v>112</v>
      </c>
      <c r="Z33" s="654" t="s">
        <v>112</v>
      </c>
    </row>
    <row r="34" spans="1:26" s="606" customFormat="1" ht="25.5">
      <c r="A34" s="605"/>
      <c r="B34" s="796">
        <v>12021</v>
      </c>
      <c r="C34" s="796">
        <v>2500</v>
      </c>
      <c r="D34" s="653" t="s">
        <v>914</v>
      </c>
      <c r="E34" s="652" t="s">
        <v>915</v>
      </c>
      <c r="F34" s="652" t="s">
        <v>916</v>
      </c>
      <c r="G34" s="652" t="s">
        <v>893</v>
      </c>
      <c r="H34" s="652" t="s">
        <v>894</v>
      </c>
      <c r="I34" s="652" t="s">
        <v>915</v>
      </c>
      <c r="J34" s="795">
        <v>40619</v>
      </c>
      <c r="K34" s="795">
        <v>40619</v>
      </c>
      <c r="L34" s="652" t="s">
        <v>895</v>
      </c>
      <c r="M34" s="652">
        <v>1184</v>
      </c>
      <c r="N34" s="652">
        <v>5328</v>
      </c>
      <c r="O34" s="652">
        <v>7611.4285714285716</v>
      </c>
      <c r="P34" s="652">
        <v>15222.857142857143</v>
      </c>
      <c r="Q34" s="652">
        <v>0</v>
      </c>
      <c r="R34" s="652">
        <v>0</v>
      </c>
      <c r="S34" s="652">
        <v>0</v>
      </c>
      <c r="T34" s="652">
        <v>0</v>
      </c>
      <c r="U34" s="652">
        <v>0</v>
      </c>
      <c r="V34" s="652">
        <v>0</v>
      </c>
      <c r="W34" s="652">
        <v>0</v>
      </c>
      <c r="X34" s="652">
        <v>10</v>
      </c>
      <c r="Y34" s="652" t="s">
        <v>112</v>
      </c>
      <c r="Z34" s="654" t="s">
        <v>112</v>
      </c>
    </row>
    <row r="35" spans="1:26" s="606" customFormat="1" ht="51">
      <c r="A35" s="605"/>
      <c r="B35" s="796">
        <v>12021</v>
      </c>
      <c r="C35" s="796">
        <v>2500</v>
      </c>
      <c r="D35" s="653" t="s">
        <v>917</v>
      </c>
      <c r="E35" s="652" t="s">
        <v>918</v>
      </c>
      <c r="F35" s="652" t="s">
        <v>919</v>
      </c>
      <c r="G35" s="652" t="s">
        <v>893</v>
      </c>
      <c r="H35" s="652" t="s">
        <v>894</v>
      </c>
      <c r="I35" s="652" t="s">
        <v>920</v>
      </c>
      <c r="J35" s="795">
        <v>41393</v>
      </c>
      <c r="K35" s="795">
        <v>41659</v>
      </c>
      <c r="L35" s="652" t="s">
        <v>895</v>
      </c>
      <c r="M35" s="652">
        <v>140</v>
      </c>
      <c r="N35" s="652">
        <v>630.00000000000011</v>
      </c>
      <c r="O35" s="652">
        <v>900.00000000000023</v>
      </c>
      <c r="P35" s="652">
        <v>1800.0000000000005</v>
      </c>
      <c r="Q35" s="652">
        <v>0</v>
      </c>
      <c r="R35" s="652">
        <v>0</v>
      </c>
      <c r="S35" s="652">
        <v>0</v>
      </c>
      <c r="T35" s="652">
        <v>0</v>
      </c>
      <c r="U35" s="652">
        <v>0</v>
      </c>
      <c r="V35" s="652">
        <v>0</v>
      </c>
      <c r="W35" s="652">
        <v>0</v>
      </c>
      <c r="X35" s="652">
        <v>1500</v>
      </c>
      <c r="Y35" s="652" t="s">
        <v>51</v>
      </c>
      <c r="Z35" s="654" t="s">
        <v>156</v>
      </c>
    </row>
    <row r="36" spans="1:26" s="606" customFormat="1" ht="25.5">
      <c r="A36" s="605"/>
      <c r="B36" s="796">
        <v>12021</v>
      </c>
      <c r="C36" s="796">
        <v>2500</v>
      </c>
      <c r="D36" s="653"/>
      <c r="E36" s="652"/>
      <c r="F36" s="652" t="s">
        <v>921</v>
      </c>
      <c r="G36" s="652" t="s">
        <v>893</v>
      </c>
      <c r="H36" s="652" t="s">
        <v>894</v>
      </c>
      <c r="I36" s="652" t="s">
        <v>922</v>
      </c>
      <c r="J36" s="795">
        <v>41990</v>
      </c>
      <c r="K36" s="795">
        <v>42188</v>
      </c>
      <c r="L36" s="652" t="s">
        <v>895</v>
      </c>
      <c r="M36" s="652">
        <v>2000</v>
      </c>
      <c r="N36" s="652">
        <v>3750</v>
      </c>
      <c r="O36" s="652">
        <v>5357.1428571428569</v>
      </c>
      <c r="P36" s="652">
        <v>10714.285714285716</v>
      </c>
      <c r="Q36" s="652">
        <v>0</v>
      </c>
      <c r="R36" s="652">
        <v>0</v>
      </c>
      <c r="S36" s="652">
        <v>0</v>
      </c>
      <c r="T36" s="652">
        <v>0</v>
      </c>
      <c r="U36" s="652">
        <v>0</v>
      </c>
      <c r="V36" s="652">
        <v>0</v>
      </c>
      <c r="W36" s="652">
        <v>0</v>
      </c>
      <c r="X36" s="652">
        <v>10</v>
      </c>
      <c r="Y36" s="652" t="s">
        <v>923</v>
      </c>
      <c r="Z36" s="654" t="s">
        <v>112</v>
      </c>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15246</v>
      </c>
      <c r="N58" s="610">
        <f>SUM(N28:N57)</f>
        <v>63357</v>
      </c>
      <c r="O58" s="610">
        <f t="shared" ref="O58:W58" si="2">SUM(O28:O57)</f>
        <v>86870.78571428571</v>
      </c>
      <c r="P58" s="610">
        <f t="shared" si="2"/>
        <v>146768.57142857142</v>
      </c>
      <c r="Q58" s="610">
        <f t="shared" si="2"/>
        <v>0</v>
      </c>
      <c r="R58" s="610">
        <f t="shared" si="2"/>
        <v>0</v>
      </c>
      <c r="S58" s="610">
        <f t="shared" si="2"/>
        <v>7492.5</v>
      </c>
      <c r="T58" s="610">
        <f t="shared" si="2"/>
        <v>0</v>
      </c>
      <c r="U58" s="610">
        <f t="shared" si="2"/>
        <v>22477.5</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140</v>
      </c>
      <c r="N60" s="610">
        <f ca="1">SUMIF($Z$28:AD57,"tertiair",N28:N57)</f>
        <v>630.00000000000011</v>
      </c>
      <c r="O60" s="610">
        <f ca="1">SUMIF($Z$28:AE57,"tertiair",O28:O57)</f>
        <v>900.00000000000023</v>
      </c>
      <c r="P60" s="610">
        <f ca="1">SUMIF($Z$28:AF57,"tertiair",P28:P57)</f>
        <v>1800.0000000000005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15106</v>
      </c>
      <c r="N61" s="615">
        <f t="shared" si="4"/>
        <v>62727</v>
      </c>
      <c r="O61" s="615">
        <f t="shared" si="4"/>
        <v>85970.78571428571</v>
      </c>
      <c r="P61" s="615">
        <f t="shared" si="4"/>
        <v>144968.57142857142</v>
      </c>
      <c r="Q61" s="615">
        <f t="shared" si="4"/>
        <v>0</v>
      </c>
      <c r="R61" s="615">
        <f t="shared" si="4"/>
        <v>0</v>
      </c>
      <c r="S61" s="615">
        <f t="shared" si="4"/>
        <v>7492.5</v>
      </c>
      <c r="T61" s="615">
        <f t="shared" si="4"/>
        <v>0</v>
      </c>
      <c r="U61" s="615">
        <f t="shared" si="4"/>
        <v>22477.5</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12021</v>
      </c>
      <c r="C64" s="796">
        <v>2500</v>
      </c>
      <c r="D64" s="655" t="s">
        <v>924</v>
      </c>
      <c r="E64" s="655" t="s">
        <v>925</v>
      </c>
      <c r="F64" s="655" t="s">
        <v>926</v>
      </c>
      <c r="G64" s="655" t="s">
        <v>927</v>
      </c>
      <c r="H64" s="655" t="s">
        <v>928</v>
      </c>
      <c r="I64" s="655" t="s">
        <v>915</v>
      </c>
      <c r="J64" s="795">
        <v>34973</v>
      </c>
      <c r="K64" s="795">
        <v>37681</v>
      </c>
      <c r="L64" s="655" t="s">
        <v>929</v>
      </c>
      <c r="M64" s="655">
        <v>2210</v>
      </c>
      <c r="N64" s="655">
        <v>9945</v>
      </c>
      <c r="O64" s="655">
        <v>0</v>
      </c>
      <c r="P64" s="655">
        <v>0</v>
      </c>
      <c r="Q64" s="655">
        <v>0</v>
      </c>
      <c r="R64" s="655">
        <v>28414.285714285717</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2210</v>
      </c>
      <c r="N89" s="610">
        <f t="shared" ref="N89:W89" si="5">SUM(N64:N88)</f>
        <v>9945</v>
      </c>
      <c r="O89" s="610">
        <f t="shared" si="5"/>
        <v>0</v>
      </c>
      <c r="P89" s="610">
        <f t="shared" si="5"/>
        <v>0</v>
      </c>
      <c r="Q89" s="610">
        <f t="shared" si="5"/>
        <v>0</v>
      </c>
      <c r="R89" s="610">
        <f t="shared" si="5"/>
        <v>28414.285714285717</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2210</v>
      </c>
      <c r="N91" s="610">
        <f t="shared" si="7"/>
        <v>9945</v>
      </c>
      <c r="O91" s="610">
        <f t="shared" si="7"/>
        <v>0</v>
      </c>
      <c r="P91" s="610">
        <f t="shared" si="7"/>
        <v>0</v>
      </c>
      <c r="Q91" s="610">
        <f t="shared" si="7"/>
        <v>0</v>
      </c>
      <c r="R91" s="610">
        <f t="shared" si="7"/>
        <v>28414.285714285717</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0.57826044164361834</v>
      </c>
      <c r="C98" s="635">
        <f>IF(ISERROR(N58/(O58+N58)),0,N58/(N58+O58))</f>
        <v>0.42173955835638166</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61898.112494882764</v>
      </c>
      <c r="C101" s="644">
        <f t="shared" si="9"/>
        <v>0</v>
      </c>
      <c r="D101" s="644">
        <f t="shared" si="9"/>
        <v>0</v>
      </c>
      <c r="E101" s="644">
        <f t="shared" si="9"/>
        <v>3159.8836409851897</v>
      </c>
      <c r="F101" s="644">
        <f t="shared" si="9"/>
        <v>0</v>
      </c>
      <c r="G101" s="644">
        <f t="shared" si="9"/>
        <v>9479.6509229555686</v>
      </c>
      <c r="H101" s="644">
        <f t="shared" si="9"/>
        <v>0</v>
      </c>
      <c r="I101" s="645">
        <f t="shared" si="9"/>
        <v>0</v>
      </c>
      <c r="J101" s="602"/>
      <c r="K101" s="602"/>
      <c r="L101" s="640"/>
      <c r="M101" s="640"/>
      <c r="N101" s="640"/>
      <c r="O101" s="627"/>
      <c r="P101" s="627"/>
    </row>
    <row r="102" spans="1:16" ht="15.75" thickBot="1">
      <c r="A102" s="646" t="s">
        <v>286</v>
      </c>
      <c r="B102" s="647">
        <f t="shared" ref="B102:I102" si="10">$B$98*P58</f>
        <v>84870.458933688657</v>
      </c>
      <c r="C102" s="647">
        <f t="shared" si="10"/>
        <v>0</v>
      </c>
      <c r="D102" s="647">
        <f t="shared" si="10"/>
        <v>0</v>
      </c>
      <c r="E102" s="647">
        <f t="shared" si="10"/>
        <v>4332.6163590148108</v>
      </c>
      <c r="F102" s="647">
        <f t="shared" si="10"/>
        <v>0</v>
      </c>
      <c r="G102" s="647">
        <f t="shared" si="10"/>
        <v>12997.849077044431</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58507.07408677799</v>
      </c>
      <c r="C4" s="477">
        <f>huishoudens!C8</f>
        <v>0</v>
      </c>
      <c r="D4" s="477">
        <f>huishoudens!D8</f>
        <v>161202.98434107998</v>
      </c>
      <c r="E4" s="477">
        <f>huishoudens!E8</f>
        <v>4198.4454214245943</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9103.1634072414163</v>
      </c>
      <c r="O4" s="477">
        <f>huishoudens!O8</f>
        <v>251.69666666666669</v>
      </c>
      <c r="P4" s="478">
        <f>huishoudens!P8</f>
        <v>1048.6666666666667</v>
      </c>
      <c r="Q4" s="479">
        <f>SUM(B4:P4)</f>
        <v>234312.03058985728</v>
      </c>
    </row>
    <row r="5" spans="1:17">
      <c r="A5" s="476" t="s">
        <v>156</v>
      </c>
      <c r="B5" s="477">
        <f ca="1">tertiair!B16</f>
        <v>72940.501533699993</v>
      </c>
      <c r="C5" s="477">
        <f ca="1">tertiair!C16</f>
        <v>900.00000000000023</v>
      </c>
      <c r="D5" s="477">
        <f ca="1">tertiair!D16</f>
        <v>60729.630036192</v>
      </c>
      <c r="E5" s="477">
        <f>tertiair!E16</f>
        <v>1151.1779418707233</v>
      </c>
      <c r="F5" s="477">
        <f ca="1">tertiair!F16</f>
        <v>15638.928591875207</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4.6900000000000004</v>
      </c>
      <c r="P5" s="478">
        <f>tertiair!P16</f>
        <v>95.333333333333343</v>
      </c>
      <c r="Q5" s="476">
        <f t="shared" ref="Q5:Q14" ca="1" si="0">SUM(B5:P5)</f>
        <v>151460.26143697128</v>
      </c>
    </row>
    <row r="6" spans="1:17">
      <c r="A6" s="476" t="s">
        <v>194</v>
      </c>
      <c r="B6" s="477">
        <f>'openbare verlichting'!B8</f>
        <v>2230.6860000000001</v>
      </c>
      <c r="C6" s="477"/>
      <c r="D6" s="477"/>
      <c r="E6" s="477"/>
      <c r="F6" s="477"/>
      <c r="G6" s="477"/>
      <c r="H6" s="477"/>
      <c r="I6" s="477"/>
      <c r="J6" s="477"/>
      <c r="K6" s="477"/>
      <c r="L6" s="477"/>
      <c r="M6" s="477"/>
      <c r="N6" s="477"/>
      <c r="O6" s="477"/>
      <c r="P6" s="478"/>
      <c r="Q6" s="476">
        <f t="shared" si="0"/>
        <v>2230.6860000000001</v>
      </c>
    </row>
    <row r="7" spans="1:17">
      <c r="A7" s="476" t="s">
        <v>112</v>
      </c>
      <c r="B7" s="477">
        <f>landbouw!B8</f>
        <v>3754.442579514</v>
      </c>
      <c r="C7" s="477">
        <f>landbouw!C8</f>
        <v>85970.78571428571</v>
      </c>
      <c r="D7" s="477">
        <f>landbouw!D8</f>
        <v>20819.09362664519</v>
      </c>
      <c r="E7" s="477">
        <f>landbouw!E8</f>
        <v>96.812658732792883</v>
      </c>
      <c r="F7" s="477">
        <f>landbouw!F8</f>
        <v>6230.7026269803409</v>
      </c>
      <c r="G7" s="477">
        <f>landbouw!G8</f>
        <v>0</v>
      </c>
      <c r="H7" s="477">
        <f>landbouw!H8</f>
        <v>0</v>
      </c>
      <c r="I7" s="477">
        <f>landbouw!I8</f>
        <v>0</v>
      </c>
      <c r="J7" s="477">
        <f>landbouw!J8</f>
        <v>540.50161805833909</v>
      </c>
      <c r="K7" s="477">
        <f>landbouw!K8</f>
        <v>0</v>
      </c>
      <c r="L7" s="477">
        <f>landbouw!L8</f>
        <v>0</v>
      </c>
      <c r="M7" s="477">
        <f>landbouw!M8</f>
        <v>0</v>
      </c>
      <c r="N7" s="477">
        <f>landbouw!N8</f>
        <v>0</v>
      </c>
      <c r="O7" s="477">
        <f>landbouw!O8</f>
        <v>0</v>
      </c>
      <c r="P7" s="478">
        <f>landbouw!P8</f>
        <v>0</v>
      </c>
      <c r="Q7" s="476">
        <f t="shared" si="0"/>
        <v>117412.33882421636</v>
      </c>
    </row>
    <row r="8" spans="1:17">
      <c r="A8" s="476" t="s">
        <v>638</v>
      </c>
      <c r="B8" s="477">
        <f>industrie!B18</f>
        <v>51666.048781299993</v>
      </c>
      <c r="C8" s="477">
        <f>industrie!C18</f>
        <v>0</v>
      </c>
      <c r="D8" s="477">
        <f>industrie!D18</f>
        <v>42927.420433024818</v>
      </c>
      <c r="E8" s="477">
        <f>industrie!E18</f>
        <v>2902.3980414827279</v>
      </c>
      <c r="F8" s="477">
        <f>industrie!F18</f>
        <v>20722.6067146879</v>
      </c>
      <c r="G8" s="477">
        <f>industrie!G18</f>
        <v>0</v>
      </c>
      <c r="H8" s="477">
        <f>industrie!H18</f>
        <v>0</v>
      </c>
      <c r="I8" s="477">
        <f>industrie!I18</f>
        <v>0</v>
      </c>
      <c r="J8" s="477">
        <f>industrie!J18</f>
        <v>295.34922860320376</v>
      </c>
      <c r="K8" s="477">
        <f>industrie!K18</f>
        <v>0</v>
      </c>
      <c r="L8" s="477">
        <f>industrie!L18</f>
        <v>0</v>
      </c>
      <c r="M8" s="477">
        <f>industrie!M18</f>
        <v>0</v>
      </c>
      <c r="N8" s="477">
        <f>industrie!N18</f>
        <v>11282.189243619792</v>
      </c>
      <c r="O8" s="477">
        <f>industrie!O18</f>
        <v>0</v>
      </c>
      <c r="P8" s="478">
        <f>industrie!P18</f>
        <v>0</v>
      </c>
      <c r="Q8" s="476">
        <f t="shared" si="0"/>
        <v>129796.01244271842</v>
      </c>
    </row>
    <row r="9" spans="1:17" s="482" customFormat="1">
      <c r="A9" s="480" t="s">
        <v>564</v>
      </c>
      <c r="B9" s="481">
        <f>transport!B14</f>
        <v>41.39661087406779</v>
      </c>
      <c r="C9" s="481">
        <f>transport!C14</f>
        <v>0</v>
      </c>
      <c r="D9" s="481">
        <f>transport!D14</f>
        <v>87.614343792744933</v>
      </c>
      <c r="E9" s="481">
        <f>transport!E14</f>
        <v>341.15138745097221</v>
      </c>
      <c r="F9" s="481">
        <f>transport!F14</f>
        <v>0</v>
      </c>
      <c r="G9" s="481">
        <f>transport!G14</f>
        <v>132462.09574222675</v>
      </c>
      <c r="H9" s="481">
        <f>transport!H14</f>
        <v>23635.480010729625</v>
      </c>
      <c r="I9" s="481">
        <f>transport!I14</f>
        <v>0</v>
      </c>
      <c r="J9" s="481">
        <f>transport!J14</f>
        <v>0</v>
      </c>
      <c r="K9" s="481">
        <f>transport!K14</f>
        <v>0</v>
      </c>
      <c r="L9" s="481">
        <f>transport!L14</f>
        <v>0</v>
      </c>
      <c r="M9" s="481">
        <f>transport!M14</f>
        <v>4881.2988093217573</v>
      </c>
      <c r="N9" s="481">
        <f>transport!N14</f>
        <v>0</v>
      </c>
      <c r="O9" s="481">
        <f>transport!O14</f>
        <v>0</v>
      </c>
      <c r="P9" s="481">
        <f>transport!P14</f>
        <v>0</v>
      </c>
      <c r="Q9" s="480">
        <f>SUM(B9:P9)</f>
        <v>161449.03690439591</v>
      </c>
    </row>
    <row r="10" spans="1:17">
      <c r="A10" s="476" t="s">
        <v>554</v>
      </c>
      <c r="B10" s="477">
        <f>transport!B54</f>
        <v>0</v>
      </c>
      <c r="C10" s="477">
        <f>transport!C54</f>
        <v>0</v>
      </c>
      <c r="D10" s="477">
        <f>transport!D54</f>
        <v>0</v>
      </c>
      <c r="E10" s="477">
        <f>transport!E54</f>
        <v>0</v>
      </c>
      <c r="F10" s="477">
        <f>transport!F54</f>
        <v>0</v>
      </c>
      <c r="G10" s="477">
        <f>transport!G54</f>
        <v>4607.5072976316924</v>
      </c>
      <c r="H10" s="477">
        <f>transport!H54</f>
        <v>0</v>
      </c>
      <c r="I10" s="477">
        <f>transport!I54</f>
        <v>0</v>
      </c>
      <c r="J10" s="477">
        <f>transport!J54</f>
        <v>0</v>
      </c>
      <c r="K10" s="477">
        <f>transport!K54</f>
        <v>0</v>
      </c>
      <c r="L10" s="477">
        <f>transport!L54</f>
        <v>0</v>
      </c>
      <c r="M10" s="477">
        <f>transport!M54</f>
        <v>142.9145685397379</v>
      </c>
      <c r="N10" s="477">
        <f>transport!N54</f>
        <v>0</v>
      </c>
      <c r="O10" s="477">
        <f>transport!O54</f>
        <v>0</v>
      </c>
      <c r="P10" s="478">
        <f>transport!P54</f>
        <v>0</v>
      </c>
      <c r="Q10" s="476">
        <f t="shared" si="0"/>
        <v>4750.4218661714303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2251.9737721000001</v>
      </c>
      <c r="C14" s="484"/>
      <c r="D14" s="484">
        <f>'SEAP template'!E25</f>
        <v>9506.3685600000008</v>
      </c>
      <c r="E14" s="484"/>
      <c r="F14" s="484"/>
      <c r="G14" s="484"/>
      <c r="H14" s="484"/>
      <c r="I14" s="484"/>
      <c r="J14" s="484"/>
      <c r="K14" s="484"/>
      <c r="L14" s="484"/>
      <c r="M14" s="484"/>
      <c r="N14" s="484"/>
      <c r="O14" s="484"/>
      <c r="P14" s="485"/>
      <c r="Q14" s="476">
        <f t="shared" si="0"/>
        <v>11758.342332100001</v>
      </c>
    </row>
    <row r="15" spans="1:17" s="486" customFormat="1">
      <c r="A15" s="1038" t="s">
        <v>558</v>
      </c>
      <c r="B15" s="978">
        <f ca="1">SUM(B4:B14)</f>
        <v>191392.12336426604</v>
      </c>
      <c r="C15" s="978">
        <f t="shared" ref="C15:Q15" ca="1" si="1">SUM(C4:C14)</f>
        <v>86870.78571428571</v>
      </c>
      <c r="D15" s="978">
        <f t="shared" ca="1" si="1"/>
        <v>295273.1113407347</v>
      </c>
      <c r="E15" s="978">
        <f t="shared" si="1"/>
        <v>8689.9854509618108</v>
      </c>
      <c r="F15" s="978">
        <f t="shared" ca="1" si="1"/>
        <v>42592.237933543445</v>
      </c>
      <c r="G15" s="978">
        <f t="shared" si="1"/>
        <v>137069.60303985846</v>
      </c>
      <c r="H15" s="978">
        <f t="shared" si="1"/>
        <v>23635.480010729625</v>
      </c>
      <c r="I15" s="978">
        <f t="shared" si="1"/>
        <v>0</v>
      </c>
      <c r="J15" s="978">
        <f t="shared" si="1"/>
        <v>835.85084666154285</v>
      </c>
      <c r="K15" s="978">
        <f t="shared" si="1"/>
        <v>0</v>
      </c>
      <c r="L15" s="978">
        <f t="shared" ca="1" si="1"/>
        <v>0</v>
      </c>
      <c r="M15" s="978">
        <f t="shared" si="1"/>
        <v>5024.2133778614952</v>
      </c>
      <c r="N15" s="978">
        <f t="shared" ca="1" si="1"/>
        <v>20385.352650861209</v>
      </c>
      <c r="O15" s="978">
        <f t="shared" si="1"/>
        <v>256.38666666666671</v>
      </c>
      <c r="P15" s="978">
        <f t="shared" si="1"/>
        <v>1144</v>
      </c>
      <c r="Q15" s="978">
        <f t="shared" ca="1" si="1"/>
        <v>813169.13039643061</v>
      </c>
    </row>
    <row r="17" spans="1:17">
      <c r="A17" s="487" t="s">
        <v>559</v>
      </c>
      <c r="B17" s="786">
        <f ca="1">huishoudens!B10</f>
        <v>0.19450999567020427</v>
      </c>
      <c r="C17" s="786">
        <f ca="1">huishoudens!C10</f>
        <v>0.21066508288128172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11380.210727295507</v>
      </c>
      <c r="C22" s="477">
        <f t="shared" ref="C22:C32" ca="1" si="3">C4*$C$17</f>
        <v>0</v>
      </c>
      <c r="D22" s="477">
        <f t="shared" ref="D22:D32" si="4">D4*$D$17</f>
        <v>32563.002836898158</v>
      </c>
      <c r="E22" s="477">
        <f t="shared" ref="E22:E32" si="5">E4*$E$17</f>
        <v>953.04711066338291</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44896.260674857047</v>
      </c>
    </row>
    <row r="23" spans="1:17">
      <c r="A23" s="476" t="s">
        <v>156</v>
      </c>
      <c r="B23" s="477">
        <f t="shared" ca="1" si="2"/>
        <v>14187.656637502514</v>
      </c>
      <c r="C23" s="477">
        <f t="shared" ca="1" si="3"/>
        <v>189.59857459315359</v>
      </c>
      <c r="D23" s="477">
        <f t="shared" ca="1" si="4"/>
        <v>12267.385267310785</v>
      </c>
      <c r="E23" s="477">
        <f t="shared" si="5"/>
        <v>261.31739280465422</v>
      </c>
      <c r="F23" s="477">
        <f t="shared" ca="1" si="6"/>
        <v>4175.5939340306804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31081.551806241783</v>
      </c>
    </row>
    <row r="24" spans="1:17">
      <c r="A24" s="476" t="s">
        <v>194</v>
      </c>
      <c r="B24" s="477">
        <f t="shared" ca="1" si="2"/>
        <v>433.89072420158533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433.89072420158533</v>
      </c>
    </row>
    <row r="25" spans="1:17">
      <c r="A25" s="476" t="s">
        <v>112</v>
      </c>
      <c r="B25" s="477">
        <f t="shared" ca="1" si="2"/>
        <v>730.27660988529874</v>
      </c>
      <c r="C25" s="477">
        <f t="shared" ca="1" si="3"/>
        <v>18111.04269786891</v>
      </c>
      <c r="D25" s="477">
        <f t="shared" si="4"/>
        <v>4205.4569125823282</v>
      </c>
      <c r="E25" s="477">
        <f t="shared" si="5"/>
        <v>21.976473532343984</v>
      </c>
      <c r="F25" s="477">
        <f t="shared" si="6"/>
        <v>1663.597601403751</v>
      </c>
      <c r="G25" s="477">
        <f t="shared" si="7"/>
        <v>0</v>
      </c>
      <c r="H25" s="477">
        <f t="shared" si="8"/>
        <v>0</v>
      </c>
      <c r="I25" s="477">
        <f t="shared" si="9"/>
        <v>0</v>
      </c>
      <c r="J25" s="477">
        <f t="shared" si="10"/>
        <v>191.33757279265203</v>
      </c>
      <c r="K25" s="477">
        <f t="shared" si="11"/>
        <v>0</v>
      </c>
      <c r="L25" s="477">
        <f t="shared" si="12"/>
        <v>0</v>
      </c>
      <c r="M25" s="477">
        <f t="shared" si="13"/>
        <v>0</v>
      </c>
      <c r="N25" s="477">
        <f t="shared" si="14"/>
        <v>0</v>
      </c>
      <c r="O25" s="477">
        <f t="shared" si="15"/>
        <v>0</v>
      </c>
      <c r="P25" s="478">
        <f t="shared" si="16"/>
        <v>0</v>
      </c>
      <c r="Q25" s="476">
        <f t="shared" ca="1" si="17"/>
        <v>24923.687868065284</v>
      </c>
    </row>
    <row r="26" spans="1:17">
      <c r="A26" s="476" t="s">
        <v>638</v>
      </c>
      <c r="B26" s="477">
        <f t="shared" ca="1" si="2"/>
        <v>10049.562924747224</v>
      </c>
      <c r="C26" s="477">
        <f t="shared" ca="1" si="3"/>
        <v>0</v>
      </c>
      <c r="D26" s="477">
        <f t="shared" si="4"/>
        <v>8671.3389274710134</v>
      </c>
      <c r="E26" s="477">
        <f t="shared" si="5"/>
        <v>658.84435541657922</v>
      </c>
      <c r="F26" s="477">
        <f t="shared" si="6"/>
        <v>5532.9359928216691</v>
      </c>
      <c r="G26" s="477">
        <f t="shared" si="7"/>
        <v>0</v>
      </c>
      <c r="H26" s="477">
        <f t="shared" si="8"/>
        <v>0</v>
      </c>
      <c r="I26" s="477">
        <f t="shared" si="9"/>
        <v>0</v>
      </c>
      <c r="J26" s="477">
        <f t="shared" si="10"/>
        <v>104.55362692553412</v>
      </c>
      <c r="K26" s="477">
        <f t="shared" si="11"/>
        <v>0</v>
      </c>
      <c r="L26" s="477">
        <f t="shared" si="12"/>
        <v>0</v>
      </c>
      <c r="M26" s="477">
        <f t="shared" si="13"/>
        <v>0</v>
      </c>
      <c r="N26" s="477">
        <f t="shared" si="14"/>
        <v>0</v>
      </c>
      <c r="O26" s="477">
        <f t="shared" si="15"/>
        <v>0</v>
      </c>
      <c r="P26" s="478">
        <f t="shared" si="16"/>
        <v>0</v>
      </c>
      <c r="Q26" s="476">
        <f t="shared" ca="1" si="17"/>
        <v>25017.235827382021</v>
      </c>
    </row>
    <row r="27" spans="1:17" s="482" customFormat="1">
      <c r="A27" s="480" t="s">
        <v>564</v>
      </c>
      <c r="B27" s="780">
        <f t="shared" ca="1" si="2"/>
        <v>8.0520546018760566</v>
      </c>
      <c r="C27" s="481">
        <f t="shared" ca="1" si="3"/>
        <v>0</v>
      </c>
      <c r="D27" s="481">
        <f t="shared" si="4"/>
        <v>17.698097446134476</v>
      </c>
      <c r="E27" s="481">
        <f t="shared" si="5"/>
        <v>77.441364951370687</v>
      </c>
      <c r="F27" s="481">
        <f t="shared" si="6"/>
        <v>0</v>
      </c>
      <c r="G27" s="481">
        <f t="shared" si="7"/>
        <v>35367.379563174545</v>
      </c>
      <c r="H27" s="481">
        <f t="shared" si="8"/>
        <v>5885.234522671677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41355.805602845605</v>
      </c>
    </row>
    <row r="28" spans="1:17">
      <c r="A28" s="476" t="s">
        <v>554</v>
      </c>
      <c r="B28" s="477">
        <f t="shared" ca="1" si="2"/>
        <v>0</v>
      </c>
      <c r="C28" s="477">
        <f t="shared" ca="1" si="3"/>
        <v>0</v>
      </c>
      <c r="D28" s="477">
        <f t="shared" si="4"/>
        <v>0</v>
      </c>
      <c r="E28" s="477">
        <f t="shared" si="5"/>
        <v>0</v>
      </c>
      <c r="F28" s="477">
        <f t="shared" si="6"/>
        <v>0</v>
      </c>
      <c r="G28" s="477">
        <f t="shared" si="7"/>
        <v>1230.2044484676619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1230.2044484676619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438.03140866058459</v>
      </c>
      <c r="C32" s="477">
        <f t="shared" ca="1" si="3"/>
        <v>0</v>
      </c>
      <c r="D32" s="477">
        <f t="shared" si="4"/>
        <v>1920.2864491200003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2358.3178577805847</v>
      </c>
    </row>
    <row r="33" spans="1:17" s="486" customFormat="1">
      <c r="A33" s="1038" t="s">
        <v>558</v>
      </c>
      <c r="B33" s="978">
        <f ca="1">SUM(B22:B32)</f>
        <v>37227.68108689459</v>
      </c>
      <c r="C33" s="978">
        <f t="shared" ref="C33:Q33" ca="1" si="18">SUM(C22:C32)</f>
        <v>18300.641272462064</v>
      </c>
      <c r="D33" s="978">
        <f t="shared" ca="1" si="18"/>
        <v>59645.168490828415</v>
      </c>
      <c r="E33" s="978">
        <f t="shared" si="18"/>
        <v>1972.626697368331</v>
      </c>
      <c r="F33" s="978">
        <f t="shared" ca="1" si="18"/>
        <v>11372.1275282561</v>
      </c>
      <c r="G33" s="978">
        <f t="shared" si="18"/>
        <v>36597.584011642204</v>
      </c>
      <c r="H33" s="978">
        <f t="shared" si="18"/>
        <v>5885.234522671677</v>
      </c>
      <c r="I33" s="978">
        <f t="shared" si="18"/>
        <v>0</v>
      </c>
      <c r="J33" s="978">
        <f t="shared" si="18"/>
        <v>295.89119971818616</v>
      </c>
      <c r="K33" s="978">
        <f t="shared" si="18"/>
        <v>0</v>
      </c>
      <c r="L33" s="978">
        <f t="shared" ca="1" si="18"/>
        <v>0</v>
      </c>
      <c r="M33" s="978">
        <f t="shared" si="18"/>
        <v>0</v>
      </c>
      <c r="N33" s="978">
        <f t="shared" ca="1" si="18"/>
        <v>0</v>
      </c>
      <c r="O33" s="978">
        <f t="shared" si="18"/>
        <v>0</v>
      </c>
      <c r="P33" s="978">
        <f t="shared" si="18"/>
        <v>0</v>
      </c>
      <c r="Q33" s="978">
        <f t="shared" ca="1" si="18"/>
        <v>171296.95480984158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10033.230012296708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8057.7032845122349</v>
      </c>
      <c r="C8" s="1055">
        <f>'SEAP template'!C76</f>
        <v>55299.296715487762</v>
      </c>
      <c r="D8" s="1055">
        <f>'SEAP template'!D76</f>
        <v>61898.112494882764</v>
      </c>
      <c r="E8" s="1055">
        <f>'SEAP template'!E76</f>
        <v>0</v>
      </c>
      <c r="F8" s="1055">
        <f>'SEAP template'!F76</f>
        <v>3159.8836409851897</v>
      </c>
      <c r="G8" s="1055">
        <f>'SEAP template'!G76</f>
        <v>0</v>
      </c>
      <c r="H8" s="1055">
        <f>'SEAP template'!H76</f>
        <v>0</v>
      </c>
      <c r="I8" s="1055">
        <f>'SEAP template'!I76</f>
        <v>9479.6509229555686</v>
      </c>
      <c r="J8" s="1055">
        <f>'SEAP template'!J76</f>
        <v>0</v>
      </c>
      <c r="K8" s="1055">
        <f>'SEAP template'!K76</f>
        <v>0</v>
      </c>
      <c r="L8" s="1055">
        <f>'SEAP template'!L76</f>
        <v>0</v>
      </c>
      <c r="M8" s="1055">
        <f>'SEAP template'!M76</f>
        <v>0</v>
      </c>
      <c r="N8" s="1055">
        <f>'SEAP template'!N76</f>
        <v>0</v>
      </c>
      <c r="O8" s="1055">
        <f>'SEAP template'!O76</f>
        <v>0</v>
      </c>
      <c r="P8" s="1056">
        <f>'SEAP template'!Q76</f>
        <v>13347.107656109365</v>
      </c>
    </row>
    <row r="9" spans="1:16">
      <c r="A9" s="1058" t="s">
        <v>863</v>
      </c>
      <c r="B9" s="1055">
        <f>'SEAP template'!B77</f>
        <v>9945</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28414.285714285717</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28035.933296808944</v>
      </c>
      <c r="C10" s="1059">
        <f>SUM(C4:C9)</f>
        <v>55299.296715487762</v>
      </c>
      <c r="D10" s="1059">
        <f t="shared" ref="D10:H10" si="0">SUM(D8:D9)</f>
        <v>61898.112494882764</v>
      </c>
      <c r="E10" s="1059">
        <f t="shared" si="0"/>
        <v>0</v>
      </c>
      <c r="F10" s="1059">
        <f t="shared" si="0"/>
        <v>3159.8836409851897</v>
      </c>
      <c r="G10" s="1059">
        <f t="shared" si="0"/>
        <v>0</v>
      </c>
      <c r="H10" s="1059">
        <f t="shared" si="0"/>
        <v>0</v>
      </c>
      <c r="I10" s="1059">
        <f>SUM(I8:I9)</f>
        <v>9479.6509229555686</v>
      </c>
      <c r="J10" s="1059">
        <f>SUM(J8:J9)</f>
        <v>28414.285714285717</v>
      </c>
      <c r="K10" s="1059">
        <f t="shared" ref="K10:L10" si="1">SUM(K8:K9)</f>
        <v>0</v>
      </c>
      <c r="L10" s="1059">
        <f t="shared" si="1"/>
        <v>0</v>
      </c>
      <c r="M10" s="1059">
        <f>SUM(M8:M9)</f>
        <v>0</v>
      </c>
      <c r="N10" s="1059">
        <f>SUM(N8:N9)</f>
        <v>0</v>
      </c>
      <c r="O10" s="1059">
        <f>SUM(O8:O9)</f>
        <v>0</v>
      </c>
      <c r="P10" s="1059">
        <f>SUM(P8:P9)</f>
        <v>13347.107656109365</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0.19450999567020427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11048.171715487768</v>
      </c>
      <c r="C17" s="1061">
        <f>'SEAP template'!C87</f>
        <v>75822.61399879794</v>
      </c>
      <c r="D17" s="1056">
        <f>'SEAP template'!D87</f>
        <v>84870.458933688657</v>
      </c>
      <c r="E17" s="1056">
        <f>'SEAP template'!E87</f>
        <v>0</v>
      </c>
      <c r="F17" s="1056">
        <f>'SEAP template'!F87</f>
        <v>4332.6163590148108</v>
      </c>
      <c r="G17" s="1056">
        <f>'SEAP template'!G87</f>
        <v>0</v>
      </c>
      <c r="H17" s="1056">
        <f>'SEAP template'!H87</f>
        <v>0</v>
      </c>
      <c r="I17" s="1056">
        <f>'SEAP template'!I87</f>
        <v>12997.849077044431</v>
      </c>
      <c r="J17" s="1056">
        <f>'SEAP template'!J87</f>
        <v>0</v>
      </c>
      <c r="K17" s="1056">
        <f>'SEAP template'!K87</f>
        <v>0</v>
      </c>
      <c r="L17" s="1056">
        <f>'SEAP template'!L87</f>
        <v>0</v>
      </c>
      <c r="M17" s="1056">
        <f>'SEAP template'!M87</f>
        <v>0</v>
      </c>
      <c r="N17" s="1056">
        <f>'SEAP template'!N87</f>
        <v>0</v>
      </c>
      <c r="O17" s="1056">
        <f>'SEAP template'!O87</f>
        <v>0</v>
      </c>
      <c r="P17" s="1056">
        <f>'SEAP template'!Q87</f>
        <v>18300.641272462064</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11048.171715487768</v>
      </c>
      <c r="C20" s="1059">
        <f>SUM(C17:C19)</f>
        <v>75822.61399879794</v>
      </c>
      <c r="D20" s="1059">
        <f t="shared" ref="D20:H20" si="2">SUM(D17:D19)</f>
        <v>84870.458933688657</v>
      </c>
      <c r="E20" s="1059">
        <f t="shared" si="2"/>
        <v>0</v>
      </c>
      <c r="F20" s="1059">
        <f t="shared" si="2"/>
        <v>4332.6163590148108</v>
      </c>
      <c r="G20" s="1059">
        <f t="shared" si="2"/>
        <v>0</v>
      </c>
      <c r="H20" s="1059">
        <f t="shared" si="2"/>
        <v>0</v>
      </c>
      <c r="I20" s="1059">
        <f>SUM(I17:I19)</f>
        <v>12997.849077044431</v>
      </c>
      <c r="J20" s="1059">
        <f>SUM(J17:J19)</f>
        <v>0</v>
      </c>
      <c r="K20" s="1059">
        <f t="shared" ref="K20:L20" si="3">SUM(K17:K19)</f>
        <v>0</v>
      </c>
      <c r="L20" s="1059">
        <f t="shared" si="3"/>
        <v>0</v>
      </c>
      <c r="M20" s="1059">
        <f>SUM(M17:M19)</f>
        <v>0</v>
      </c>
      <c r="N20" s="1059">
        <f>SUM(N17:N19)</f>
        <v>0</v>
      </c>
      <c r="O20" s="1059">
        <f>SUM(O17:O19)</f>
        <v>0</v>
      </c>
      <c r="P20" s="1059">
        <f>SUM(P17:P19)</f>
        <v>18300.641272462064</v>
      </c>
    </row>
    <row r="22" spans="1:16">
      <c r="A22" s="487" t="s">
        <v>871</v>
      </c>
      <c r="B22" s="786" t="s">
        <v>865</v>
      </c>
      <c r="C22" s="786">
        <f ca="1">'EF ele_warmte'!B22</f>
        <v>0.21066508288128172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0.19450999567020427</v>
      </c>
      <c r="C17" s="524">
        <f ca="1">'EF ele_warmte'!B22</f>
        <v>0.21066508288128172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2019-08-12T08:22:35Z</dcterms:modified>
</cp:coreProperties>
</file>