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I19"/>
  <c r="I89" i="14" s="1"/>
  <c r="I19" i="59" s="1"/>
  <c r="H19" i="18"/>
  <c r="G19"/>
  <c r="G20" s="1"/>
  <c r="F19"/>
  <c r="G89" i="14" s="1"/>
  <c r="G19" i="59" s="1"/>
  <c r="E19" i="18"/>
  <c r="D19"/>
  <c r="C19"/>
  <c r="D89" i="14" s="1"/>
  <c r="D19" i="59" s="1"/>
  <c r="B19" i="18"/>
  <c r="N18"/>
  <c r="L88" i="14" s="1"/>
  <c r="M18" i="18"/>
  <c r="K88" i="14" s="1"/>
  <c r="L18" i="18"/>
  <c r="L20" s="1"/>
  <c r="K18"/>
  <c r="K20" s="1"/>
  <c r="J18"/>
  <c r="J88" i="14" s="1"/>
  <c r="J18" i="59" s="1"/>
  <c r="I18" i="18"/>
  <c r="H18"/>
  <c r="G18"/>
  <c r="F18"/>
  <c r="F20" s="1"/>
  <c r="E18"/>
  <c r="F88" i="14" s="1"/>
  <c r="F18" i="59" s="1"/>
  <c r="D18" i="18"/>
  <c r="C18"/>
  <c r="B18"/>
  <c r="L9"/>
  <c r="K9"/>
  <c r="I9"/>
  <c r="I77" i="14" s="1"/>
  <c r="I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N58"/>
  <c r="C98" s="1"/>
  <c r="M58"/>
  <c r="G22"/>
  <c r="F22"/>
  <c r="E22"/>
  <c r="D22"/>
  <c r="C22"/>
  <c r="D20"/>
  <c r="B17"/>
  <c r="B20" s="1"/>
  <c r="G12"/>
  <c r="F12"/>
  <c r="E12"/>
  <c r="D12"/>
  <c r="C12"/>
  <c r="L10"/>
  <c r="K10"/>
  <c r="G10"/>
  <c r="F10"/>
  <c r="D10"/>
  <c r="B8"/>
  <c r="B6"/>
  <c r="B5"/>
  <c r="B4"/>
  <c r="N6" i="17"/>
  <c r="L6"/>
  <c r="D6"/>
  <c r="D5"/>
  <c r="B19" i="6"/>
  <c r="B18"/>
  <c r="B5"/>
  <c r="C29" i="14" s="1"/>
  <c r="B6" i="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Q11" s="1"/>
  <c r="P32"/>
  <c r="O32"/>
  <c r="P31"/>
  <c r="O31"/>
  <c r="O29"/>
  <c r="O28"/>
  <c r="P27"/>
  <c r="O27"/>
  <c r="P25"/>
  <c r="O25"/>
  <c r="O89" i="14"/>
  <c r="O19" i="59" s="1"/>
  <c r="M89" i="14"/>
  <c r="M19" i="59" s="1"/>
  <c r="L89" i="14"/>
  <c r="L19" i="59" s="1"/>
  <c r="K89" i="14"/>
  <c r="K19" i="59" s="1"/>
  <c r="J89" i="14"/>
  <c r="J19" i="59" s="1"/>
  <c r="E89" i="14"/>
  <c r="E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K10" s="1"/>
  <c r="H76" i="14"/>
  <c r="G76"/>
  <c r="G8" i="59" s="1"/>
  <c r="G10" s="1"/>
  <c r="E76" i="14"/>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P22" s="1"/>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R9" s="1"/>
  <c r="G9"/>
  <c r="F9"/>
  <c r="E9"/>
  <c r="D9"/>
  <c r="C9"/>
  <c r="R90"/>
  <c r="R78"/>
  <c r="J56"/>
  <c r="H56"/>
  <c r="I56"/>
  <c r="Q52"/>
  <c r="P52"/>
  <c r="R44"/>
  <c r="R25"/>
  <c r="E25"/>
  <c r="E55" s="1"/>
  <c r="C25"/>
  <c r="N26"/>
  <c r="L26"/>
  <c r="J26"/>
  <c r="I26"/>
  <c r="D22"/>
  <c r="M22"/>
  <c r="R12"/>
  <c r="N19" i="59" l="1"/>
  <c r="N90" i="14"/>
  <c r="L18" i="59"/>
  <c r="L90" i="14"/>
  <c r="K18" i="59"/>
  <c r="K90" i="14"/>
  <c r="L78"/>
  <c r="L8" i="59"/>
  <c r="L10" s="1"/>
  <c r="N20"/>
  <c r="N10"/>
  <c r="L20"/>
  <c r="H89" i="14"/>
  <c r="H19" i="59" s="1"/>
  <c r="O19" i="18"/>
  <c r="K78" i="14"/>
  <c r="B98" i="18"/>
  <c r="B102" s="1"/>
  <c r="C17" s="1"/>
  <c r="O78" i="14"/>
  <c r="O9" i="59"/>
  <c r="H90" i="14"/>
  <c r="H18" i="59"/>
  <c r="H78" i="14"/>
  <c r="H8" i="59"/>
  <c r="H10" s="1"/>
  <c r="K20"/>
  <c r="O10"/>
  <c r="G78" i="14"/>
  <c r="H20" i="59"/>
  <c r="O20"/>
  <c r="D13" i="15"/>
  <c r="O90" i="14"/>
  <c r="B10" i="18"/>
  <c r="C13" i="15"/>
  <c r="L13"/>
  <c r="N13"/>
  <c r="Q77" i="14"/>
  <c r="P9" i="59" s="1"/>
  <c r="O9" i="18"/>
  <c r="O18"/>
  <c r="G88" i="14"/>
  <c r="F89"/>
  <c r="B89" s="1"/>
  <c r="B19" i="59" s="1"/>
  <c r="I101" i="18"/>
  <c r="H8" s="1"/>
  <c r="E101"/>
  <c r="E8" s="1"/>
  <c r="H101"/>
  <c r="D101"/>
  <c r="G101"/>
  <c r="C101"/>
  <c r="F101"/>
  <c r="B101"/>
  <c r="C8" s="1"/>
  <c r="I102"/>
  <c r="H17" s="1"/>
  <c r="Q88" i="14"/>
  <c r="P18" i="59" s="1"/>
  <c r="B88" i="14"/>
  <c r="B18" i="59" s="1"/>
  <c r="B77" i="14"/>
  <c r="B9" i="59" s="1"/>
  <c r="Q14" i="48"/>
  <c r="O24"/>
  <c r="O30"/>
  <c r="P24"/>
  <c r="P30"/>
  <c r="C77" i="14"/>
  <c r="C9" i="59" s="1"/>
  <c r="C88" i="14"/>
  <c r="C18" i="59" s="1"/>
  <c r="E78" i="14"/>
  <c r="E90"/>
  <c r="N78"/>
  <c r="H102" i="18" l="1"/>
  <c r="G102"/>
  <c r="C102"/>
  <c r="G90" i="14"/>
  <c r="G18" i="59"/>
  <c r="G20" s="1"/>
  <c r="C89" i="14"/>
  <c r="C19" i="59" s="1"/>
  <c r="F19"/>
  <c r="E102" i="18"/>
  <c r="E17" s="1"/>
  <c r="D102"/>
  <c r="F102"/>
  <c r="I17" s="1"/>
  <c r="O17" s="1"/>
  <c r="O20" s="1"/>
  <c r="Q89" i="14"/>
  <c r="P19" i="59" s="1"/>
  <c r="C20" i="18"/>
  <c r="D87" i="14"/>
  <c r="D17" i="59" s="1"/>
  <c r="D20" s="1"/>
  <c r="D76" i="14"/>
  <c r="D8" i="59" s="1"/>
  <c r="D10" s="1"/>
  <c r="C10" i="18"/>
  <c r="J17"/>
  <c r="J8"/>
  <c r="F87" i="14"/>
  <c r="E20" i="18"/>
  <c r="E10"/>
  <c r="F76" i="14"/>
  <c r="F8" i="59" s="1"/>
  <c r="F10" s="1"/>
  <c r="H20" i="18"/>
  <c r="M87" i="14"/>
  <c r="I8" i="18"/>
  <c r="O8" s="1"/>
  <c r="O10" s="1"/>
  <c r="M76" i="14"/>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78" i="14" l="1"/>
  <c r="C8" i="59"/>
  <c r="C10" s="1"/>
  <c r="B78" i="14"/>
  <c r="B8" i="59"/>
  <c r="B10" s="1"/>
  <c r="C90" i="14"/>
  <c r="C17" i="59"/>
  <c r="C20" s="1"/>
  <c r="B90" i="14"/>
  <c r="B17" i="59"/>
  <c r="B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4" i="48" l="1"/>
  <c r="D11" i="14"/>
  <c r="C11"/>
  <c r="B4" i="48"/>
  <c r="N31"/>
  <c r="N29"/>
  <c r="N27"/>
  <c r="N32"/>
  <c r="N30"/>
  <c r="N24"/>
  <c r="N28"/>
  <c r="C19" i="14"/>
  <c r="B10" i="48"/>
  <c r="J27"/>
  <c r="J28"/>
  <c r="J32"/>
  <c r="J30"/>
  <c r="J24"/>
  <c r="J29"/>
  <c r="J31"/>
  <c r="P4"/>
  <c r="Q11" i="14"/>
  <c r="O4" i="48"/>
  <c r="P11" i="14"/>
  <c r="I27" i="48"/>
  <c r="I32"/>
  <c r="I28"/>
  <c r="I24"/>
  <c r="I22"/>
  <c r="I31"/>
  <c r="I25"/>
  <c r="I26"/>
  <c r="I30"/>
  <c r="I29"/>
  <c r="D4"/>
  <c r="D22" s="1"/>
  <c r="E11" i="14"/>
  <c r="H25" i="48"/>
  <c r="H32"/>
  <c r="H24"/>
  <c r="H26"/>
  <c r="H29"/>
  <c r="H22"/>
  <c r="H30"/>
  <c r="H28"/>
  <c r="H23"/>
  <c r="N46" i="14"/>
  <c r="G29" i="48"/>
  <c r="G32"/>
  <c r="G25"/>
  <c r="G26"/>
  <c r="G30"/>
  <c r="G24"/>
  <c r="G22"/>
  <c r="G23"/>
  <c r="F27"/>
  <c r="F32"/>
  <c r="F31"/>
  <c r="F29"/>
  <c r="F30"/>
  <c r="F28"/>
  <c r="F24"/>
  <c r="E31"/>
  <c r="E28"/>
  <c r="E32"/>
  <c r="E29"/>
  <c r="E24"/>
  <c r="E30"/>
  <c r="M22"/>
  <c r="M26"/>
  <c r="M29"/>
  <c r="M32"/>
  <c r="M25"/>
  <c r="M24"/>
  <c r="M30"/>
  <c r="M23"/>
  <c r="K5"/>
  <c r="L10" i="14"/>
  <c r="L16" s="1"/>
  <c r="L27" s="1"/>
  <c r="D30" i="48"/>
  <c r="D29"/>
  <c r="D28"/>
  <c r="D24"/>
  <c r="D31"/>
  <c r="D32"/>
  <c r="L32"/>
  <c r="L28"/>
  <c r="L29"/>
  <c r="L27"/>
  <c r="L31"/>
  <c r="L30"/>
  <c r="L22"/>
  <c r="L24"/>
  <c r="Q10" i="14"/>
  <c r="P5" i="48"/>
  <c r="P23" s="1"/>
  <c r="K32"/>
  <c r="K28"/>
  <c r="K25"/>
  <c r="K26"/>
  <c r="K27"/>
  <c r="K31"/>
  <c r="K24"/>
  <c r="K29"/>
  <c r="K22"/>
  <c r="K30"/>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7" i="48" l="1"/>
  <c r="J25" s="1"/>
  <c r="K24" i="14"/>
  <c r="K26" s="1"/>
  <c r="O22" i="48"/>
  <c r="C20" i="14"/>
  <c r="B9" i="48"/>
  <c r="F4"/>
  <c r="F22" s="1"/>
  <c r="G11" i="14"/>
  <c r="I5" i="48"/>
  <c r="J10" i="14"/>
  <c r="J16" s="1"/>
  <c r="J27" s="1"/>
  <c r="J12" i="17"/>
  <c r="K54" i="14" s="1"/>
  <c r="K56" s="1"/>
  <c r="L46"/>
  <c r="L61" s="1"/>
  <c r="L63" s="1"/>
  <c r="J46"/>
  <c r="J61" s="1"/>
  <c r="P8" i="48"/>
  <c r="P26" s="1"/>
  <c r="Q13" i="14"/>
  <c r="Q16" s="1"/>
  <c r="Q27" s="1"/>
  <c r="Q63" s="1"/>
  <c r="K23" i="48"/>
  <c r="K33" s="1"/>
  <c r="K15"/>
  <c r="P22"/>
  <c r="F20" i="14"/>
  <c r="F22" s="1"/>
  <c r="E9" i="48"/>
  <c r="E27" s="1"/>
  <c r="E20" i="14"/>
  <c r="E22" s="1"/>
  <c r="D9" i="48"/>
  <c r="D27" s="1"/>
  <c r="P10" i="14"/>
  <c r="O5" i="48"/>
  <c r="O23" s="1"/>
  <c r="M12" i="22"/>
  <c r="M13" i="48"/>
  <c r="M31" s="1"/>
  <c r="N18" i="14"/>
  <c r="H18"/>
  <c r="G13" i="48"/>
  <c r="H13"/>
  <c r="H31" s="1"/>
  <c r="I18" i="14"/>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Q46" s="1"/>
  <c r="Q61"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R11" s="1"/>
  <c r="H20"/>
  <c r="R20" s="1"/>
  <c r="G9" i="48"/>
  <c r="R18" i="14"/>
  <c r="I20"/>
  <c r="H9" i="48"/>
  <c r="G31"/>
  <c r="Q13"/>
  <c r="M10"/>
  <c r="M28" s="1"/>
  <c r="N19" i="14"/>
  <c r="I23" i="48"/>
  <c r="I33" s="1"/>
  <c r="I15"/>
  <c r="Q9"/>
  <c r="I22" i="14"/>
  <c r="I27" s="1"/>
  <c r="C22"/>
  <c r="P15" i="48"/>
  <c r="G10"/>
  <c r="H19" i="14"/>
  <c r="R19" s="1"/>
  <c r="K11"/>
  <c r="J4" i="48"/>
  <c r="F24" i="14"/>
  <c r="F26" s="1"/>
  <c r="E7" i="48"/>
  <c r="E25" s="1"/>
  <c r="N20" i="14"/>
  <c r="M9" i="48"/>
  <c r="O22" i="16"/>
  <c r="P43" i="14" s="1"/>
  <c r="P46" s="1"/>
  <c r="P61" s="1"/>
  <c r="P63" s="1"/>
  <c r="P13"/>
  <c r="P16" s="1"/>
  <c r="P27" s="1"/>
  <c r="O8" i="48"/>
  <c r="O26" s="1"/>
  <c r="O33" s="1"/>
  <c r="P33"/>
  <c r="J63" i="14"/>
  <c r="N22"/>
  <c r="N27" s="1"/>
  <c r="O15"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5" i="48" l="1"/>
  <c r="E23" s="1"/>
  <c r="F10" i="14"/>
  <c r="J5" i="48"/>
  <c r="J23" s="1"/>
  <c r="K10" i="14"/>
  <c r="M27" i="48"/>
  <c r="M33" s="1"/>
  <c r="M15"/>
  <c r="H27"/>
  <c r="H33" s="1"/>
  <c r="H15"/>
  <c r="R24" i="14"/>
  <c r="R26" s="1"/>
  <c r="R22"/>
  <c r="J20" i="15"/>
  <c r="K40" i="14" s="1"/>
  <c r="G28" i="48"/>
  <c r="Q10"/>
  <c r="E22"/>
  <c r="Q4"/>
  <c r="J22"/>
  <c r="G27"/>
  <c r="G33" s="1"/>
  <c r="G15"/>
  <c r="I63" i="14"/>
  <c r="H22"/>
  <c r="H27" s="1"/>
  <c r="Q7" i="48"/>
  <c r="E20" i="15"/>
  <c r="F40" i="14" s="1"/>
  <c r="F46" s="1"/>
  <c r="F61" s="1"/>
  <c r="J18" i="16"/>
  <c r="E18"/>
  <c r="F18"/>
  <c r="F22" s="1"/>
  <c r="G43" i="14" s="1"/>
  <c r="N18" i="16"/>
  <c r="G18" i="22"/>
  <c r="H50" i="14" s="1"/>
  <c r="H52" s="1"/>
  <c r="H61" s="1"/>
  <c r="H63" s="1"/>
  <c r="E22" i="16"/>
  <c r="F43" i="14" s="1"/>
  <c r="H18" i="22"/>
  <c r="I50" i="14" s="1"/>
  <c r="I52" s="1"/>
  <c r="I61" s="1"/>
  <c r="J22" i="16" l="1"/>
  <c r="K43" i="14" s="1"/>
  <c r="J8" i="48"/>
  <c r="J26" s="1"/>
  <c r="K13" i="14"/>
  <c r="E8" i="48"/>
  <c r="E26" s="1"/>
  <c r="F13" i="14"/>
  <c r="F16" s="1"/>
  <c r="F27" s="1"/>
  <c r="F63" s="1"/>
  <c r="K46"/>
  <c r="K61" s="1"/>
  <c r="K63" s="1"/>
  <c r="K16"/>
  <c r="K27" s="1"/>
  <c r="J15" i="48"/>
  <c r="J33"/>
  <c r="E33"/>
  <c r="N8"/>
  <c r="N26" s="1"/>
  <c r="O13" i="14"/>
  <c r="N22" i="16"/>
  <c r="O43" i="14" s="1"/>
  <c r="G13"/>
  <c r="F8" i="48"/>
  <c r="E15" l="1"/>
  <c r="R1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<sst xmlns="http://schemas.openxmlformats.org/spreadsheetml/2006/main" count="2482" uniqueCount="927">
  <si>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</si>
  <si>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</si>
  <si>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</si>
  <si>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</si>
  <si>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</si>
  <si>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</si>
  <si>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</si>
  <si>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</si>
  <si>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</si>
  <si>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</si>
  <si>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</si>
  <si>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</si>
  <si>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</si>
  <si>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</si>
  <si>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</si>
  <si>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</si>
  <si>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</si>
  <si>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</si>
  <si>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</si>
  <si>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</si>
  <si>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</si>
  <si>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</si>
  <si>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</si>
  <si>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</si>
  <si>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</si>
  <si>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</si>
  <si>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</si>
  <si>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</si>
  <si>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</si>
  <si>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</si>
  <si>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</si>
  <si>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</si>
  <si>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</si>
  <si>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</si>
  <si>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</si>
  <si>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</si>
  <si>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</si>
  <si>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</si>
  <si>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</si>
  <si>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</si>
  <si>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</si>
  <si>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</si>
  <si>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</si>
  <si>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</si>
  <si>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</si>
  <si>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</si>
  <si>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</si>
  <si>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</si>
  <si>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</si>
  <si>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</si>
  <si>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</si>
  <si>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</si>
  <si>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</si>
  <si>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</si>
  <si>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</si>
  <si>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</si>
  <si>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</si>
  <si>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</si>
  <si>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</si>
  <si>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</si>
  <si>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</si>
  <si>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</si>
  <si>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</si>
  <si>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</si>
  <si>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</si>
  <si>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</si>
  <si>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</si>
  <si>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</si>
  <si>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</si>
  <si>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</si>
  <si>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</si>
  <si>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</si>
  <si>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</si>
  <si>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</si>
  <si>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</si>
  <si>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</si>
  <si>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</si>
  <si>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</si>
  <si>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</si>
  <si>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</si>
  <si>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</si>
  <si>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</si>
  <si>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</si>
  <si>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</si>
  <si>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</si>
  <si>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</si>
  <si>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</si>
  <si>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</si>
  <si>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</si>
  <si>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</si>
  <si>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</si>
  <si>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</si>
  <si>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</si>
  <si>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</si>
  <si>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</si>
  <si>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</si>
  <si>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</si>
  <si>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</si>
  <si>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</si>
  <si>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</si>
  <si>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</si>
  <si>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</si>
  <si>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</si>
  <si>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</si>
  <si>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</si>
  <si>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</si>
  <si>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</si>
  <si>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</si>
  <si>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</si>
  <si>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</si>
  <si>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</si>
  <si>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</si>
  <si>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</si>
  <si>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</si>
  <si>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</si>
  <si>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</si>
  <si>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</si>
  <si>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</si>
  <si>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</si>
  <si>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</si>
  <si>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</si>
  <si>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</si>
  <si>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</si>
  <si>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</si>
  <si>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</si>
  <si>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</si>
  <si>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</si>
  <si>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</si>
  <si>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</si>
  <si>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</si>
  <si>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</si>
  <si>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</si>
  <si>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</si>
  <si>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</si>
  <si>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</si>
  <si>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</si>
  <si>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</si>
  <si>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</si>
  <si>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</si>
  <si>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</si>
  <si>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</si>
  <si>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</si>
  <si>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</si>
  <si>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</si>
  <si>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</si>
  <si>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</si>
  <si>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</si>
  <si>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</si>
  <si>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</si>
  <si>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</si>
  <si>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</si>
  <si>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</si>
  <si>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</si>
  <si>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</si>
  <si>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</si>
  <si>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</si>
  <si>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</si>
  <si>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</si>
  <si>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</si>
  <si>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</si>
  <si>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</si>
  <si>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</si>
  <si>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</si>
  <si>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</si>
  <si>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</si>
  <si>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</si>
  <si>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</si>
  <si>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</si>
  <si>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</si>
  <si>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</si>
  <si>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</si>
  <si>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</si>
  <si>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</si>
  <si>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</si>
  <si>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</si>
  <si>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</si>
  <si>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</si>
  <si>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</si>
  <si>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</si>
  <si>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</si>
  <si>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</si>
  <si>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</si>
  <si>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</si>
  <si>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</si>
  <si>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</si>
  <si>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</si>
  <si>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</si>
  <si>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</si>
  <si>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</si>
  <si>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</si>
  <si>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</si>
  <si>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</si>
  <si>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</si>
  <si>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</si>
  <si>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</si>
  <si>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</si>
  <si>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</si>
  <si>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</si>
  <si>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</si>
  <si>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</si>
  <si>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</si>
  <si>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</si>
  <si>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</si>
  <si>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</si>
  <si>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</si>
  <si>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</si>
  <si>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</si>
  <si>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</si>
  <si>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</si>
  <si>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</si>
  <si>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</si>
  <si>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</si>
  <si>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</si>
  <si>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</si>
  <si>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</si>
  <si>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</si>
  <si>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</si>
  <si>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</si>
  <si>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</si>
  <si>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</si>
  <si>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</si>
  <si>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</si>
  <si>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</si>
  <si>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</si>
  <si>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</si>
  <si>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</si>
  <si>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</si>
  <si>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</si>
  <si>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</si>
  <si>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</si>
  <si>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</si>
  <si>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</si>
  <si>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</si>
  <si>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</si>
  <si>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</si>
  <si>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</si>
  <si>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</si>
  <si>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</si>
  <si>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</si>
  <si>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</si>
  <si>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</si>
  <si>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</si>
  <si>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</si>
  <si>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</si>
  <si>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</si>
  <si>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</si>
  <si>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</si>
  <si>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</si>
  <si>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</si>
  <si>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</si>
  <si>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</si>
  <si>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</si>
  <si>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</si>
  <si>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</si>
  <si>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</si>
  <si>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</si>
  <si>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</si>
  <si>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</si>
  <si>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</si>
  <si>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</si>
  <si>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</si>
  <si>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</si>
  <si>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</si>
  <si>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</si>
  <si>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</si>
  <si>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</si>
  <si>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</si>
  <si>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</si>
  <si>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</si>
  <si>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</si>
  <si>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</si>
  <si>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</si>
  <si>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</si>
  <si>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</si>
  <si>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</si>
  <si>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</si>
  <si>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</si>
  <si>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</si>
  <si>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</si>
  <si>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</si>
  <si>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</si>
  <si>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</si>
  <si>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</si>
  <si>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</si>
  <si>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</si>
  <si>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</si>
  <si>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</si>
  <si>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</si>
  <si>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</si>
  <si>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</si>
  <si>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</si>
  <si>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</si>
  <si>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</si>
  <si>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</si>
  <si>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</si>
  <si>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</si>
  <si>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</si>
  <si>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</si>
  <si>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</si>
  <si>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</si>
  <si>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</si>
  <si>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</si>
  <si>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</si>
  <si>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</si>
  <si>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</si>
  <si>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</si>
  <si>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</si>
  <si>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</si>
  <si>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</si>
  <si>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</si>
  <si>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</si>
  <si>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</si>
  <si>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</si>
  <si>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</si>
  <si>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</si>
  <si>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</si>
  <si>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</si>
  <si>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</si>
  <si>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</si>
  <si>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</si>
  <si>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</si>
  <si>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</si>
  <si>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</si>
  <si>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</si>
  <si>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</si>
  <si>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</si>
  <si>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</si>
  <si>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</si>
  <si>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</si>
  <si>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</si>
  <si>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</si>
  <si>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</si>
  <si>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</si>
  <si>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</si>
  <si>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</si>
  <si>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</si>
  <si>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</si>
  <si>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</si>
  <si>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</si>
  <si>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</si>
  <si>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</si>
  <si>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</si>
  <si>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</si>
  <si>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</si>
  <si>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</si>
  <si>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</si>
  <si>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</si>
  <si>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</si>
  <si>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</si>
  <si>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</si>
  <si>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</si>
  <si>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</si>
  <si>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</si>
  <si>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</si>
  <si>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</si>
  <si>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</si>
  <si>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</si>
  <si>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</si>
  <si>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</si>
  <si>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</si>
  <si>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</si>
  <si>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</si>
  <si>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</si>
  <si>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</si>
  <si>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</si>
  <si>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</si>
  <si>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</si>
  <si>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</si>
  <si>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</si>
  <si>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</si>
  <si>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</si>
  <si>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</si>
  <si>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</si>
  <si>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</si>
  <si>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</si>
  <si>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</si>
  <si>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</si>
  <si>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</si>
  <si>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</si>
  <si>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</si>
  <si>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</si>
  <si>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</si>
  <si>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</si>
  <si>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</si>
  <si>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</si>
  <si>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</si>
  <si>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</si>
  <si>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</si>
  <si>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</si>
  <si>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</si>
  <si>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</si>
  <si>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</si>
  <si>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</si>
  <si>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</si>
  <si>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</si>
  <si>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</si>
  <si>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</si>
  <si>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</si>
  <si>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</si>
  <si>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</si>
  <si>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</si>
  <si>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</si>
  <si>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</si>
  <si>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</si>
  <si>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</si>
  <si>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</si>
  <si>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</si>
  <si>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</si>
  <si>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</si>
  <si>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</si>
  <si>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</si>
  <si>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</si>
  <si>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</si>
  <si>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</si>
  <si>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</si>
  <si>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</si>
  <si>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</si>
  <si>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</si>
  <si>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</si>
  <si>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</si>
  <si>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</si>
  <si>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</si>
  <si>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</si>
  <si>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</si>
  <si>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</si>
  <si>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</si>
  <si>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</si>
  <si>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</si>
  <si>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</si>
  <si>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</si>
  <si>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</si>
  <si>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</si>
  <si>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</si>
  <si>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</si>
  <si>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</si>
  <si>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</si>
  <si>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</si>
  <si>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</si>
  <si>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</si>
  <si>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</si>
  <si>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</si>
  <si>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</si>
  <si>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</si>
  <si>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</si>
  <si>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</si>
  <si>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</si>
  <si>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</si>
  <si>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</si>
  <si>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</si>
  <si>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</si>
  <si>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</si>
  <si>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</si>
  <si>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</si>
  <si>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</si>
  <si>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</si>
  <si>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</si>
  <si>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</si>
  <si>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</si>
  <si>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</si>
  <si>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</si>
  <si>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</si>
  <si>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</si>
  <si>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</si>
  <si>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</si>
  <si>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</si>
  <si>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</si>
  <si>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</si>
  <si>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</si>
  <si>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</si>
  <si>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</si>
  <si>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</si>
  <si>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</si>
  <si>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</si>
  <si>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</si>
  <si>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</si>
  <si>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</si>
  <si>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</si>
  <si>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</si>
  <si>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</si>
  <si>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</si>
  <si>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</si>
  <si>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</si>
  <si>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</si>
  <si>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</si>
  <si>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</si>
  <si>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</si>
  <si>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</si>
  <si>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</si>
  <si>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</si>
  <si>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</si>
  <si>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</si>
  <si>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</si>
  <si>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</si>
  <si>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</si>
  <si>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</si>
  <si>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</si>
  <si>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</si>
  <si>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</si>
  <si>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</si>
  <si>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</si>
  <si>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</si>
  <si>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</si>
  <si>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</si>
  <si>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</si>
  <si>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</si>
  <si>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</si>
  <si>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</si>
  <si>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</si>
  <si>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</si>
  <si>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</si>
  <si>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</si>
  <si>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</si>
  <si>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</si>
  <si>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</si>
  <si>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</si>
  <si>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</si>
  <si>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</si>
  <si>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</si>
  <si>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</si>
  <si>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</si>
  <si>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</si>
  <si>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</si>
  <si>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</si>
  <si>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</si>
  <si>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</si>
  <si>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</si>
  <si>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</si>
  <si>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</si>
  <si>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</si>
  <si>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</si>
  <si>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</si>
  <si>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</si>
  <si>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</si>
  <si>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</si>
  <si>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</si>
  <si>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</si>
  <si>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</si>
  <si>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</si>
  <si>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</si>
  <si>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</si>
  <si>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</si>
  <si>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</si>
  <si>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</si>
  <si>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</si>
  <si>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</si>
  <si>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</si>
  <si>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</si>
  <si>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</si>
  <si>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</si>
  <si>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</si>
  <si>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</si>
  <si>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</si>
  <si>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</si>
  <si>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</si>
  <si>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</si>
  <si>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</si>
  <si>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</si>
  <si>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</si>
  <si>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</si>
  <si>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</si>
  <si>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</si>
  <si>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</si>
  <si>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</si>
  <si>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</si>
  <si>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</si>
  <si>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</si>
  <si>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</si>
  <si>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</si>
  <si>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</si>
  <si>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</si>
  <si>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</si>
  <si>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</si>
  <si>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</si>
  <si>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</si>
  <si>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</si>
  <si>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</si>
  <si>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</si>
  <si>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</si>
  <si>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</si>
  <si>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</si>
  <si>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</si>
  <si>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</si>
  <si>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</si>
  <si>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</si>
  <si>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</si>
  <si>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</si>
  <si>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</si>
  <si>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</si>
  <si>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</si>
  <si>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</si>
  <si>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</si>
  <si>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</si>
  <si>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</si>
  <si>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</si>
  <si>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</si>
  <si>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</si>
  <si>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</si>
  <si>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</si>
  <si>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</si>
  <si>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</si>
  <si>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</si>
  <si>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</si>
  <si>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</si>
  <si>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</si>
  <si>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</si>
  <si>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</si>
  <si>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</si>
  <si>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</si>
  <si>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</si>
  <si>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</si>
  <si>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</si>
  <si>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</si>
  <si>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</si>
  <si>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</si>
  <si>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</si>
  <si>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</si>
  <si>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</si>
  <si>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</si>
  <si>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</si>
  <si>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</si>
  <si>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</si>
  <si>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</si>
  <si>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</si>
  <si>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</si>
  <si>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</si>
  <si>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</si>
  <si>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</si>
  <si>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</si>
  <si>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</si>
  <si>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</si>
  <si>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</si>
  <si>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</si>
  <si>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</si>
  <si>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</si>
  <si>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</si>
  <si>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</si>
  <si>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</si>
  <si>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</si>
  <si>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</si>
  <si>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</si>
  <si>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</si>
  <si>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</si>
  <si>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</si>
  <si>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</si>
  <si>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</si>
  <si>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</si>
  <si>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</si>
  <si>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</si>
  <si>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</si>
  <si>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</si>
  <si>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</si>
  <si>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</si>
  <si>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</si>
  <si>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</si>
  <si>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</si>
  <si>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</si>
  <si>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</si>
  <si>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</si>
  <si>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</si>
  <si>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</si>
  <si>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</si>
  <si>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</si>
  <si>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</si>
  <si>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</si>
  <si>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</si>
  <si>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</si>
  <si>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</si>
  <si>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</si>
  <si>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</si>
  <si>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</si>
  <si>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</si>
  <si>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</si>
  <si>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</si>
  <si>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</si>
  <si>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</si>
  <si>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</si>
  <si>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</si>
  <si>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</si>
  <si>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</si>
  <si>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</si>
  <si>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</si>
  <si>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</si>
  <si>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</si>
  <si>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</si>
  <si>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</si>
  <si>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</si>
  <si>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</si>
  <si>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</si>
  <si>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</si>
  <si>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</si>
  <si>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</si>
  <si>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</si>
  <si>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</si>
  <si>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</si>
  <si>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</si>
  <si>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</si>
  <si>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</si>
  <si>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</si>
  <si>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</si>
  <si>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</si>
  <si>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</si>
  <si>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</si>
  <si>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</si>
  <si>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</si>
  <si>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</si>
  <si>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</si>
  <si>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</si>
  <si>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</si>
  <si>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</si>
  <si>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</si>
  <si>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</si>
  <si>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</si>
  <si>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</si>
  <si>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</si>
  <si>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</si>
  <si>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</si>
  <si>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</si>
  <si>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</si>
  <si>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</si>
  <si>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</si>
  <si>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</si>
  <si>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</si>
  <si>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</si>
  <si>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</si>
  <si>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</si>
  <si>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</si>
  <si>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</si>
  <si>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</si>
  <si>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</si>
  <si>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</si>
  <si>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</si>
  <si>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</si>
  <si>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</si>
  <si>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</si>
  <si>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</si>
  <si>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</si>
  <si>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</si>
  <si>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</si>
  <si>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</si>
  <si>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</si>
  <si>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</si>
  <si>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</si>
  <si>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</si>
  <si>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</si>
  <si>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</si>
  <si>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</si>
  <si>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</si>
  <si>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</si>
  <si>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</si>
  <si>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</si>
  <si>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</si>
  <si>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</si>
  <si>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</si>
  <si>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</si>
  <si>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</si>
  <si>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</si>
  <si>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</si>
  <si>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</si>
  <si>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</si>
  <si>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</si>
  <si>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</si>
  <si>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</si>
  <si>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</si>
  <si>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</si>
  <si>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</si>
  <si>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</si>
  <si>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</si>
  <si>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</si>
  <si>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</si>
  <si>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</si>
  <si>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</si>
  <si>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</si>
  <si>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</si>
  <si>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</si>
  <si>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</si>
  <si>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</si>
  <si>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</si>
  <si>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</si>
  <si>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</si>
  <si>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</si>
  <si>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</si>
  <si>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</si>
  <si>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</si>
  <si>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</si>
  <si>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</si>
  <si>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</si>
  <si>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</si>
  <si>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</si>
  <si>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</si>
  <si>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</si>
  <si>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</si>
  <si>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</si>
  <si>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</si>
  <si>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</si>
  <si>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</si>
  <si>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</si>
  <si>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</si>
  <si>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</si>
  <si>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</si>
  <si>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</si>
  <si>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</si>
  <si>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</si>
  <si>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</si>
  <si>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</si>
  <si>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</si>
  <si>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</si>
  <si>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</si>
  <si>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</si>
  <si>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</si>
  <si>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</si>
  <si>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</si>
  <si>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</si>
  <si>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</si>
  <si>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</si>
  <si>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</si>
  <si>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</si>
  <si>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</si>
  <si>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</si>
  <si>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</si>
  <si>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</si>
  <si>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</si>
  <si>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</si>
  <si>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</si>
  <si>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</si>
  <si>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</si>
  <si>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</si>
  <si>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</si>
  <si>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</si>
  <si>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</si>
  <si>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</si>
  <si>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</si>
  <si>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</si>
  <si>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</si>
  <si>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</si>
  <si>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</si>
  <si>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</si>
  <si>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</si>
  <si>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</si>
  <si>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</si>
  <si>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</si>
  <si>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</si>
  <si>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</si>
  <si>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</si>
  <si>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</si>
  <si>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</si>
  <si>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</si>
  <si>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</si>
  <si>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</si>
  <si>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</si>
  <si>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</si>
  <si>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</si>
  <si>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</si>
  <si>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</si>
  <si>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</si>
  <si>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</si>
  <si>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</si>
  <si>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</si>
  <si>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</si>
  <si>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</si>
  <si>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</si>
  <si>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</si>
  <si>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</si>
  <si>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</si>
  <si>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</si>
  <si>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</si>
  <si>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</si>
  <si>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</si>
  <si>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</si>
  <si>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</si>
  <si>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</si>
  <si>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</si>
  <si>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</si>
  <si>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</si>
  <si>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</si>
  <si>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</si>
  <si>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</si>
  <si>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</si>
  <si>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</si>
  <si>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</si>
  <si>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</si>
  <si>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</si>
  <si>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</si>
  <si>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12009</t>
  </si>
  <si>
    <t>DUFFEL</t>
  </si>
  <si>
    <t>Paarden&amp;pony's 200 - 600 kg</t>
  </si>
  <si>
    <t>Paarden&amp;pony's &lt; 200 kg</t>
  </si>
  <si>
    <t>referentietaak LNE (2017); Jaarverslag De Lijn (2015)</t>
  </si>
  <si>
    <t>op basis van VEA (maart 2018) en Inventaris Hernieuwbare Energiebronnen (juni 2018)</t>
  </si>
  <si>
    <t>VEA (januari 2017)</t>
  </si>
  <si>
    <t>VEA (juni 2018)</t>
  </si>
  <si>
    <t>T.B.O. Pittori bvba</t>
  </si>
  <si>
    <t>Zijpstraat 130, 2570 Duffel</t>
  </si>
  <si>
    <t>WKK-0056 Pittori Zijpstraat</t>
  </si>
  <si>
    <t>interne verbrandingsmotor</t>
  </si>
  <si>
    <t>WKK interne verbrandinsgmotor (gas)</t>
  </si>
  <si>
    <t>IMEA</t>
  </si>
  <si>
    <t>LENTSCHE HEYDE bvba</t>
  </si>
  <si>
    <t>Lintseheide 39B, 2570 Duffel</t>
  </si>
  <si>
    <t>WKK-0073 Didier Algoet</t>
  </si>
  <si>
    <t>De Wit Dirk</t>
  </si>
  <si>
    <t>Straatjesbossen 13b, 2570 Duffel</t>
  </si>
  <si>
    <t>WKK-0074 De Wit Dirk</t>
  </si>
  <si>
    <t>Zwarthout Energie BVBA</t>
  </si>
  <si>
    <t>Zwarthoutstraat 21 , 2570 Duffel</t>
  </si>
  <si>
    <t>WKK-0137 Zwarthout Energie</t>
  </si>
  <si>
    <t>Zwarthoutstraat 21, 2570 Duffel</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</si>
  <si>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</si>
  <si>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</si>
  <si>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</si>
  <si>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</si>
  <si>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</si>
  <si>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</si>
  <si>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</si>
  <si>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</si>
  <si>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</si>
  <si>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</si>
  <si>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</si>
  <si>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</si>
  <si>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</si>
  <si>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</si>
  <si>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</si>
  <si>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</si>
  <si>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</si>
  <si>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Van Hissenhoven EBVBA</t>
  </si>
  <si>
    <t>Roetestraat 18 , 2570 Duffel</t>
  </si>
  <si>
    <t>WKK-0457 Van Hissenhoven</t>
  </si>
  <si>
    <t>WKK interne verbrandinsgmotor (vloeibaar)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</si>
</sst>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115234.08796417848</c:v>
                </c:pt>
                <c:pt idx="1">
                  <c:v>91419.305625547902</c:v>
                </c:pt>
                <c:pt idx="2">
                  <c:v>1267.6220000000001</c:v>
                </c:pt>
                <c:pt idx="3">
                  <c:v>206885.88219981239</c:v>
                </c:pt>
                <c:pt idx="4">
                  <c:v>390918.19381666585</c:v>
                </c:pt>
                <c:pt idx="5">
                  <c:v>49191.66264835577</c:v>
                </c:pt>
                <c:pt idx="6">
                  <c:v>1365.7866596678562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115234.08796417848</c:v>
                </c:pt>
                <c:pt idx="1">
                  <c:v>91419.305625547902</c:v>
                </c:pt>
                <c:pt idx="2">
                  <c:v>1267.6220000000001</c:v>
                </c:pt>
                <c:pt idx="3">
                  <c:v>206885.88219981239</c:v>
                </c:pt>
                <c:pt idx="4">
                  <c:v>390918.19381666585</c:v>
                </c:pt>
                <c:pt idx="5">
                  <c:v>49191.66264835577</c:v>
                </c:pt>
                <c:pt idx="6">
                  <c:v>1365.7866596678562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21862.607380642468</c:v>
                </c:pt>
                <c:pt idx="2">
                  <c:v>16954.363978121717</c:v>
                </c:pt>
                <c:pt idx="3">
                  <c:v>276.00893451021039</c:v>
                </c:pt>
                <c:pt idx="4">
                  <c:v>48827.918407101912</c:v>
                </c:pt>
                <c:pt idx="5">
                  <c:v>79122.423097933948</c:v>
                </c:pt>
                <c:pt idx="6">
                  <c:v>12588.4150937339</c:v>
                </c:pt>
                <c:pt idx="7">
                  <c:v>353.69423426288841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3882496"/>
      </c:barChart>
      <c:catAx>
        <c:axId val="183823360"/>
        <c:scaling>
          <c:orientation val="minMax"/>
        </c:scaling>
        <c:axPos val="b"/>
        <c:numFmt formatCode="General" sourceLinked="0"/>
        <c:tickLblPos val="nextTo"/>
        <c:crossAx val="183882496"/>
        <c:crosses val="autoZero"/>
        <c:auto val="1"/>
        <c:lblAlgn val="ctr"/>
        <c:lblOffset val="100"/>
      </c:catAx>
      <c:valAx>
        <c:axId val="183882496"/>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21862.607380642468</c:v>
                </c:pt>
                <c:pt idx="2">
                  <c:v>16954.363978121717</c:v>
                </c:pt>
                <c:pt idx="3">
                  <c:v>276.00893451021039</c:v>
                </c:pt>
                <c:pt idx="4">
                  <c:v>48827.918407101912</c:v>
                </c:pt>
                <c:pt idx="5">
                  <c:v>79122.423097933948</c:v>
                </c:pt>
                <c:pt idx="6">
                  <c:v>12588.4150937339</c:v>
                </c:pt>
                <c:pt idx="7">
                  <c:v>353.69423426288841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12009</v>
      </c>
      <c r="B6" s="415"/>
      <c r="C6" s="416"/>
    </row>
    <row r="7" spans="1:7" s="413" customFormat="1" ht="15.75" customHeight="1">
      <c r="A7" s="417" t="str">
        <f>txtMunicipality</f>
        <v>DUFFEL</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0.21773757043520103</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0.21773757043520103</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12009</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7150</v>
      </c>
      <c r="C9" s="342">
        <v>7196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709.97</v>
      </c>
    </row>
    <row r="15" spans="1:6">
      <c r="A15" s="348" t="s">
        <v>184</v>
      </c>
      <c r="B15" s="334">
        <v>4</v>
      </c>
    </row>
    <row r="16" spans="1:6">
      <c r="A16" s="348" t="s">
        <v>6</v>
      </c>
      <c r="B16" s="334">
        <v>119</v>
      </c>
    </row>
    <row r="17" spans="1:6">
      <c r="A17" s="348" t="s">
        <v>7</v>
      </c>
      <c r="B17" s="334">
        <v>102</v>
      </c>
    </row>
    <row r="18" spans="1:6">
      <c r="A18" s="348" t="s">
        <v>8</v>
      </c>
      <c r="B18" s="334">
        <v>129</v>
      </c>
    </row>
    <row r="19" spans="1:6">
      <c r="A19" s="348" t="s">
        <v>9</v>
      </c>
      <c r="B19" s="334">
        <v>127</v>
      </c>
    </row>
    <row r="20" spans="1:6">
      <c r="A20" s="348" t="s">
        <v>10</v>
      </c>
      <c r="B20" s="334">
        <v>149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126</v>
      </c>
    </row>
    <row r="27" spans="1:6">
      <c r="A27" s="348" t="s">
        <v>17</v>
      </c>
      <c r="B27" s="334">
        <v>0</v>
      </c>
    </row>
    <row r="28" spans="1:6" s="356" customFormat="1">
      <c r="A28" s="355" t="s">
        <v>18</v>
      </c>
      <c r="B28" s="355">
        <v>199</v>
      </c>
    </row>
    <row r="29" spans="1:6">
      <c r="A29" s="355" t="s">
        <v>884</v>
      </c>
      <c r="B29" s="355">
        <v>106</v>
      </c>
      <c r="C29" s="356"/>
      <c r="D29" s="356"/>
      <c r="E29" s="356"/>
      <c r="F29" s="356"/>
    </row>
    <row r="30" spans="1:6">
      <c r="A30" s="355" t="s">
        <v>885</v>
      </c>
      <c r="B30" s="341">
        <v>23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78414118.093999997</v>
      </c>
    </row>
    <row r="37" spans="1:6">
      <c r="A37" s="348" t="s">
        <v>25</v>
      </c>
      <c r="B37" s="348" t="s">
        <v>28</v>
      </c>
      <c r="C37" s="334">
        <v>0</v>
      </c>
      <c r="D37" s="334">
        <v>0</v>
      </c>
      <c r="E37" s="334">
        <v>0</v>
      </c>
      <c r="F37" s="334">
        <v>0</v>
      </c>
    </row>
    <row r="38" spans="1:6">
      <c r="A38" s="348" t="s">
        <v>25</v>
      </c>
      <c r="B38" s="348" t="s">
        <v>29</v>
      </c>
      <c r="C38" s="334">
        <v>1</v>
      </c>
      <c r="D38" s="334">
        <v>47687111.925999999</v>
      </c>
      <c r="E38" s="334">
        <v>0</v>
      </c>
      <c r="F38" s="334">
        <v>0</v>
      </c>
    </row>
    <row r="39" spans="1:6">
      <c r="A39" s="348" t="s">
        <v>30</v>
      </c>
      <c r="B39" s="348" t="s">
        <v>31</v>
      </c>
      <c r="C39" s="334">
        <v>5625</v>
      </c>
      <c r="D39" s="334">
        <v>84009816.763999999</v>
      </c>
      <c r="E39" s="334">
        <v>7118</v>
      </c>
      <c r="F39" s="334">
        <v>26001981.929000001</v>
      </c>
    </row>
    <row r="40" spans="1:6">
      <c r="A40" s="348" t="s">
        <v>30</v>
      </c>
      <c r="B40" s="348" t="s">
        <v>29</v>
      </c>
      <c r="C40" s="334">
        <v>0</v>
      </c>
      <c r="D40" s="334">
        <v>0</v>
      </c>
      <c r="E40" s="334">
        <v>0</v>
      </c>
      <c r="F40" s="334">
        <v>0</v>
      </c>
    </row>
    <row r="41" spans="1:6">
      <c r="A41" s="348" t="s">
        <v>32</v>
      </c>
      <c r="B41" s="348" t="s">
        <v>33</v>
      </c>
      <c r="C41" s="334">
        <v>40</v>
      </c>
      <c r="D41" s="334">
        <v>1516561.8259000001</v>
      </c>
      <c r="E41" s="334">
        <v>83</v>
      </c>
      <c r="F41" s="334">
        <v>766672.75950000004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183394.38834999999</v>
      </c>
      <c r="E44" s="334">
        <v>11</v>
      </c>
      <c r="F44" s="334">
        <v>476876.18296000001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93140.504600999993</v>
      </c>
      <c r="E47" s="334">
        <v>7</v>
      </c>
      <c r="F47" s="334">
        <v>714239.63444000005</v>
      </c>
    </row>
    <row r="48" spans="1:6">
      <c r="A48" s="348" t="s">
        <v>32</v>
      </c>
      <c r="B48" s="348" t="s">
        <v>29</v>
      </c>
      <c r="C48" s="334">
        <v>23</v>
      </c>
      <c r="D48" s="334">
        <v>412919236.51999998</v>
      </c>
      <c r="E48" s="334">
        <v>29</v>
      </c>
      <c r="F48" s="334">
        <v>9813878.4598999992</v>
      </c>
    </row>
    <row r="49" spans="1:6">
      <c r="A49" s="348" t="s">
        <v>32</v>
      </c>
      <c r="B49" s="348" t="s">
        <v>40</v>
      </c>
      <c r="C49" s="334">
        <v>0</v>
      </c>
      <c r="D49" s="334">
        <v>0</v>
      </c>
      <c r="E49" s="334">
        <v>0</v>
      </c>
      <c r="F49" s="334">
        <v>0</v>
      </c>
    </row>
    <row r="50" spans="1:6">
      <c r="A50" s="348" t="s">
        <v>32</v>
      </c>
      <c r="B50" s="348" t="s">
        <v>41</v>
      </c>
      <c r="C50" s="334">
        <v>5</v>
      </c>
      <c r="D50" s="334">
        <v>70851.438607999997</v>
      </c>
      <c r="E50" s="334">
        <v>6</v>
      </c>
      <c r="F50" s="334">
        <v>356324.43972999998</v>
      </c>
    </row>
    <row r="51" spans="1:6">
      <c r="A51" s="348" t="s">
        <v>42</v>
      </c>
      <c r="B51" s="348" t="s">
        <v>43</v>
      </c>
      <c r="C51" s="334">
        <v>34</v>
      </c>
      <c r="D51" s="334">
        <v>288021678.69</v>
      </c>
      <c r="E51" s="334">
        <v>78</v>
      </c>
      <c r="F51" s="334">
        <v>10668415.16</v>
      </c>
    </row>
    <row r="52" spans="1:6">
      <c r="A52" s="348" t="s">
        <v>42</v>
      </c>
      <c r="B52" s="348" t="s">
        <v>29</v>
      </c>
      <c r="C52" s="334">
        <v>2</v>
      </c>
      <c r="D52" s="334">
        <v>11578506.902000001</v>
      </c>
      <c r="E52" s="334">
        <v>9</v>
      </c>
      <c r="F52" s="334">
        <v>141630.22339</v>
      </c>
    </row>
    <row r="53" spans="1:6">
      <c r="A53" s="348" t="s">
        <v>44</v>
      </c>
      <c r="B53" s="348" t="s">
        <v>45</v>
      </c>
      <c r="C53" s="334">
        <v>109</v>
      </c>
      <c r="D53" s="334">
        <v>2257043.9970999998</v>
      </c>
      <c r="E53" s="334">
        <v>216</v>
      </c>
      <c r="F53" s="334">
        <v>692475.91194999998</v>
      </c>
    </row>
    <row r="54" spans="1:6">
      <c r="A54" s="348" t="s">
        <v>46</v>
      </c>
      <c r="B54" s="348" t="s">
        <v>47</v>
      </c>
      <c r="C54" s="334">
        <v>0</v>
      </c>
      <c r="D54" s="334">
        <v>0</v>
      </c>
      <c r="E54" s="334">
        <v>1</v>
      </c>
      <c r="F54" s="334">
        <v>1267622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75</v>
      </c>
      <c r="D57" s="334">
        <v>5873304.5478999997</v>
      </c>
      <c r="E57" s="334">
        <v>145</v>
      </c>
      <c r="F57" s="334">
        <v>15637132.821</v>
      </c>
    </row>
    <row r="58" spans="1:6">
      <c r="A58" s="348" t="s">
        <v>49</v>
      </c>
      <c r="B58" s="348" t="s">
        <v>51</v>
      </c>
      <c r="C58" s="334">
        <v>41</v>
      </c>
      <c r="D58" s="334">
        <v>16960374.171</v>
      </c>
      <c r="E58" s="334">
        <v>80</v>
      </c>
      <c r="F58" s="334">
        <v>7376819.6286000004</v>
      </c>
    </row>
    <row r="59" spans="1:6">
      <c r="A59" s="348" t="s">
        <v>49</v>
      </c>
      <c r="B59" s="348" t="s">
        <v>52</v>
      </c>
      <c r="C59" s="334">
        <v>75</v>
      </c>
      <c r="D59" s="334">
        <v>1809696.4674</v>
      </c>
      <c r="E59" s="334">
        <v>128</v>
      </c>
      <c r="F59" s="334">
        <v>2952795.1189000001</v>
      </c>
    </row>
    <row r="60" spans="1:6">
      <c r="A60" s="348" t="s">
        <v>49</v>
      </c>
      <c r="B60" s="348" t="s">
        <v>53</v>
      </c>
      <c r="C60" s="334">
        <v>35</v>
      </c>
      <c r="D60" s="334">
        <v>1721942.0549999999</v>
      </c>
      <c r="E60" s="334">
        <v>47</v>
      </c>
      <c r="F60" s="334">
        <v>1321157.6553</v>
      </c>
    </row>
    <row r="61" spans="1:6">
      <c r="A61" s="348" t="s">
        <v>49</v>
      </c>
      <c r="B61" s="348" t="s">
        <v>54</v>
      </c>
      <c r="C61" s="334">
        <v>72</v>
      </c>
      <c r="D61" s="334">
        <v>4338097.3987999996</v>
      </c>
      <c r="E61" s="334">
        <v>173</v>
      </c>
      <c r="F61" s="334">
        <v>2697383.4101</v>
      </c>
    </row>
    <row r="62" spans="1:6">
      <c r="A62" s="348" t="s">
        <v>49</v>
      </c>
      <c r="B62" s="348" t="s">
        <v>55</v>
      </c>
      <c r="C62" s="334">
        <v>7</v>
      </c>
      <c r="D62" s="334">
        <v>954337.79105</v>
      </c>
      <c r="E62" s="334">
        <v>8</v>
      </c>
      <c r="F62" s="334">
        <v>405282.93312</v>
      </c>
    </row>
    <row r="63" spans="1:6">
      <c r="A63" s="348" t="s">
        <v>49</v>
      </c>
      <c r="B63" s="348" t="s">
        <v>29</v>
      </c>
      <c r="C63" s="334">
        <v>82</v>
      </c>
      <c r="D63" s="334">
        <v>8473454.6311000008</v>
      </c>
      <c r="E63" s="334">
        <v>101</v>
      </c>
      <c r="F63" s="334">
        <v>3814959.9643000001</v>
      </c>
    </row>
    <row r="64" spans="1:6">
      <c r="A64" s="348" t="s">
        <v>56</v>
      </c>
      <c r="B64" s="348" t="s">
        <v>57</v>
      </c>
      <c r="C64" s="334">
        <v>0</v>
      </c>
      <c r="D64" s="334">
        <v>0</v>
      </c>
      <c r="E64" s="334">
        <v>0</v>
      </c>
      <c r="F64" s="334">
        <v>0</v>
      </c>
    </row>
    <row r="65" spans="1:6">
      <c r="A65" s="348" t="s">
        <v>56</v>
      </c>
      <c r="B65" s="348" t="s">
        <v>29</v>
      </c>
      <c r="C65" s="334">
        <v>1</v>
      </c>
      <c r="D65" s="334">
        <v>89273.619439000002</v>
      </c>
      <c r="E65" s="334">
        <v>3</v>
      </c>
      <c r="F65" s="334">
        <v>11950.841763</v>
      </c>
    </row>
    <row r="66" spans="1:6">
      <c r="A66" s="348" t="s">
        <v>56</v>
      </c>
      <c r="B66" s="348" t="s">
        <v>58</v>
      </c>
      <c r="C66" s="334">
        <v>0</v>
      </c>
      <c r="D66" s="334">
        <v>0</v>
      </c>
      <c r="E66" s="334">
        <v>4</v>
      </c>
      <c r="F66" s="334">
        <v>35637</v>
      </c>
    </row>
    <row r="67" spans="1:6">
      <c r="A67" s="355" t="s">
        <v>56</v>
      </c>
      <c r="B67" s="355" t="s">
        <v>59</v>
      </c>
      <c r="C67" s="334">
        <v>0</v>
      </c>
      <c r="D67" s="334">
        <v>0</v>
      </c>
      <c r="E67" s="334">
        <v>0</v>
      </c>
      <c r="F67" s="334">
        <v>0</v>
      </c>
    </row>
    <row r="68" spans="1:6">
      <c r="A68" s="341" t="s">
        <v>56</v>
      </c>
      <c r="B68" s="341" t="s">
        <v>60</v>
      </c>
      <c r="C68" s="334">
        <v>3</v>
      </c>
      <c r="D68" s="334">
        <v>39885.407271999997</v>
      </c>
      <c r="E68" s="334">
        <v>5</v>
      </c>
      <c r="F68" s="334">
        <v>53528.259666999998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52591183</v>
      </c>
      <c r="E73" s="475">
        <v>56792318.159564711</v>
      </c>
    </row>
    <row r="74" spans="1:6">
      <c r="A74" s="348" t="s">
        <v>64</v>
      </c>
      <c r="B74" s="348" t="s">
        <v>667</v>
      </c>
      <c r="C74" s="1294" t="s">
        <v>669</v>
      </c>
      <c r="D74" s="475">
        <v>4594314.161551415</v>
      </c>
      <c r="E74" s="475">
        <v>4733678.2467030287</v>
      </c>
    </row>
    <row r="75" spans="1:6">
      <c r="A75" s="348" t="s">
        <v>65</v>
      </c>
      <c r="B75" s="348" t="s">
        <v>666</v>
      </c>
      <c r="C75" s="1294" t="s">
        <v>670</v>
      </c>
      <c r="D75" s="475">
        <v>5775537</v>
      </c>
      <c r="E75" s="475">
        <v>6241685.5163047677</v>
      </c>
    </row>
    <row r="76" spans="1:6">
      <c r="A76" s="348" t="s">
        <v>65</v>
      </c>
      <c r="B76" s="348" t="s">
        <v>667</v>
      </c>
      <c r="C76" s="1294" t="s">
        <v>671</v>
      </c>
      <c r="D76" s="475">
        <v>198855.16155141519</v>
      </c>
      <c r="E76" s="475">
        <v>211211.18409152536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366831.67689716961</v>
      </c>
      <c r="C83" s="475">
        <v>366831.67689716961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2527.9612326296992</v>
      </c>
    </row>
    <row r="92" spans="1:6">
      <c r="A92" s="341" t="s">
        <v>69</v>
      </c>
      <c r="B92" s="342">
        <v>5531.5214155525027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3973</v>
      </c>
    </row>
    <row r="98" spans="1:6">
      <c r="A98" s="348" t="s">
        <v>72</v>
      </c>
      <c r="B98" s="334">
        <v>11</v>
      </c>
    </row>
    <row r="99" spans="1:6">
      <c r="A99" s="348" t="s">
        <v>73</v>
      </c>
      <c r="B99" s="334">
        <v>28</v>
      </c>
    </row>
    <row r="100" spans="1:6">
      <c r="A100" s="348" t="s">
        <v>74</v>
      </c>
      <c r="B100" s="334">
        <v>541</v>
      </c>
    </row>
    <row r="101" spans="1:6">
      <c r="A101" s="348" t="s">
        <v>75</v>
      </c>
      <c r="B101" s="334">
        <v>56</v>
      </c>
    </row>
    <row r="102" spans="1:6">
      <c r="A102" s="348" t="s">
        <v>76</v>
      </c>
      <c r="B102" s="334">
        <v>72</v>
      </c>
    </row>
    <row r="103" spans="1:6">
      <c r="A103" s="348" t="s">
        <v>77</v>
      </c>
      <c r="B103" s="334">
        <v>142</v>
      </c>
    </row>
    <row r="104" spans="1:6">
      <c r="A104" s="348" t="s">
        <v>78</v>
      </c>
      <c r="B104" s="334">
        <v>1380</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51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2</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94667.286844316943</v>
      </c>
      <c r="C3" s="43" t="s">
        <v>170</v>
      </c>
      <c r="D3" s="43"/>
      <c r="E3" s="154"/>
      <c r="F3" s="43"/>
      <c r="G3" s="43"/>
      <c r="H3" s="43"/>
      <c r="I3" s="43"/>
      <c r="J3" s="43"/>
      <c r="K3" s="96"/>
    </row>
    <row r="4" spans="1:11">
      <c r="A4" s="383" t="s">
        <v>171</v>
      </c>
      <c r="B4" s="49">
        <f>IF(ISERROR('SEAP template'!B78+'SEAP template'!C78),0,'SEAP template'!B78+'SEAP template'!C78)</f>
        <v>96200.982648182195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20946.568235294122</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0.21773757043520103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29416.576764705889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123782.625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1267.6220000000001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1267.6220000000001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0.21773757043520103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276.00893451021039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26001.981929000001</v>
      </c>
      <c r="C5" s="17">
        <f>IF(ISERROR('Eigen informatie GS &amp; warmtenet'!B57),0,'Eigen informatie GS &amp; warmtenet'!B57)</f>
        <v>0</v>
      </c>
      <c r="D5" s="30">
        <f>(SUM(HH_hh_gas_kWh,HH_rest_gas_kWh)/1000)*0.902</f>
        <v>75776.854721128009</v>
      </c>
      <c r="E5" s="17">
        <f>B46*B57</f>
        <v>1513.8423713963839</v>
      </c>
      <c r="F5" s="17">
        <f>B51*B62</f>
        <v>0</v>
      </c>
      <c r="G5" s="18"/>
      <c r="H5" s="17"/>
      <c r="I5" s="17"/>
      <c r="J5" s="17">
        <f>B50*B61+C50*C61</f>
        <v>0</v>
      </c>
      <c r="K5" s="17"/>
      <c r="L5" s="17"/>
      <c r="M5" s="17"/>
      <c r="N5" s="17">
        <f>B48*B59+C48*C59</f>
        <v>8598.8243766910582</v>
      </c>
      <c r="O5" s="17">
        <f>B69*B70*B71</f>
        <v>223.55666666666667</v>
      </c>
      <c r="P5" s="17">
        <f>B77*B78*B79/1000-B77*B78*B79/1000/B80</f>
        <v>591.06666666666661</v>
      </c>
    </row>
    <row r="6" spans="1:16">
      <c r="A6" s="16" t="s">
        <v>624</v>
      </c>
      <c r="B6" s="788">
        <f>kWh_PV_kleiner_dan_10kW</f>
        <v>2527.9612326296992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28529.943161629701</v>
      </c>
      <c r="C8" s="21">
        <f>C5</f>
        <v>0</v>
      </c>
      <c r="D8" s="21">
        <f>D5</f>
        <v>75776.854721128009</v>
      </c>
      <c r="E8" s="21">
        <f>E5</f>
        <v>1513.8423713963839</v>
      </c>
      <c r="F8" s="21">
        <f>F5</f>
        <v>0</v>
      </c>
      <c r="G8" s="21"/>
      <c r="H8" s="21"/>
      <c r="I8" s="21"/>
      <c r="J8" s="21">
        <f>J5</f>
        <v>0</v>
      </c>
      <c r="K8" s="21"/>
      <c r="L8" s="21">
        <f>L5</f>
        <v>0</v>
      </c>
      <c r="M8" s="21">
        <f>M5</f>
        <v>0</v>
      </c>
      <c r="N8" s="21">
        <f>N5</f>
        <v>8598.8243766910582</v>
      </c>
      <c r="O8" s="21">
        <f>O5</f>
        <v>223.55666666666667</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0.21773757043520103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6212.0405086676292</v>
      </c>
      <c r="C12" s="23">
        <f ca="1">C10*C8</f>
        <v>0</v>
      </c>
      <c r="D12" s="23">
        <f>D8*D10</f>
        <v>15306.924653667858</v>
      </c>
      <c r="E12" s="23">
        <f>E10*E8</f>
        <v>343.64221830697915</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3973</v>
      </c>
      <c r="C18" s="166" t="s">
        <v>111</v>
      </c>
      <c r="D18" s="228"/>
      <c r="E18" s="15"/>
    </row>
    <row r="19" spans="1:7">
      <c r="A19" s="171" t="s">
        <v>72</v>
      </c>
      <c r="B19" s="37">
        <f>aantalw2001_ander</f>
        <v>11</v>
      </c>
      <c r="C19" s="166" t="s">
        <v>111</v>
      </c>
      <c r="D19" s="229"/>
      <c r="E19" s="15"/>
    </row>
    <row r="20" spans="1:7">
      <c r="A20" s="171" t="s">
        <v>73</v>
      </c>
      <c r="B20" s="37">
        <f>aantalw2001_propaan</f>
        <v>28</v>
      </c>
      <c r="C20" s="167">
        <f>IF(ISERROR(B20/SUM($B$20,$B$21,$B$22)*100),0,B20/SUM($B$20,$B$21,$B$22)*100)</f>
        <v>4.4799999999999995</v>
      </c>
      <c r="D20" s="229"/>
      <c r="E20" s="15"/>
    </row>
    <row r="21" spans="1:7">
      <c r="A21" s="171" t="s">
        <v>74</v>
      </c>
      <c r="B21" s="37">
        <f>aantalw2001_elektriciteit</f>
        <v>541</v>
      </c>
      <c r="C21" s="167">
        <f>IF(ISERROR(B21/SUM($B$20,$B$21,$B$22)*100),0,B21/SUM($B$20,$B$21,$B$22)*100)</f>
        <v>86.56</v>
      </c>
      <c r="D21" s="229"/>
      <c r="E21" s="15"/>
    </row>
    <row r="22" spans="1:7">
      <c r="A22" s="171" t="s">
        <v>75</v>
      </c>
      <c r="B22" s="37">
        <f>aantalw2001_hout</f>
        <v>56</v>
      </c>
      <c r="C22" s="167">
        <f>IF(ISERROR(B22/SUM($B$20,$B$21,$B$22)*100),0,B22/SUM($B$20,$B$21,$B$22)*100)</f>
        <v>8.9599999999999991</v>
      </c>
      <c r="D22" s="229"/>
      <c r="E22" s="15"/>
    </row>
    <row r="23" spans="1:7">
      <c r="A23" s="171" t="s">
        <v>76</v>
      </c>
      <c r="B23" s="37">
        <f>aantalw2001_niet_gespec</f>
        <v>72</v>
      </c>
      <c r="C23" s="166" t="s">
        <v>111</v>
      </c>
      <c r="D23" s="228"/>
      <c r="E23" s="15"/>
    </row>
    <row r="24" spans="1:7">
      <c r="A24" s="171" t="s">
        <v>77</v>
      </c>
      <c r="B24" s="37">
        <f>aantalw2001_steenkool</f>
        <v>142</v>
      </c>
      <c r="C24" s="166" t="s">
        <v>111</v>
      </c>
      <c r="D24" s="229"/>
      <c r="E24" s="15"/>
    </row>
    <row r="25" spans="1:7">
      <c r="A25" s="171" t="s">
        <v>78</v>
      </c>
      <c r="B25" s="37">
        <f>aantalw2001_stookolie</f>
        <v>1380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7150</v>
      </c>
      <c r="C28" s="36"/>
      <c r="D28" s="228"/>
    </row>
    <row r="29" spans="1:7" s="15" customFormat="1">
      <c r="A29" s="230" t="s">
        <v>699</v>
      </c>
      <c r="B29" s="37">
        <f>SUM(HH_hh_gas_aantal,HH_rest_gas_aantal)</f>
        <v>5625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5625</v>
      </c>
      <c r="C32" s="167">
        <f>IF(ISERROR(B32/SUM($B$32,$B$34,$B$35,$B$36,$B$38,$B$39)*100),0,B32/SUM($B$32,$B$34,$B$35,$B$36,$B$38,$B$39)*100)</f>
        <v>79.013906447534765</v>
      </c>
      <c r="D32" s="233"/>
      <c r="G32" s="15"/>
    </row>
    <row r="33" spans="1:7">
      <c r="A33" s="171" t="s">
        <v>72</v>
      </c>
      <c r="B33" s="34" t="s">
        <v>111</v>
      </c>
      <c r="C33" s="167"/>
      <c r="D33" s="233"/>
      <c r="G33" s="15"/>
    </row>
    <row r="34" spans="1:7">
      <c r="A34" s="171" t="s">
        <v>73</v>
      </c>
      <c r="B34" s="33">
        <f>IF((($B$28-$B$32-$B$39-$B$77-$B$38)*C20/100)&lt;0,0,($B$28-$B$32-$B$39-$B$77-$B$38)*C20/100)</f>
        <v>66.93119999999999</v>
      </c>
      <c r="C34" s="167">
        <f>IF(ISERROR(B34/SUM($B$32,$B$34,$B$35,$B$36,$B$38,$B$39)*100),0,B34/SUM($B$32,$B$34,$B$35,$B$36,$B$38,$B$39)*100)</f>
        <v>0.94017699115044229</v>
      </c>
      <c r="D34" s="233"/>
      <c r="G34" s="15"/>
    </row>
    <row r="35" spans="1:7">
      <c r="A35" s="171" t="s">
        <v>74</v>
      </c>
      <c r="B35" s="33">
        <f>IF((($B$28-$B$32-$B$39-$B$77-$B$38)*C21/100)&lt;0,0,($B$28-$B$32-$B$39-$B$77-$B$38)*C21/100)</f>
        <v>1293.2064</v>
      </c>
      <c r="C35" s="167">
        <f>IF(ISERROR(B35/SUM($B$32,$B$34,$B$35,$B$36,$B$38,$B$39)*100),0,B35/SUM($B$32,$B$34,$B$35,$B$36,$B$38,$B$39)*100)</f>
        <v>18.165562579013908</v>
      </c>
      <c r="D35" s="233"/>
      <c r="G35" s="15"/>
    </row>
    <row r="36" spans="1:7">
      <c r="A36" s="171" t="s">
        <v>75</v>
      </c>
      <c r="B36" s="33">
        <f>IF((($B$28-$B$32-$B$39-$B$77-$B$38)*C22/100)&lt;0,0,($B$28-$B$32-$B$39-$B$77-$B$38)*C22/100)</f>
        <v>133.86239999999998</v>
      </c>
      <c r="C36" s="167">
        <f>IF(ISERROR(B36/SUM($B$32,$B$34,$B$35,$B$36,$B$38,$B$39)*100),0,B36/SUM($B$32,$B$34,$B$35,$B$36,$B$38,$B$39)*100)</f>
        <v>1.8803539823008846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5625</v>
      </c>
      <c r="C44" s="34" t="s">
        <v>111</v>
      </c>
      <c r="D44" s="174"/>
    </row>
    <row r="45" spans="1:7">
      <c r="A45" s="171" t="s">
        <v>72</v>
      </c>
      <c r="B45" s="33" t="str">
        <f t="shared" si="0"/>
        <v>-</v>
      </c>
      <c r="C45" s="34" t="s">
        <v>111</v>
      </c>
      <c r="D45" s="174"/>
    </row>
    <row r="46" spans="1:7">
      <c r="A46" s="171" t="s">
        <v>73</v>
      </c>
      <c r="B46" s="33">
        <f t="shared" si="0"/>
        <v>66.93119999999999</v>
      </c>
      <c r="C46" s="34" t="s">
        <v>111</v>
      </c>
      <c r="D46" s="174"/>
    </row>
    <row r="47" spans="1:7">
      <c r="A47" s="171" t="s">
        <v>74</v>
      </c>
      <c r="B47" s="33">
        <f t="shared" si="0"/>
        <v>1293.2064</v>
      </c>
      <c r="C47" s="34" t="s">
        <v>111</v>
      </c>
      <c r="D47" s="174"/>
    </row>
    <row r="48" spans="1:7">
      <c r="A48" s="171" t="s">
        <v>75</v>
      </c>
      <c r="B48" s="33">
        <f t="shared" si="0"/>
        <v>133.86239999999998</v>
      </c>
      <c r="C48" s="33">
        <f>B48*10</f>
        <v>1338.6239999999998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34205.531531320004</v>
      </c>
      <c r="C5" s="17">
        <f>IF(ISERROR('Eigen informatie GS &amp; warmtenet'!B58),0,'Eigen informatie GS &amp; warmtenet'!B58)</f>
        <v>0</v>
      </c>
      <c r="D5" s="30">
        <f>SUM(D6:D12)</f>
        <v>36198.348770149503</v>
      </c>
      <c r="E5" s="17">
        <f>SUM(E6:E12)</f>
        <v>264.56997254670637</v>
      </c>
      <c r="F5" s="17">
        <f>SUM(F6:F12)</f>
        <v>7994.0479839293439</v>
      </c>
      <c r="G5" s="18"/>
      <c r="H5" s="17"/>
      <c r="I5" s="17"/>
      <c r="J5" s="17">
        <f>SUM(J6:J12)</f>
        <v>0</v>
      </c>
      <c r="K5" s="17"/>
      <c r="L5" s="17"/>
      <c r="M5" s="17"/>
      <c r="N5" s="17">
        <f>SUM(N6:N12)</f>
        <v>12753.680700935678</v>
      </c>
      <c r="O5" s="17">
        <f>B38*B39*B40</f>
        <v>3.1266666666666669</v>
      </c>
      <c r="P5" s="17">
        <f>B46*B47*B48/1000-B46*B47*B48/1000/B49</f>
        <v>0</v>
      </c>
      <c r="R5" s="32"/>
    </row>
    <row r="6" spans="1:18">
      <c r="A6" s="32" t="s">
        <v>54</v>
      </c>
      <c r="B6" s="37">
        <f>B26</f>
        <v>2697.3834100999998</v>
      </c>
      <c r="C6" s="33"/>
      <c r="D6" s="37">
        <f>IF(ISERROR(TER_kantoor_gas_kWh/1000),0,TER_kantoor_gas_kWh/1000)*0.902</f>
        <v>3912.9638537175997</v>
      </c>
      <c r="E6" s="33">
        <f>$C$26*'E Balans VL '!I12/100/3.6*1000000</f>
        <v>35.312071532766147</v>
      </c>
      <c r="F6" s="33">
        <f>$C$26*('E Balans VL '!L12+'E Balans VL '!N12)/100/3.6*1000000</f>
        <v>687.80489585656005</v>
      </c>
      <c r="G6" s="34"/>
      <c r="H6" s="33"/>
      <c r="I6" s="33"/>
      <c r="J6" s="33">
        <f>$C$26*('E Balans VL '!D12+'E Balans VL '!E12)/100/3.6*1000000</f>
        <v>0</v>
      </c>
      <c r="K6" s="33"/>
      <c r="L6" s="33"/>
      <c r="M6" s="33"/>
      <c r="N6" s="33">
        <f>$C$26*'E Balans VL '!Y12/100/3.6*1000000</f>
        <v>2.706466704254078</v>
      </c>
      <c r="O6" s="33"/>
      <c r="P6" s="33"/>
      <c r="R6" s="32"/>
    </row>
    <row r="7" spans="1:18">
      <c r="A7" s="32" t="s">
        <v>53</v>
      </c>
      <c r="B7" s="37">
        <f t="shared" ref="B7:B12" si="0">B27</f>
        <v>1321.1576553</v>
      </c>
      <c r="C7" s="33"/>
      <c r="D7" s="37">
        <f>IF(ISERROR(TER_horeca_gas_kWh/1000),0,TER_horeca_gas_kWh/1000)*0.902</f>
        <v>1553.19173361</v>
      </c>
      <c r="E7" s="33">
        <f>$C$27*'E Balans VL '!I9/100/3.6*1000000</f>
        <v>43.722282057999152</v>
      </c>
      <c r="F7" s="33">
        <f>$C$27*('E Balans VL '!L9+'E Balans VL '!N9)/100/3.6*1000000</f>
        <v>568.09272848955754</v>
      </c>
      <c r="G7" s="34"/>
      <c r="H7" s="33"/>
      <c r="I7" s="33"/>
      <c r="J7" s="33">
        <f>$C$27*('E Balans VL '!D9+'E Balans VL '!E9)/100/3.6*1000000</f>
        <v>0</v>
      </c>
      <c r="K7" s="33"/>
      <c r="L7" s="33"/>
      <c r="M7" s="33"/>
      <c r="N7" s="33">
        <f>$C$27*'E Balans VL '!Y9/100/3.6*1000000</f>
        <v>0.31802183294527836</v>
      </c>
      <c r="O7" s="33"/>
      <c r="P7" s="33"/>
      <c r="R7" s="32"/>
    </row>
    <row r="8" spans="1:18">
      <c r="A8" s="6" t="s">
        <v>52</v>
      </c>
      <c r="B8" s="37">
        <f t="shared" si="0"/>
        <v>2952.7951189</v>
      </c>
      <c r="C8" s="33"/>
      <c r="D8" s="37">
        <f>IF(ISERROR(TER_handel_gas_kWh/1000),0,TER_handel_gas_kWh/1000)*0.902</f>
        <v>1632.3462135948</v>
      </c>
      <c r="E8" s="33">
        <f>$C$28*'E Balans VL '!I13/100/3.6*1000000</f>
        <v>93.194725689126685</v>
      </c>
      <c r="F8" s="33">
        <f>$C$28*('E Balans VL '!L13+'E Balans VL '!N13)/100/3.6*1000000</f>
        <v>579.09511831016732</v>
      </c>
      <c r="G8" s="34"/>
      <c r="H8" s="33"/>
      <c r="I8" s="33"/>
      <c r="J8" s="33">
        <f>$C$28*('E Balans VL '!D13+'E Balans VL '!E13)/100/3.6*1000000</f>
        <v>0</v>
      </c>
      <c r="K8" s="33"/>
      <c r="L8" s="33"/>
      <c r="M8" s="33"/>
      <c r="N8" s="33">
        <f>$C$28*'E Balans VL '!Y13/100/3.6*1000000</f>
        <v>3.504394527999795</v>
      </c>
      <c r="O8" s="33"/>
      <c r="P8" s="33"/>
      <c r="R8" s="32"/>
    </row>
    <row r="9" spans="1:18">
      <c r="A9" s="32" t="s">
        <v>51</v>
      </c>
      <c r="B9" s="37">
        <f t="shared" si="0"/>
        <v>7376.8196286000002</v>
      </c>
      <c r="C9" s="33"/>
      <c r="D9" s="37">
        <f>IF(ISERROR(TER_gezond_gas_kWh/1000),0,TER_gezond_gas_kWh/1000)*0.902</f>
        <v>15298.257502242001</v>
      </c>
      <c r="E9" s="33">
        <f>$C$29*'E Balans VL '!I10/100/3.6*1000000</f>
        <v>0.94444871653074702</v>
      </c>
      <c r="F9" s="33">
        <f>$C$29*('E Balans VL '!L10+'E Balans VL '!N10)/100/3.6*1000000</f>
        <v>1536.9007194833096</v>
      </c>
      <c r="G9" s="34"/>
      <c r="H9" s="33"/>
      <c r="I9" s="33"/>
      <c r="J9" s="33">
        <f>$C$29*('E Balans VL '!D10+'E Balans VL '!E10)/100/3.6*1000000</f>
        <v>0</v>
      </c>
      <c r="K9" s="33"/>
      <c r="L9" s="33"/>
      <c r="M9" s="33"/>
      <c r="N9" s="33">
        <f>$C$29*'E Balans VL '!Y10/100/3.6*1000000</f>
        <v>86.644233281251047</v>
      </c>
      <c r="O9" s="33"/>
      <c r="P9" s="33"/>
      <c r="R9" s="32"/>
    </row>
    <row r="10" spans="1:18">
      <c r="A10" s="32" t="s">
        <v>50</v>
      </c>
      <c r="B10" s="37">
        <f t="shared" si="0"/>
        <v>15637.132821000001</v>
      </c>
      <c r="C10" s="33"/>
      <c r="D10" s="37">
        <f>IF(ISERROR(TER_ander_gas_kWh/1000),0,TER_ander_gas_kWh/1000)*0.902</f>
        <v>5297.7207022057992</v>
      </c>
      <c r="E10" s="33">
        <f>$C$30*'E Balans VL '!I14/100/3.6*1000000</f>
        <v>23.514570447250758</v>
      </c>
      <c r="F10" s="33">
        <f>$C$30*('E Balans VL '!L14+'E Balans VL '!N14)/100/3.6*1000000</f>
        <v>3452.1748702022746</v>
      </c>
      <c r="G10" s="34"/>
      <c r="H10" s="33"/>
      <c r="I10" s="33"/>
      <c r="J10" s="33">
        <f>$C$30*('E Balans VL '!D14+'E Balans VL '!E14)/100/3.6*1000000</f>
        <v>0</v>
      </c>
      <c r="K10" s="33"/>
      <c r="L10" s="33"/>
      <c r="M10" s="33"/>
      <c r="N10" s="33">
        <f>$C$30*'E Balans VL '!Y14/100/3.6*1000000</f>
        <v>12323.113002309712</v>
      </c>
      <c r="O10" s="33"/>
      <c r="P10" s="33"/>
      <c r="R10" s="32"/>
    </row>
    <row r="11" spans="1:18">
      <c r="A11" s="32" t="s">
        <v>55</v>
      </c>
      <c r="B11" s="37">
        <f t="shared" si="0"/>
        <v>405.28293312</v>
      </c>
      <c r="C11" s="33"/>
      <c r="D11" s="37">
        <f>IF(ISERROR(TER_onderwijs_gas_kWh/1000),0,TER_onderwijs_gas_kWh/1000)*0.902</f>
        <v>860.81268752710002</v>
      </c>
      <c r="E11" s="33">
        <f>$C$31*'E Balans VL '!I11/100/3.6*1000000</f>
        <v>0.71373720781671901</v>
      </c>
      <c r="F11" s="33">
        <f>$C$31*('E Balans VL '!L11+'E Balans VL '!N11)/100/3.6*1000000</f>
        <v>187.12646380404959</v>
      </c>
      <c r="G11" s="34"/>
      <c r="H11" s="33"/>
      <c r="I11" s="33"/>
      <c r="J11" s="33">
        <f>$C$31*('E Balans VL '!D11+'E Balans VL '!E11)/100/3.6*1000000</f>
        <v>0</v>
      </c>
      <c r="K11" s="33"/>
      <c r="L11" s="33"/>
      <c r="M11" s="33"/>
      <c r="N11" s="33">
        <f>$C$31*'E Balans VL '!Y11/100/3.6*1000000</f>
        <v>0.7550477089705574</v>
      </c>
      <c r="O11" s="33"/>
      <c r="P11" s="33"/>
      <c r="R11" s="32"/>
    </row>
    <row r="12" spans="1:18">
      <c r="A12" s="32" t="s">
        <v>260</v>
      </c>
      <c r="B12" s="37">
        <f t="shared" si="0"/>
        <v>3814.9599643000001</v>
      </c>
      <c r="C12" s="33"/>
      <c r="D12" s="37">
        <f>IF(ISERROR(TER_rest_gas_kWh/1000),0,TER_rest_gas_kWh/1000)*0.902</f>
        <v>7643.0560772522012</v>
      </c>
      <c r="E12" s="33">
        <f>$C$32*'E Balans VL '!I8/100/3.6*1000000</f>
        <v>67.168136895216122</v>
      </c>
      <c r="F12" s="33">
        <f>$C$32*('E Balans VL '!L8+'E Balans VL '!N8)/100/3.6*1000000</f>
        <v>982.85318778342526</v>
      </c>
      <c r="G12" s="34"/>
      <c r="H12" s="33"/>
      <c r="I12" s="33"/>
      <c r="J12" s="33">
        <f>$C$32*('E Balans VL '!D8+'E Balans VL '!E8)/100/3.6*1000000</f>
        <v>0</v>
      </c>
      <c r="K12" s="33"/>
      <c r="L12" s="33"/>
      <c r="M12" s="33"/>
      <c r="N12" s="33">
        <f>$C$32*'E Balans VL '!Y8/100/3.6*1000000</f>
        <v>336.63953457054657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34205.531531320004</v>
      </c>
      <c r="C16" s="21">
        <f t="shared" ca="1" si="1"/>
        <v>0</v>
      </c>
      <c r="D16" s="21">
        <f t="shared" ca="1" si="1"/>
        <v>36198.348770149503</v>
      </c>
      <c r="E16" s="21">
        <f t="shared" si="1"/>
        <v>264.56997254670637</v>
      </c>
      <c r="F16" s="21">
        <f t="shared" ca="1" si="1"/>
        <v>7994.0479839293439</v>
      </c>
      <c r="G16" s="21">
        <f t="shared" si="1"/>
        <v>0</v>
      </c>
      <c r="H16" s="21">
        <f t="shared" si="1"/>
        <v>0</v>
      </c>
      <c r="I16" s="21">
        <f t="shared" si="1"/>
        <v>0</v>
      </c>
      <c r="J16" s="21">
        <f t="shared" si="1"/>
        <v>0</v>
      </c>
      <c r="K16" s="21">
        <f t="shared" si="1"/>
        <v>0</v>
      </c>
      <c r="L16" s="21">
        <f t="shared" ca="1" si="1"/>
        <v>0</v>
      </c>
      <c r="M16" s="21">
        <f t="shared" si="1"/>
        <v>0</v>
      </c>
      <c r="N16" s="21">
        <f t="shared" ca="1" si="1"/>
        <v>12753.680700935678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0.21773757043520103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7447.8293310742793</v>
      </c>
      <c r="C20" s="23">
        <f t="shared" ref="C20:P20" ca="1" si="2">C16*C18</f>
        <v>0</v>
      </c>
      <c r="D20" s="23">
        <f t="shared" ca="1" si="2"/>
        <v>7312.0664515702001</v>
      </c>
      <c r="E20" s="23">
        <f t="shared" si="2"/>
        <v>60.057383768102348</v>
      </c>
      <c r="F20" s="23">
        <f t="shared" ca="1" si="2"/>
        <v>2134.410811709135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2697.3834100999998</v>
      </c>
      <c r="C26" s="39">
        <f>IF(ISERROR(B26*3.6/1000000/'E Balans VL '!Z12*100),0,B26*3.6/1000000/'E Balans VL '!Z12*100)</f>
        <v>5.7780048159914908E-2</v>
      </c>
      <c r="D26" s="237" t="s">
        <v>660</v>
      </c>
      <c r="F26" s="6"/>
    </row>
    <row r="27" spans="1:18">
      <c r="A27" s="231" t="s">
        <v>53</v>
      </c>
      <c r="B27" s="33">
        <f>IF(ISERROR(TER_horeca_ele_kWh/1000),0,TER_horeca_ele_kWh/1000)</f>
        <v>1321.1576553</v>
      </c>
      <c r="C27" s="39">
        <f>IF(ISERROR(B27*3.6/1000000/'E Balans VL '!Z9*100),0,B27*3.6/1000000/'E Balans VL '!Z9*100)</f>
        <v>0.10601830954068953</v>
      </c>
      <c r="D27" s="237" t="s">
        <v>660</v>
      </c>
      <c r="F27" s="6"/>
    </row>
    <row r="28" spans="1:18">
      <c r="A28" s="171" t="s">
        <v>52</v>
      </c>
      <c r="B28" s="33">
        <f>IF(ISERROR(TER_handel_ele_kWh/1000),0,TER_handel_ele_kWh/1000)</f>
        <v>2952.7951189</v>
      </c>
      <c r="C28" s="39">
        <f>IF(ISERROR(B28*3.6/1000000/'E Balans VL '!Z13*100),0,B28*3.6/1000000/'E Balans VL '!Z13*100)</f>
        <v>8.7090519450292378E-2</v>
      </c>
      <c r="D28" s="237" t="s">
        <v>660</v>
      </c>
      <c r="F28" s="6"/>
    </row>
    <row r="29" spans="1:18">
      <c r="A29" s="231" t="s">
        <v>51</v>
      </c>
      <c r="B29" s="33">
        <f>IF(ISERROR(TER_gezond_ele_kWh/1000),0,TER_gezond_ele_kWh/1000)</f>
        <v>7376.8196286000002</v>
      </c>
      <c r="C29" s="39">
        <f>IF(ISERROR(B29*3.6/1000000/'E Balans VL '!Z10*100),0,B29*3.6/1000000/'E Balans VL '!Z10*100)</f>
        <v>0.78764655638355019</v>
      </c>
      <c r="D29" s="237" t="s">
        <v>660</v>
      </c>
      <c r="F29" s="6"/>
    </row>
    <row r="30" spans="1:18">
      <c r="A30" s="231" t="s">
        <v>50</v>
      </c>
      <c r="B30" s="33">
        <f>IF(ISERROR(TER_ander_ele_kWh/1000),0,TER_ander_ele_kWh/1000)</f>
        <v>15637.132821000001</v>
      </c>
      <c r="C30" s="39">
        <f>IF(ISERROR(B30*3.6/1000000/'E Balans VL '!Z14*100),0,B30*3.6/1000000/'E Balans VL '!Z14*100)</f>
        <v>1.1811340465138631</v>
      </c>
      <c r="D30" s="237" t="s">
        <v>660</v>
      </c>
      <c r="F30" s="6"/>
    </row>
    <row r="31" spans="1:18">
      <c r="A31" s="231" t="s">
        <v>55</v>
      </c>
      <c r="B31" s="33">
        <f>IF(ISERROR(TER_onderwijs_ele_kWh/1000),0,TER_onderwijs_ele_kWh/1000)</f>
        <v>405.28293312</v>
      </c>
      <c r="C31" s="39">
        <f>IF(ISERROR(B31*3.6/1000000/'E Balans VL '!Z11*100),0,B31*3.6/1000000/'E Balans VL '!Z11*100)</f>
        <v>8.1840153586437869E-2</v>
      </c>
      <c r="D31" s="237" t="s">
        <v>660</v>
      </c>
    </row>
    <row r="32" spans="1:18">
      <c r="A32" s="231" t="s">
        <v>260</v>
      </c>
      <c r="B32" s="33">
        <f>IF(ISERROR(TER_rest_ele_kWh/1000),0,TER_rest_ele_kWh/1000)</f>
        <v>3814.9599643000001</v>
      </c>
      <c r="C32" s="39">
        <f>IF(ISERROR(B32*3.6/1000000/'E Balans VL '!Z8*100),0,B32*3.6/1000000/'E Balans VL '!Z8*100)</f>
        <v>3.1631330397473768E-2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12127.991476529998</v>
      </c>
      <c r="C5" s="17">
        <f>IF(ISERROR('Eigen informatie GS &amp; warmtenet'!B59),0,'Eigen informatie GS &amp; warmtenet'!B59)</f>
        <v>0</v>
      </c>
      <c r="D5" s="30">
        <f>SUM(D6:D15)</f>
        <v>374134.432579068</v>
      </c>
      <c r="E5" s="17">
        <f>SUM(E6:E15)</f>
        <v>757.54595778965427</v>
      </c>
      <c r="F5" s="17">
        <f>SUM(F6:F15)</f>
        <v>3105.8376498659113</v>
      </c>
      <c r="G5" s="18"/>
      <c r="H5" s="17"/>
      <c r="I5" s="17"/>
      <c r="J5" s="17">
        <f>SUM(J6:J15)</f>
        <v>127.37667276092115</v>
      </c>
      <c r="K5" s="17"/>
      <c r="L5" s="17"/>
      <c r="M5" s="17"/>
      <c r="N5" s="17">
        <f>SUM(N6:N15)</f>
        <v>3673.5809092227591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476.87618295999999</v>
      </c>
      <c r="C8" s="33"/>
      <c r="D8" s="37">
        <f>IF( ISERROR(IND_metaal_Gas_kWH/1000),0,IND_metaal_Gas_kWH/1000)*0.902</f>
        <v>165.4217382917</v>
      </c>
      <c r="E8" s="33">
        <f>C30*'E Balans VL '!I18/100/3.6*1000000</f>
        <v>17.159447711148502</v>
      </c>
      <c r="F8" s="33">
        <f>C30*'E Balans VL '!L18/100/3.6*1000000+C30*'E Balans VL '!N18/100/3.6*1000000</f>
        <v>208.23637043597594</v>
      </c>
      <c r="G8" s="34"/>
      <c r="H8" s="33"/>
      <c r="I8" s="33"/>
      <c r="J8" s="40">
        <f>C30*'E Balans VL '!D18/100/3.6*1000000+C30*'E Balans VL '!E18/100/3.6*1000000</f>
        <v>0</v>
      </c>
      <c r="K8" s="33"/>
      <c r="L8" s="33"/>
      <c r="M8" s="33"/>
      <c r="N8" s="33">
        <f>C30*'E Balans VL '!Y18/100/3.6*1000000</f>
        <v>23.900710218250371</v>
      </c>
      <c r="O8" s="33"/>
      <c r="P8" s="33"/>
      <c r="R8" s="32"/>
    </row>
    <row r="9" spans="1:18">
      <c r="A9" s="6" t="s">
        <v>33</v>
      </c>
      <c r="B9" s="37">
        <f t="shared" si="0"/>
        <v>766.6727595000001</v>
      </c>
      <c r="C9" s="33"/>
      <c r="D9" s="37">
        <f>IF( ISERROR(IND_andere_gas_kWh/1000),0,IND_andere_gas_kWh/1000)*0.902</f>
        <v>1367.9387669618</v>
      </c>
      <c r="E9" s="33">
        <f>C31*'E Balans VL '!I19/100/3.6*1000000</f>
        <v>195.63754176736015</v>
      </c>
      <c r="F9" s="33">
        <f>C31*'E Balans VL '!L19/100/3.6*1000000+C31*'E Balans VL '!N19/100/3.6*1000000</f>
        <v>660.04762056461436</v>
      </c>
      <c r="G9" s="34"/>
      <c r="H9" s="33"/>
      <c r="I9" s="33"/>
      <c r="J9" s="40">
        <f>C31*'E Balans VL '!D19/100/3.6*1000000+C31*'E Balans VL '!E19/100/3.6*1000000</f>
        <v>0</v>
      </c>
      <c r="K9" s="33"/>
      <c r="L9" s="33"/>
      <c r="M9" s="33"/>
      <c r="N9" s="33">
        <f>C31*'E Balans VL '!Y19/100/3.6*1000000</f>
        <v>239.76482769553925</v>
      </c>
      <c r="O9" s="33"/>
      <c r="P9" s="33"/>
      <c r="R9" s="32"/>
    </row>
    <row r="10" spans="1:18">
      <c r="A10" s="6" t="s">
        <v>41</v>
      </c>
      <c r="B10" s="37">
        <f t="shared" si="0"/>
        <v>356.32443972999999</v>
      </c>
      <c r="C10" s="33"/>
      <c r="D10" s="37">
        <f>IF( ISERROR(IND_voed_gas_kWh/1000),0,IND_voed_gas_kWh/1000)*0.902</f>
        <v>63.907997624415998</v>
      </c>
      <c r="E10" s="33">
        <f>C32*'E Balans VL '!I20/100/3.6*1000000</f>
        <v>9.0582565314874923</v>
      </c>
      <c r="F10" s="33">
        <f>C32*'E Balans VL '!L20/100/3.6*1000000+C32*'E Balans VL '!N20/100/3.6*1000000</f>
        <v>80.630871819769993</v>
      </c>
      <c r="G10" s="34"/>
      <c r="H10" s="33"/>
      <c r="I10" s="33"/>
      <c r="J10" s="40">
        <f>C32*'E Balans VL '!D20/100/3.6*1000000+C32*'E Balans VL '!E20/100/3.6*1000000</f>
        <v>0</v>
      </c>
      <c r="K10" s="33"/>
      <c r="L10" s="33"/>
      <c r="M10" s="33"/>
      <c r="N10" s="33">
        <f>C32*'E Balans VL '!Y20/100/3.6*1000000</f>
        <v>133.63132345259515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714.23963444000003</v>
      </c>
      <c r="C13" s="33"/>
      <c r="D13" s="37">
        <f>IF( ISERROR(IND_papier_gas_kWh/1000),0,IND_papier_gas_kWh/1000)*0.902</f>
        <v>84.012735150101989</v>
      </c>
      <c r="E13" s="33">
        <f>C35*'E Balans VL '!I23/100/3.6*1000000</f>
        <v>3.0631660071017706</v>
      </c>
      <c r="F13" s="33">
        <f>C35*'E Balans VL '!L23/100/3.6*1000000+C35*'E Balans VL '!N23/100/3.6*1000000</f>
        <v>17.951058872177182</v>
      </c>
      <c r="G13" s="34"/>
      <c r="H13" s="33"/>
      <c r="I13" s="33"/>
      <c r="J13" s="40">
        <f>C35*'E Balans VL '!D23/100/3.6*1000000+C35*'E Balans VL '!E23/100/3.6*1000000</f>
        <v>47.814426082510877</v>
      </c>
      <c r="K13" s="33"/>
      <c r="L13" s="33"/>
      <c r="M13" s="33"/>
      <c r="N13" s="33">
        <f>C35*'E Balans VL '!Y23/100/3.6*1000000</f>
        <v>1300.0859873461511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9813.8784598999991</v>
      </c>
      <c r="C15" s="33"/>
      <c r="D15" s="37">
        <f>IF( ISERROR(IND_rest_gas_kWh/1000),0,IND_rest_gas_kWh/1000)*0.902</f>
        <v>372453.15134103998</v>
      </c>
      <c r="E15" s="33">
        <f>C37*'E Balans VL '!I15/100/3.6*1000000</f>
        <v>532.62754577255635</v>
      </c>
      <c r="F15" s="33">
        <f>C37*'E Balans VL '!L15/100/3.6*1000000+C37*'E Balans VL '!N15/100/3.6*1000000</f>
        <v>2138.9717281733738</v>
      </c>
      <c r="G15" s="34"/>
      <c r="H15" s="33"/>
      <c r="I15" s="33"/>
      <c r="J15" s="40">
        <f>C37*'E Balans VL '!D15/100/3.6*1000000+C37*'E Balans VL '!E15/100/3.6*1000000</f>
        <v>79.562246678410276</v>
      </c>
      <c r="K15" s="33"/>
      <c r="L15" s="33"/>
      <c r="M15" s="33"/>
      <c r="N15" s="33">
        <f>C37*'E Balans VL '!Y15/100/3.6*1000000</f>
        <v>1976.1980605102233</v>
      </c>
      <c r="O15" s="33"/>
      <c r="P15" s="33"/>
      <c r="R15" s="32"/>
    </row>
    <row r="16" spans="1:18">
      <c r="A16" s="16" t="s">
        <v>491</v>
      </c>
      <c r="B16" s="247">
        <f>'lokale energieproductie'!N90+'lokale energieproductie'!N59</f>
        <v>7020</v>
      </c>
      <c r="C16" s="247">
        <f>'lokale energieproductie'!O90+'lokale energieproductie'!O59</f>
        <v>10028.571428571429</v>
      </c>
      <c r="D16" s="310">
        <f>('lokale energieproductie'!P59+'lokale energieproductie'!P90)*(-1)</f>
        <v>-20057.142857142859</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19147.991476529998</v>
      </c>
      <c r="C18" s="21">
        <f>C5+C16</f>
        <v>10028.571428571429</v>
      </c>
      <c r="D18" s="21">
        <f>MAX((D5+D16),0)</f>
        <v>354077.28972192516</v>
      </c>
      <c r="E18" s="21">
        <f>MAX((E5+E16),0)</f>
        <v>757.54595778965427</v>
      </c>
      <c r="F18" s="21">
        <f>MAX((F5+F16),0)</f>
        <v>3105.8376498659113</v>
      </c>
      <c r="G18" s="21"/>
      <c r="H18" s="21"/>
      <c r="I18" s="21"/>
      <c r="J18" s="21">
        <f>MAX((J5+J16),0)</f>
        <v>127.37667276092115</v>
      </c>
      <c r="K18" s="21"/>
      <c r="L18" s="21">
        <f>MAX((L5+L16),0)</f>
        <v>0</v>
      </c>
      <c r="M18" s="21"/>
      <c r="N18" s="21">
        <f>MAX((N5+N16),0)</f>
        <v>3673.5809092227591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0.21773757043520103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4169.2371428135793</v>
      </c>
      <c r="C22" s="23">
        <f ca="1">C18*C20</f>
        <v>2383.2605042016812</v>
      </c>
      <c r="D22" s="23">
        <f>D18*D20</f>
        <v>71523.612523828881</v>
      </c>
      <c r="E22" s="23">
        <f>E18*E20</f>
        <v>171.96293241825151</v>
      </c>
      <c r="F22" s="23">
        <f>F18*F20</f>
        <v>829.25865251419839</v>
      </c>
      <c r="G22" s="23"/>
      <c r="H22" s="23"/>
      <c r="I22" s="23"/>
      <c r="J22" s="23">
        <f>J18*J20</f>
        <v>45.091342157366086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476.87618295999999</v>
      </c>
      <c r="C30" s="39">
        <f>IF(ISERROR(B30*3.6/1000000/'E Balans VL '!Z18*100),0,B30*3.6/1000000/'E Balans VL '!Z18*100)</f>
        <v>0.10103983921331924</v>
      </c>
      <c r="D30" s="237" t="s">
        <v>660</v>
      </c>
    </row>
    <row r="31" spans="1:18">
      <c r="A31" s="6" t="s">
        <v>33</v>
      </c>
      <c r="B31" s="37">
        <f>IF( ISERROR(IND_ander_ele_kWh/1000),0,IND_ander_ele_kWh/1000)</f>
        <v>766.6727595000001</v>
      </c>
      <c r="C31" s="39">
        <f>IF(ISERROR(B31*3.6/1000000/'E Balans VL '!Z19*100),0,B31*3.6/1000000/'E Balans VL '!Z19*100)</f>
        <v>3.2270997304460876E-2</v>
      </c>
      <c r="D31" s="237" t="s">
        <v>660</v>
      </c>
    </row>
    <row r="32" spans="1:18">
      <c r="A32" s="171" t="s">
        <v>41</v>
      </c>
      <c r="B32" s="37">
        <f>IF( ISERROR(IND_voed_ele_kWh/1000),0,IND_voed_ele_kWh/1000)</f>
        <v>356.32443972999999</v>
      </c>
      <c r="C32" s="39">
        <f>IF(ISERROR(B32*3.6/1000000/'E Balans VL '!Z20*100),0,B32*3.6/1000000/'E Balans VL '!Z20*100)</f>
        <v>5.9528029190656577E-2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714.23963444000003</v>
      </c>
      <c r="C35" s="39">
        <f>IF(ISERROR(B35*3.6/1000000/'E Balans VL '!Z22*100),0,B35*3.6/1000000/'E Balans VL '!Z22*100)</f>
        <v>9.0533725548242142E-2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9813.8784598999991</v>
      </c>
      <c r="C37" s="39">
        <f>IF(ISERROR(B37*3.6/1000000/'E Balans VL '!Z15*100),0,B37*3.6/1000000/'E Balans VL '!Z15*100)</f>
        <v>7.9231240914685558E-2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10810.045383389999</v>
      </c>
      <c r="C5" s="17">
        <f>'Eigen informatie GS &amp; warmtenet'!B60</f>
        <v>0</v>
      </c>
      <c r="D5" s="30">
        <f>IF(ISERROR(SUM(LB_lb_gas_kWh,LB_rest_gas_kWh)/1000),0,SUM(LB_lb_gas_kWh,LB_rest_gas_kWh)/1000)*0.902</f>
        <v>270239.36740398401</v>
      </c>
      <c r="E5" s="17">
        <f>B17*'E Balans VL '!I25/3.6*1000000/100</f>
        <v>278.74956466203599</v>
      </c>
      <c r="F5" s="17">
        <f>B17*('E Balans VL '!L25/3.6*1000000+'E Balans VL '!N25/3.6*1000000)/100</f>
        <v>39512.774549429261</v>
      </c>
      <c r="G5" s="18"/>
      <c r="H5" s="17"/>
      <c r="I5" s="17"/>
      <c r="J5" s="17">
        <f>('E Balans VL '!D25+'E Balans VL '!E25)/3.6*1000000*landbouw!B17/100</f>
        <v>1556.2488697756855</v>
      </c>
      <c r="K5" s="17"/>
      <c r="L5" s="17">
        <f>L6*(-1)</f>
        <v>0</v>
      </c>
      <c r="M5" s="17"/>
      <c r="N5" s="17">
        <f>N6*(-1)</f>
        <v>0</v>
      </c>
      <c r="O5" s="17"/>
      <c r="P5" s="17"/>
      <c r="R5" s="32"/>
    </row>
    <row r="6" spans="1:18">
      <c r="A6" s="16" t="s">
        <v>491</v>
      </c>
      <c r="B6" s="17" t="s">
        <v>211</v>
      </c>
      <c r="C6" s="17">
        <f>'lokale energieproductie'!O92+'lokale energieproductie'!O61</f>
        <v>113754.05357142857</v>
      </c>
      <c r="D6" s="310">
        <f>('lokale energieproductie'!P61+'lokale energieproductie'!P92)*(-1)</f>
        <v>-229265.35714285716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10810.045383389999</v>
      </c>
      <c r="C8" s="21">
        <f>C5+C6</f>
        <v>113754.05357142857</v>
      </c>
      <c r="D8" s="21">
        <f>MAX((D5+D6),0)</f>
        <v>40974.010261126852</v>
      </c>
      <c r="E8" s="21">
        <f>MAX((E5+E6),0)</f>
        <v>278.74956466203599</v>
      </c>
      <c r="F8" s="21">
        <f>MAX((F5+F6),0)</f>
        <v>39512.774549429261</v>
      </c>
      <c r="G8" s="21"/>
      <c r="H8" s="21"/>
      <c r="I8" s="21"/>
      <c r="J8" s="21">
        <f>MAX((J5+J6),0)</f>
        <v>1556.2488697756855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0.21773757043520103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2353.7530180735998</v>
      </c>
      <c r="C12" s="23">
        <f ca="1">C8*C10</f>
        <v>27033.316260504205</v>
      </c>
      <c r="D12" s="23">
        <f>D8*D10</f>
        <v>8276.7500727476254</v>
      </c>
      <c r="E12" s="23">
        <f>E8*E10</f>
        <v>63.27615117828217</v>
      </c>
      <c r="F12" s="23">
        <f>F8*F10</f>
        <v>10549.910804697613</v>
      </c>
      <c r="G12" s="23"/>
      <c r="H12" s="23"/>
      <c r="I12" s="23"/>
      <c r="J12" s="23">
        <f>J8*J10</f>
        <v>550.91209990059269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1.524288003193039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47.869362827261469</v>
      </c>
      <c r="C26" s="247">
        <f>B26*'GWP N2O_CH4'!B5</f>
        <v>1005.2566193724908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6.2799559898621222</v>
      </c>
      <c r="C27" s="247">
        <f>B27*'GWP N2O_CH4'!B5</f>
        <v>131.87907578710457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0.58099106624400276</v>
      </c>
      <c r="C28" s="247">
        <f>B28*'GWP N2O_CH4'!B4</f>
        <v>180.10723053564087</v>
      </c>
      <c r="D28" s="50"/>
    </row>
    <row r="29" spans="1:4">
      <c r="A29" s="41" t="s">
        <v>277</v>
      </c>
      <c r="B29" s="247">
        <f>B34*'ha_N2O bodem landbouw'!B4</f>
        <v>4.6837293248483318</v>
      </c>
      <c r="C29" s="247">
        <f>B29*'GWP N2O_CH4'!B4</f>
        <v>1451.9560907029829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1.0540936193462562E-3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4.9238566189997005E-5</v>
      </c>
      <c r="C5" s="463" t="s">
        <v>211</v>
      </c>
      <c r="D5" s="448">
        <f>SUM(D6:D11)</f>
        <v>1.052986527149884E-4</v>
      </c>
      <c r="E5" s="448">
        <f>SUM(E6:E11)</f>
        <v>4.0931651296024525E-4</v>
      </c>
      <c r="F5" s="461" t="s">
        <v>211</v>
      </c>
      <c r="G5" s="448">
        <f>SUM(G6:G11)</f>
        <v>0.14279534726390242</v>
      </c>
      <c r="H5" s="448">
        <f>SUM(H6:H11)</f>
        <v>2.8381648015725972E-2</v>
      </c>
      <c r="I5" s="463" t="s">
        <v>211</v>
      </c>
      <c r="J5" s="463" t="s">
        <v>211</v>
      </c>
      <c r="K5" s="463" t="s">
        <v>211</v>
      </c>
      <c r="L5" s="463" t="s">
        <v>211</v>
      </c>
      <c r="M5" s="448">
        <f>SUM(M6:M11)</f>
        <v>5.3491365225871463E-3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4.4366283477223752E-5</v>
      </c>
      <c r="C6" s="449"/>
      <c r="D6" s="892">
        <f>vkm_2011_GW_PW*SUMIFS(TableVerdeelsleutelVkm[CNG],TableVerdeelsleutelVkm[Voertuigtype],"Lichte voertuigen")*SUMIFS(TableECFTransport[EnergieConsumptieFactor (PJ per km)],TableECFTransport[Index],CONCATENATE($A6,"_CNG_CNG"))</f>
        <v>8.8156582412777051E-5</v>
      </c>
      <c r="E6" s="892">
        <f>vkm_2011_GW_PW*SUMIFS(TableVerdeelsleutelVkm[LPG],TableVerdeelsleutelVkm[Voertuigtype],"Lichte voertuigen")*SUMIFS(TableECFTransport[EnergieConsumptieFactor (PJ per km)],TableECFTransport[Index],CONCATENATE($A6,"_LPG_LPG"))</f>
        <v>3.4692775356006317E-4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8.2487516011228459E-2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2.3866638991287579E-2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3.3140936787410522E-3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4.4023626521209565E-2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1.4221511769864718E-5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1.3871171121860413E-3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4.8722827127732503E-6</v>
      </c>
      <c r="C8" s="449"/>
      <c r="D8" s="451">
        <f>vkm_2011_NGW_PW*SUMIFS(TableVerdeelsleutelVkm[CNG],TableVerdeelsleutelVkm[Voertuigtype],"Lichte voertuigen")*SUMIFS(TableECFTransport[EnergieConsumptieFactor (PJ per km)],TableECFTransport[Index],CONCATENATE($A8,"_CNG_CNG"))</f>
        <v>1.7142070302211358E-5</v>
      </c>
      <c r="E8" s="451">
        <f>vkm_2011_NGW_PW*SUMIFS(TableVerdeelsleutelVkm[LPG],TableVerdeelsleutelVkm[Voertuigtype],"Lichte voertuigen")*SUMIFS(TableECFTransport[EnergieConsumptieFactor (PJ per km)],TableECFTransport[Index],CONCATENATE($A8,"_LPG_LPG"))</f>
        <v>6.2388759400182074E-5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1.3852058398719502E-2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4.500044471341451E-3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5.7129380116997645E-4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2.4321463327448695E-3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7.4304132707854453E-7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7.6631930490075919E-5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13.677379497221391</v>
      </c>
      <c r="C14" s="21"/>
      <c r="D14" s="21">
        <f t="shared" ref="D14:M14" si="0">((D5)*10^9/3600)+D12</f>
        <v>29.249625754163446</v>
      </c>
      <c r="E14" s="21">
        <f t="shared" si="0"/>
        <v>113.6990313778459</v>
      </c>
      <c r="F14" s="21"/>
      <c r="G14" s="21">
        <f t="shared" si="0"/>
        <v>39665.374239972894</v>
      </c>
      <c r="H14" s="21">
        <f t="shared" si="0"/>
        <v>7883.7911154794365</v>
      </c>
      <c r="I14" s="21"/>
      <c r="J14" s="21"/>
      <c r="K14" s="21"/>
      <c r="L14" s="21"/>
      <c r="M14" s="21">
        <f t="shared" si="0"/>
        <v>1485.8712562742073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0.21773757043520103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2.9780793816452173</v>
      </c>
      <c r="C18" s="23"/>
      <c r="D18" s="23">
        <f t="shared" ref="D18:M18" si="1">D14*D16</f>
        <v>5.9084244023410166</v>
      </c>
      <c r="E18" s="23">
        <f t="shared" si="1"/>
        <v>25.80968012277102</v>
      </c>
      <c r="F18" s="23"/>
      <c r="G18" s="23">
        <f t="shared" si="1"/>
        <v>10590.654922072763</v>
      </c>
      <c r="H18" s="23">
        <f t="shared" si="1"/>
        <v>1963.0639877543797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4.7689110237692815E-3</v>
      </c>
      <c r="H50" s="321">
        <f t="shared" si="2"/>
        <v>0</v>
      </c>
      <c r="I50" s="321">
        <f t="shared" si="2"/>
        <v>0</v>
      </c>
      <c r="J50" s="321">
        <f t="shared" si="2"/>
        <v>0</v>
      </c>
      <c r="K50" s="321">
        <f t="shared" si="2"/>
        <v>0</v>
      </c>
      <c r="L50" s="321">
        <f t="shared" si="2"/>
        <v>0</v>
      </c>
      <c r="M50" s="321">
        <f t="shared" si="2"/>
        <v>1.4792095103500084E-4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4.7689110237692815E-3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1.4792095103500084E-4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1324.6975066025782</v>
      </c>
      <c r="H54" s="21">
        <f t="shared" si="3"/>
        <v>0</v>
      </c>
      <c r="I54" s="21">
        <f t="shared" si="3"/>
        <v>0</v>
      </c>
      <c r="J54" s="21">
        <f t="shared" si="3"/>
        <v>0</v>
      </c>
      <c r="K54" s="21">
        <f t="shared" si="3"/>
        <v>0</v>
      </c>
      <c r="L54" s="21">
        <f t="shared" si="3"/>
        <v>0</v>
      </c>
      <c r="M54" s="21">
        <f t="shared" si="3"/>
        <v>41.089153065278012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0.21773757043520103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353.69423426288841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35473.153531320007</v>
      </c>
      <c r="D10" s="1012">
        <f ca="1">tertiair!C16</f>
        <v>0</v>
      </c>
      <c r="E10" s="1012">
        <f ca="1">tertiair!D16</f>
        <v>36198.348770149503</v>
      </c>
      <c r="F10" s="1012">
        <f>tertiair!E16</f>
        <v>264.56997254670637</v>
      </c>
      <c r="G10" s="1012">
        <f ca="1">tertiair!F16</f>
        <v>7994.0479839293439</v>
      </c>
      <c r="H10" s="1012">
        <f>tertiair!G16</f>
        <v>0</v>
      </c>
      <c r="I10" s="1012">
        <f>tertiair!H16</f>
        <v>0</v>
      </c>
      <c r="J10" s="1012">
        <f>tertiair!I16</f>
        <v>0</v>
      </c>
      <c r="K10" s="1012">
        <f>tertiair!J16</f>
        <v>0</v>
      </c>
      <c r="L10" s="1012">
        <f>tertiair!K16</f>
        <v>0</v>
      </c>
      <c r="M10" s="1012">
        <f ca="1">tertiair!L16</f>
        <v>0</v>
      </c>
      <c r="N10" s="1012">
        <f>tertiair!M16</f>
        <v>0</v>
      </c>
      <c r="O10" s="1012">
        <f ca="1">tertiair!N16</f>
        <v>12753.680700935678</v>
      </c>
      <c r="P10" s="1012">
        <f>tertiair!O16</f>
        <v>3.1266666666666669</v>
      </c>
      <c r="Q10" s="1013">
        <f>tertiair!P16</f>
        <v>0</v>
      </c>
      <c r="R10" s="700">
        <f ca="1">SUM(C10:Q10)</f>
        <v>92686.927625547905</v>
      </c>
      <c r="S10" s="67"/>
    </row>
    <row r="11" spans="1:19" s="473" customFormat="1">
      <c r="A11" s="809" t="s">
        <v>225</v>
      </c>
      <c r="B11" s="814"/>
      <c r="C11" s="1012">
        <f>huishoudens!B8</f>
        <v>28529.943161629701</v>
      </c>
      <c r="D11" s="1012">
        <f>huishoudens!C8</f>
        <v>0</v>
      </c>
      <c r="E11" s="1012">
        <f>huishoudens!D8</f>
        <v>75776.854721128009</v>
      </c>
      <c r="F11" s="1012">
        <f>huishoudens!E8</f>
        <v>1513.8423713963839</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8598.8243766910582</v>
      </c>
      <c r="P11" s="1012">
        <f>huishoudens!O8</f>
        <v>223.55666666666667</v>
      </c>
      <c r="Q11" s="1013">
        <f>huishoudens!P8</f>
        <v>591.06666666666661</v>
      </c>
      <c r="R11" s="700">
        <f>SUM(C11:Q11)</f>
        <v>115234.08796417848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19147.991476529998</v>
      </c>
      <c r="D13" s="1012">
        <f>industrie!C18</f>
        <v>10028.571428571429</v>
      </c>
      <c r="E13" s="1012">
        <f>industrie!D18</f>
        <v>354077.28972192516</v>
      </c>
      <c r="F13" s="1012">
        <f>industrie!E18</f>
        <v>757.54595778965427</v>
      </c>
      <c r="G13" s="1012">
        <f>industrie!F18</f>
        <v>3105.8376498659113</v>
      </c>
      <c r="H13" s="1012">
        <f>industrie!G18</f>
        <v>0</v>
      </c>
      <c r="I13" s="1012">
        <f>industrie!H18</f>
        <v>0</v>
      </c>
      <c r="J13" s="1012">
        <f>industrie!I18</f>
        <v>0</v>
      </c>
      <c r="K13" s="1012">
        <f>industrie!J18</f>
        <v>127.37667276092115</v>
      </c>
      <c r="L13" s="1012">
        <f>industrie!K18</f>
        <v>0</v>
      </c>
      <c r="M13" s="1012">
        <f>industrie!L18</f>
        <v>0</v>
      </c>
      <c r="N13" s="1012">
        <f>industrie!M18</f>
        <v>0</v>
      </c>
      <c r="O13" s="1012">
        <f>industrie!N18</f>
        <v>3673.5809092227591</v>
      </c>
      <c r="P13" s="1012">
        <f>industrie!O18</f>
        <v>0</v>
      </c>
      <c r="Q13" s="1013">
        <f>industrie!P18</f>
        <v>0</v>
      </c>
      <c r="R13" s="700">
        <f>SUM(C13:Q13)</f>
        <v>390918.19381666585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83151.088169479714</v>
      </c>
      <c r="D16" s="732">
        <f t="shared" ref="D16:R16" ca="1" si="0">SUM(D9:D15)</f>
        <v>10028.571428571429</v>
      </c>
      <c r="E16" s="732">
        <f t="shared" ca="1" si="0"/>
        <v>466052.49321320269</v>
      </c>
      <c r="F16" s="732">
        <f t="shared" si="0"/>
        <v>2535.9583017327445</v>
      </c>
      <c r="G16" s="732">
        <f t="shared" ca="1" si="0"/>
        <v>11099.885633795255</v>
      </c>
      <c r="H16" s="732">
        <f t="shared" si="0"/>
        <v>0</v>
      </c>
      <c r="I16" s="732">
        <f t="shared" si="0"/>
        <v>0</v>
      </c>
      <c r="J16" s="732">
        <f t="shared" si="0"/>
        <v>0</v>
      </c>
      <c r="K16" s="732">
        <f t="shared" si="0"/>
        <v>127.37667276092115</v>
      </c>
      <c r="L16" s="732">
        <f t="shared" si="0"/>
        <v>0</v>
      </c>
      <c r="M16" s="732">
        <f t="shared" ca="1" si="0"/>
        <v>0</v>
      </c>
      <c r="N16" s="732">
        <f t="shared" si="0"/>
        <v>0</v>
      </c>
      <c r="O16" s="732">
        <f t="shared" ca="1" si="0"/>
        <v>25026.085986849495</v>
      </c>
      <c r="P16" s="732">
        <f t="shared" si="0"/>
        <v>226.68333333333334</v>
      </c>
      <c r="Q16" s="732">
        <f t="shared" si="0"/>
        <v>591.06666666666661</v>
      </c>
      <c r="R16" s="732">
        <f t="shared" ca="1" si="0"/>
        <v>598839.20940639218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1324.6975066025782</v>
      </c>
      <c r="I19" s="1012">
        <f>transport!H54</f>
        <v>0</v>
      </c>
      <c r="J19" s="1012">
        <f>transport!I54</f>
        <v>0</v>
      </c>
      <c r="K19" s="1012">
        <f>transport!J54</f>
        <v>0</v>
      </c>
      <c r="L19" s="1012">
        <f>transport!K54</f>
        <v>0</v>
      </c>
      <c r="M19" s="1012">
        <f>transport!L54</f>
        <v>0</v>
      </c>
      <c r="N19" s="1012">
        <f>transport!M54</f>
        <v>41.089153065278012</v>
      </c>
      <c r="O19" s="1012">
        <f>transport!N54</f>
        <v>0</v>
      </c>
      <c r="P19" s="1012">
        <f>transport!O54</f>
        <v>0</v>
      </c>
      <c r="Q19" s="1013">
        <f>transport!P54</f>
        <v>0</v>
      </c>
      <c r="R19" s="700">
        <f>SUM(C19:Q19)</f>
        <v>1365.7866596678562</v>
      </c>
      <c r="S19" s="67"/>
    </row>
    <row r="20" spans="1:19" s="473" customFormat="1">
      <c r="A20" s="809" t="s">
        <v>307</v>
      </c>
      <c r="B20" s="814"/>
      <c r="C20" s="1012">
        <f>transport!B14</f>
        <v>13.677379497221391</v>
      </c>
      <c r="D20" s="1012">
        <f>transport!C14</f>
        <v>0</v>
      </c>
      <c r="E20" s="1012">
        <f>transport!D14</f>
        <v>29.249625754163446</v>
      </c>
      <c r="F20" s="1012">
        <f>transport!E14</f>
        <v>113.6990313778459</v>
      </c>
      <c r="G20" s="1012">
        <f>transport!F14</f>
        <v>0</v>
      </c>
      <c r="H20" s="1012">
        <f>transport!G14</f>
        <v>39665.374239972894</v>
      </c>
      <c r="I20" s="1012">
        <f>transport!H14</f>
        <v>7883.7911154794365</v>
      </c>
      <c r="J20" s="1012">
        <f>transport!I14</f>
        <v>0</v>
      </c>
      <c r="K20" s="1012">
        <f>transport!J14</f>
        <v>0</v>
      </c>
      <c r="L20" s="1012">
        <f>transport!K14</f>
        <v>0</v>
      </c>
      <c r="M20" s="1012">
        <f>transport!L14</f>
        <v>0</v>
      </c>
      <c r="N20" s="1012">
        <f>transport!M14</f>
        <v>1485.8712562742073</v>
      </c>
      <c r="O20" s="1012">
        <f>transport!N14</f>
        <v>0</v>
      </c>
      <c r="P20" s="1012">
        <f>transport!O14</f>
        <v>0</v>
      </c>
      <c r="Q20" s="1013">
        <f>transport!P14</f>
        <v>0</v>
      </c>
      <c r="R20" s="700">
        <f>SUM(C20:Q20)</f>
        <v>49191.66264835577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13.677379497221391</v>
      </c>
      <c r="D22" s="812">
        <f t="shared" ref="D22:R22" si="1">SUM(D18:D21)</f>
        <v>0</v>
      </c>
      <c r="E22" s="812">
        <f t="shared" si="1"/>
        <v>29.249625754163446</v>
      </c>
      <c r="F22" s="812">
        <f t="shared" si="1"/>
        <v>113.6990313778459</v>
      </c>
      <c r="G22" s="812">
        <f t="shared" si="1"/>
        <v>0</v>
      </c>
      <c r="H22" s="812">
        <f t="shared" si="1"/>
        <v>40990.071746575471</v>
      </c>
      <c r="I22" s="812">
        <f t="shared" si="1"/>
        <v>7883.7911154794365</v>
      </c>
      <c r="J22" s="812">
        <f t="shared" si="1"/>
        <v>0</v>
      </c>
      <c r="K22" s="812">
        <f t="shared" si="1"/>
        <v>0</v>
      </c>
      <c r="L22" s="812">
        <f t="shared" si="1"/>
        <v>0</v>
      </c>
      <c r="M22" s="812">
        <f t="shared" si="1"/>
        <v>0</v>
      </c>
      <c r="N22" s="812">
        <f t="shared" si="1"/>
        <v>1526.9604093394853</v>
      </c>
      <c r="O22" s="812">
        <f t="shared" si="1"/>
        <v>0</v>
      </c>
      <c r="P22" s="812">
        <f t="shared" si="1"/>
        <v>0</v>
      </c>
      <c r="Q22" s="812">
        <f t="shared" si="1"/>
        <v>0</v>
      </c>
      <c r="R22" s="812">
        <f t="shared" si="1"/>
        <v>50557.449308023628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10810.045383389999</v>
      </c>
      <c r="D24" s="1012">
        <f>+landbouw!C8</f>
        <v>113754.05357142857</v>
      </c>
      <c r="E24" s="1012">
        <f>+landbouw!D8</f>
        <v>40974.010261126852</v>
      </c>
      <c r="F24" s="1012">
        <f>+landbouw!E8</f>
        <v>278.74956466203599</v>
      </c>
      <c r="G24" s="1012">
        <f>+landbouw!F8</f>
        <v>39512.774549429261</v>
      </c>
      <c r="H24" s="1012">
        <f>+landbouw!G8</f>
        <v>0</v>
      </c>
      <c r="I24" s="1012">
        <f>+landbouw!H8</f>
        <v>0</v>
      </c>
      <c r="J24" s="1012">
        <f>+landbouw!I8</f>
        <v>0</v>
      </c>
      <c r="K24" s="1012">
        <f>+landbouw!J8</f>
        <v>1556.2488697756855</v>
      </c>
      <c r="L24" s="1012">
        <f>+landbouw!K8</f>
        <v>0</v>
      </c>
      <c r="M24" s="1012">
        <f>+landbouw!L8</f>
        <v>0</v>
      </c>
      <c r="N24" s="1012">
        <f>+landbouw!M8</f>
        <v>0</v>
      </c>
      <c r="O24" s="1012">
        <f>+landbouw!N8</f>
        <v>0</v>
      </c>
      <c r="P24" s="1012">
        <f>+landbouw!O8</f>
        <v>0</v>
      </c>
      <c r="Q24" s="1013">
        <f>+landbouw!P8</f>
        <v>0</v>
      </c>
      <c r="R24" s="700">
        <f>SUM(C24:Q24)</f>
        <v>206885.88219981239</v>
      </c>
      <c r="S24" s="67"/>
    </row>
    <row r="25" spans="1:19" s="473" customFormat="1" ht="15" thickBot="1">
      <c r="A25" s="831" t="s">
        <v>848</v>
      </c>
      <c r="B25" s="1015"/>
      <c r="C25" s="1016">
        <f>IF(Onbekend_ele_kWh="---",0,Onbekend_ele_kWh)/1000+IF(REST_rest_ele_kWh="---",0,REST_rest_ele_kWh)/1000</f>
        <v>692.47591194999995</v>
      </c>
      <c r="D25" s="1016"/>
      <c r="E25" s="1016">
        <f>IF(onbekend_gas_kWh="---",0,onbekend_gas_kWh)/1000+IF(REST_rest_gas_kWh="---",0,REST_rest_gas_kWh)/1000</f>
        <v>2257.0439970999996</v>
      </c>
      <c r="F25" s="1016"/>
      <c r="G25" s="1016"/>
      <c r="H25" s="1016"/>
      <c r="I25" s="1016"/>
      <c r="J25" s="1016"/>
      <c r="K25" s="1016"/>
      <c r="L25" s="1016"/>
      <c r="M25" s="1016"/>
      <c r="N25" s="1016"/>
      <c r="O25" s="1016"/>
      <c r="P25" s="1016"/>
      <c r="Q25" s="1017"/>
      <c r="R25" s="700">
        <f>SUM(C25:Q25)</f>
        <v>2949.5199090499996</v>
      </c>
      <c r="S25" s="67"/>
    </row>
    <row r="26" spans="1:19" s="473" customFormat="1" ht="15.75" thickBot="1">
      <c r="A26" s="705" t="s">
        <v>849</v>
      </c>
      <c r="B26" s="817"/>
      <c r="C26" s="812">
        <f>SUM(C24:C25)</f>
        <v>11502.521295339999</v>
      </c>
      <c r="D26" s="812">
        <f t="shared" ref="D26:R26" si="2">SUM(D24:D25)</f>
        <v>113754.05357142857</v>
      </c>
      <c r="E26" s="812">
        <f t="shared" si="2"/>
        <v>43231.054258226854</v>
      </c>
      <c r="F26" s="812">
        <f t="shared" si="2"/>
        <v>278.74956466203599</v>
      </c>
      <c r="G26" s="812">
        <f t="shared" si="2"/>
        <v>39512.774549429261</v>
      </c>
      <c r="H26" s="812">
        <f t="shared" si="2"/>
        <v>0</v>
      </c>
      <c r="I26" s="812">
        <f t="shared" si="2"/>
        <v>0</v>
      </c>
      <c r="J26" s="812">
        <f t="shared" si="2"/>
        <v>0</v>
      </c>
      <c r="K26" s="812">
        <f t="shared" si="2"/>
        <v>1556.2488697756855</v>
      </c>
      <c r="L26" s="812">
        <f t="shared" si="2"/>
        <v>0</v>
      </c>
      <c r="M26" s="812">
        <f t="shared" si="2"/>
        <v>0</v>
      </c>
      <c r="N26" s="812">
        <f t="shared" si="2"/>
        <v>0</v>
      </c>
      <c r="O26" s="812">
        <f t="shared" si="2"/>
        <v>0</v>
      </c>
      <c r="P26" s="812">
        <f t="shared" si="2"/>
        <v>0</v>
      </c>
      <c r="Q26" s="812">
        <f t="shared" si="2"/>
        <v>0</v>
      </c>
      <c r="R26" s="812">
        <f t="shared" si="2"/>
        <v>209835.40210886238</v>
      </c>
      <c r="S26" s="67"/>
    </row>
    <row r="27" spans="1:19" s="473" customFormat="1" ht="17.25" thickTop="1" thickBot="1">
      <c r="A27" s="706" t="s">
        <v>116</v>
      </c>
      <c r="B27" s="805"/>
      <c r="C27" s="707">
        <f ca="1">C22+C16+C26</f>
        <v>94667.286844316943</v>
      </c>
      <c r="D27" s="707">
        <f t="shared" ref="D27:R27" ca="1" si="3">D22+D16+D26</f>
        <v>123782.625</v>
      </c>
      <c r="E27" s="707">
        <f t="shared" ca="1" si="3"/>
        <v>509312.79709718365</v>
      </c>
      <c r="F27" s="707">
        <f t="shared" si="3"/>
        <v>2928.4068977726265</v>
      </c>
      <c r="G27" s="707">
        <f t="shared" ca="1" si="3"/>
        <v>50612.660183224514</v>
      </c>
      <c r="H27" s="707">
        <f t="shared" si="3"/>
        <v>40990.071746575471</v>
      </c>
      <c r="I27" s="707">
        <f t="shared" si="3"/>
        <v>7883.7911154794365</v>
      </c>
      <c r="J27" s="707">
        <f t="shared" si="3"/>
        <v>0</v>
      </c>
      <c r="K27" s="707">
        <f t="shared" si="3"/>
        <v>1683.6255425366066</v>
      </c>
      <c r="L27" s="707">
        <f t="shared" si="3"/>
        <v>0</v>
      </c>
      <c r="M27" s="707">
        <f t="shared" ca="1" si="3"/>
        <v>0</v>
      </c>
      <c r="N27" s="707">
        <f t="shared" si="3"/>
        <v>1526.9604093394853</v>
      </c>
      <c r="O27" s="707">
        <f t="shared" ca="1" si="3"/>
        <v>25026.085986849495</v>
      </c>
      <c r="P27" s="707">
        <f t="shared" si="3"/>
        <v>226.68333333333334</v>
      </c>
      <c r="Q27" s="707">
        <f t="shared" si="3"/>
        <v>591.06666666666661</v>
      </c>
      <c r="R27" s="707">
        <f t="shared" ca="1" si="3"/>
        <v>859232.06082327827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7723.8382655844898</v>
      </c>
      <c r="D40" s="1012">
        <f ca="1">tertiair!C20</f>
        <v>0</v>
      </c>
      <c r="E40" s="1012">
        <f ca="1">tertiair!D20</f>
        <v>7312.0664515702001</v>
      </c>
      <c r="F40" s="1012">
        <f>tertiair!E20</f>
        <v>60.057383768102348</v>
      </c>
      <c r="G40" s="1012">
        <f ca="1">tertiair!F20</f>
        <v>2134.410811709135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17230.372912631927</v>
      </c>
    </row>
    <row r="41" spans="1:18">
      <c r="A41" s="822" t="s">
        <v>225</v>
      </c>
      <c r="B41" s="829"/>
      <c r="C41" s="1012">
        <f ca="1">huishoudens!B12</f>
        <v>6212.0405086676292</v>
      </c>
      <c r="D41" s="1012">
        <f ca="1">huishoudens!C12</f>
        <v>0</v>
      </c>
      <c r="E41" s="1012">
        <f>huishoudens!D12</f>
        <v>15306.924653667858</v>
      </c>
      <c r="F41" s="1012">
        <f>huishoudens!E12</f>
        <v>343.64221830697915</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21862.607380642468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4169.2371428135793</v>
      </c>
      <c r="D43" s="1012">
        <f ca="1">industrie!C22</f>
        <v>2383.2605042016812</v>
      </c>
      <c r="E43" s="1012">
        <f>industrie!D22</f>
        <v>71523.612523828881</v>
      </c>
      <c r="F43" s="1012">
        <f>industrie!E22</f>
        <v>171.96293241825151</v>
      </c>
      <c r="G43" s="1012">
        <f>industrie!F22</f>
        <v>829.25865251419839</v>
      </c>
      <c r="H43" s="1012">
        <f>industrie!G22</f>
        <v>0</v>
      </c>
      <c r="I43" s="1012">
        <f>industrie!H22</f>
        <v>0</v>
      </c>
      <c r="J43" s="1012">
        <f>industrie!I22</f>
        <v>0</v>
      </c>
      <c r="K43" s="1012">
        <f>industrie!J22</f>
        <v>45.091342157366086</v>
      </c>
      <c r="L43" s="1012">
        <f>industrie!K22</f>
        <v>0</v>
      </c>
      <c r="M43" s="1012">
        <f>industrie!L22</f>
        <v>0</v>
      </c>
      <c r="N43" s="1012">
        <f>industrie!M22</f>
        <v>0</v>
      </c>
      <c r="O43" s="1012">
        <f>industrie!N22</f>
        <v>0</v>
      </c>
      <c r="P43" s="1012">
        <f>industrie!O22</f>
        <v>0</v>
      </c>
      <c r="Q43" s="774">
        <f>industrie!P22</f>
        <v>0</v>
      </c>
      <c r="R43" s="849">
        <f t="shared" ca="1" si="4"/>
        <v>79122.423097933948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18105.115917065697</v>
      </c>
      <c r="D46" s="732">
        <f t="shared" ref="D46:Q46" ca="1" si="5">SUM(D39:D45)</f>
        <v>2383.2605042016812</v>
      </c>
      <c r="E46" s="732">
        <f t="shared" ca="1" si="5"/>
        <v>94142.603629066944</v>
      </c>
      <c r="F46" s="732">
        <f t="shared" si="5"/>
        <v>575.66253449333294</v>
      </c>
      <c r="G46" s="732">
        <f t="shared" ca="1" si="5"/>
        <v>2963.6694642233333</v>
      </c>
      <c r="H46" s="732">
        <f t="shared" si="5"/>
        <v>0</v>
      </c>
      <c r="I46" s="732">
        <f t="shared" si="5"/>
        <v>0</v>
      </c>
      <c r="J46" s="732">
        <f t="shared" si="5"/>
        <v>0</v>
      </c>
      <c r="K46" s="732">
        <f t="shared" si="5"/>
        <v>45.091342157366086</v>
      </c>
      <c r="L46" s="732">
        <f t="shared" si="5"/>
        <v>0</v>
      </c>
      <c r="M46" s="732">
        <f t="shared" ca="1" si="5"/>
        <v>0</v>
      </c>
      <c r="N46" s="732">
        <f t="shared" si="5"/>
        <v>0</v>
      </c>
      <c r="O46" s="732">
        <f t="shared" ca="1" si="5"/>
        <v>0</v>
      </c>
      <c r="P46" s="732">
        <f t="shared" si="5"/>
        <v>0</v>
      </c>
      <c r="Q46" s="732">
        <f t="shared" si="5"/>
        <v>0</v>
      </c>
      <c r="R46" s="732">
        <f ca="1">SUM(R39:R45)</f>
        <v>118215.40339120834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353.69423426288841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353.69423426288841</v>
      </c>
    </row>
    <row r="50" spans="1:18">
      <c r="A50" s="825" t="s">
        <v>307</v>
      </c>
      <c r="B50" s="835"/>
      <c r="C50" s="703">
        <f ca="1">transport!B18</f>
        <v>2.9780793816452173</v>
      </c>
      <c r="D50" s="703">
        <f>transport!C18</f>
        <v>0</v>
      </c>
      <c r="E50" s="703">
        <f>transport!D18</f>
        <v>5.9084244023410166</v>
      </c>
      <c r="F50" s="703">
        <f>transport!E18</f>
        <v>25.80968012277102</v>
      </c>
      <c r="G50" s="703">
        <f>transport!F18</f>
        <v>0</v>
      </c>
      <c r="H50" s="703">
        <f>transport!G18</f>
        <v>10590.654922072763</v>
      </c>
      <c r="I50" s="703">
        <f>transport!H18</f>
        <v>1963.0639877543797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12588.4150937339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2.9780793816452173</v>
      </c>
      <c r="D52" s="732">
        <f t="shared" ref="D52:Q52" ca="1" si="6">SUM(D48:D51)</f>
        <v>0</v>
      </c>
      <c r="E52" s="732">
        <f t="shared" si="6"/>
        <v>5.9084244023410166</v>
      </c>
      <c r="F52" s="732">
        <f t="shared" si="6"/>
        <v>25.80968012277102</v>
      </c>
      <c r="G52" s="732">
        <f t="shared" si="6"/>
        <v>0</v>
      </c>
      <c r="H52" s="732">
        <f t="shared" si="6"/>
        <v>10944.349156335651</v>
      </c>
      <c r="I52" s="732">
        <f t="shared" si="6"/>
        <v>1963.0639877543797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12942.109327996788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2353.7530180735998</v>
      </c>
      <c r="D54" s="703">
        <f ca="1">+landbouw!C12</f>
        <v>27033.316260504205</v>
      </c>
      <c r="E54" s="703">
        <f>+landbouw!D12</f>
        <v>8276.7500727476254</v>
      </c>
      <c r="F54" s="703">
        <f>+landbouw!E12</f>
        <v>63.27615117828217</v>
      </c>
      <c r="G54" s="703">
        <f>+landbouw!F12</f>
        <v>10549.910804697613</v>
      </c>
      <c r="H54" s="703">
        <f>+landbouw!G12</f>
        <v>0</v>
      </c>
      <c r="I54" s="703">
        <f>+landbouw!H12</f>
        <v>0</v>
      </c>
      <c r="J54" s="703">
        <f>+landbouw!I12</f>
        <v>0</v>
      </c>
      <c r="K54" s="703">
        <f>+landbouw!J12</f>
        <v>550.91209990059269</v>
      </c>
      <c r="L54" s="703">
        <f>+landbouw!K12</f>
        <v>0</v>
      </c>
      <c r="M54" s="703">
        <f>+landbouw!L12</f>
        <v>0</v>
      </c>
      <c r="N54" s="703">
        <f>+landbouw!M12</f>
        <v>0</v>
      </c>
      <c r="O54" s="703">
        <f>+landbouw!N12</f>
        <v>0</v>
      </c>
      <c r="P54" s="703">
        <f>+landbouw!O12</f>
        <v>0</v>
      </c>
      <c r="Q54" s="704">
        <f>+landbouw!P12</f>
        <v>0</v>
      </c>
      <c r="R54" s="731">
        <f ca="1">SUM(C54:Q54)</f>
        <v>48827.918407101912</v>
      </c>
    </row>
    <row r="55" spans="1:18" ht="15" thickBot="1">
      <c r="A55" s="825" t="s">
        <v>848</v>
      </c>
      <c r="B55" s="835"/>
      <c r="C55" s="703">
        <f ca="1">C25*'EF ele_warmte'!B12</f>
        <v>150.77802265289318</v>
      </c>
      <c r="D55" s="703"/>
      <c r="E55" s="703">
        <f>E25*EF_CO2_aardgas</f>
        <v>455.92288741419998</v>
      </c>
      <c r="F55" s="703"/>
      <c r="G55" s="703"/>
      <c r="H55" s="703"/>
      <c r="I55" s="703"/>
      <c r="J55" s="703"/>
      <c r="K55" s="703"/>
      <c r="L55" s="703"/>
      <c r="M55" s="703"/>
      <c r="N55" s="703"/>
      <c r="O55" s="703"/>
      <c r="P55" s="703"/>
      <c r="Q55" s="704"/>
      <c r="R55" s="731">
        <f ca="1">SUM(C55:Q55)</f>
        <v>606.70091006709322</v>
      </c>
    </row>
    <row r="56" spans="1:18" ht="15.75" thickBot="1">
      <c r="A56" s="823" t="s">
        <v>849</v>
      </c>
      <c r="B56" s="836"/>
      <c r="C56" s="732">
        <f ca="1">SUM(C54:C55)</f>
        <v>2504.5310407264928</v>
      </c>
      <c r="D56" s="732">
        <f t="shared" ref="D56:Q56" ca="1" si="7">SUM(D54:D55)</f>
        <v>27033.316260504205</v>
      </c>
      <c r="E56" s="732">
        <f t="shared" si="7"/>
        <v>8732.6729601618244</v>
      </c>
      <c r="F56" s="732">
        <f t="shared" si="7"/>
        <v>63.27615117828217</v>
      </c>
      <c r="G56" s="732">
        <f t="shared" si="7"/>
        <v>10549.910804697613</v>
      </c>
      <c r="H56" s="732">
        <f t="shared" si="7"/>
        <v>0</v>
      </c>
      <c r="I56" s="732">
        <f t="shared" si="7"/>
        <v>0</v>
      </c>
      <c r="J56" s="732">
        <f t="shared" si="7"/>
        <v>0</v>
      </c>
      <c r="K56" s="732">
        <f t="shared" si="7"/>
        <v>550.91209990059269</v>
      </c>
      <c r="L56" s="732">
        <f t="shared" si="7"/>
        <v>0</v>
      </c>
      <c r="M56" s="732">
        <f t="shared" si="7"/>
        <v>0</v>
      </c>
      <c r="N56" s="732">
        <f t="shared" si="7"/>
        <v>0</v>
      </c>
      <c r="O56" s="732">
        <f t="shared" si="7"/>
        <v>0</v>
      </c>
      <c r="P56" s="732">
        <f t="shared" si="7"/>
        <v>0</v>
      </c>
      <c r="Q56" s="733">
        <f t="shared" si="7"/>
        <v>0</v>
      </c>
      <c r="R56" s="734">
        <f ca="1">SUM(R54:R55)</f>
        <v>49434.619317169003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20612.625037173835</v>
      </c>
      <c r="D61" s="740">
        <f t="shared" ref="D61:Q61" ca="1" si="8">D46+D52+D56</f>
        <v>29416.576764705886</v>
      </c>
      <c r="E61" s="740">
        <f t="shared" ca="1" si="8"/>
        <v>102881.18501363111</v>
      </c>
      <c r="F61" s="740">
        <f t="shared" si="8"/>
        <v>664.74836579438613</v>
      </c>
      <c r="G61" s="740">
        <f t="shared" ca="1" si="8"/>
        <v>13513.580268920945</v>
      </c>
      <c r="H61" s="740">
        <f t="shared" si="8"/>
        <v>10944.349156335651</v>
      </c>
      <c r="I61" s="740">
        <f t="shared" si="8"/>
        <v>1963.0639877543797</v>
      </c>
      <c r="J61" s="740">
        <f t="shared" si="8"/>
        <v>0</v>
      </c>
      <c r="K61" s="740">
        <f t="shared" si="8"/>
        <v>596.00344205795875</v>
      </c>
      <c r="L61" s="740">
        <f t="shared" si="8"/>
        <v>0</v>
      </c>
      <c r="M61" s="740">
        <f t="shared" ca="1" si="8"/>
        <v>0</v>
      </c>
      <c r="N61" s="740">
        <f t="shared" si="8"/>
        <v>0</v>
      </c>
      <c r="O61" s="740">
        <f t="shared" ca="1" si="8"/>
        <v>0</v>
      </c>
      <c r="P61" s="740">
        <f t="shared" si="8"/>
        <v>0</v>
      </c>
      <c r="Q61" s="740">
        <f t="shared" si="8"/>
        <v>0</v>
      </c>
      <c r="R61" s="740">
        <f ca="1">R46+R52+R56</f>
        <v>180592.13203637413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0.21773757043520098</v>
      </c>
      <c r="D63" s="781">
        <f t="shared" ca="1" si="9"/>
        <v>0.23764705882352943</v>
      </c>
      <c r="E63" s="1023">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8059.482648182202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88141.5</v>
      </c>
      <c r="D76" s="1033">
        <f>'lokale energieproductie'!C8</f>
        <v>103695.88235294119</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20946.568235294122</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8059.482648182202</v>
      </c>
      <c r="C78" s="755">
        <f>SUM(C72:C77)</f>
        <v>88141.5</v>
      </c>
      <c r="D78" s="756">
        <f t="shared" ref="D78:H78" si="10">SUM(D76:D77)</f>
        <v>103695.88235294119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20946.568235294122</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123782.625</v>
      </c>
      <c r="D87" s="777">
        <f>'lokale energieproductie'!C17</f>
        <v>145626.61764705885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29416.576764705889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123782.625</v>
      </c>
      <c r="D90" s="755">
        <f t="shared" ref="D90:H90" si="12">SUM(D87:D89)</f>
        <v>145626.61764705885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29416.576764705889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8059.482648182202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88141.5</v>
      </c>
      <c r="C8" s="570">
        <f>B101</f>
        <v>103695.88235294119</v>
      </c>
      <c r="D8" s="1043"/>
      <c r="E8" s="1043">
        <f>E101</f>
        <v>0</v>
      </c>
      <c r="F8" s="1044"/>
      <c r="G8" s="571"/>
      <c r="H8" s="1043">
        <f>I101</f>
        <v>0</v>
      </c>
      <c r="I8" s="1043">
        <f>G101+F101</f>
        <v>0</v>
      </c>
      <c r="J8" s="1043">
        <f>H101+D101+C101</f>
        <v>0</v>
      </c>
      <c r="K8" s="1043"/>
      <c r="L8" s="1043"/>
      <c r="M8" s="1043"/>
      <c r="N8" s="572"/>
      <c r="O8" s="573">
        <f>C8*$C$12+D8*$D$12+E8*$E$12+F8*$F$12+G8*$G$12+H8*$H$12+I8*$I$12+J8*$J$12</f>
        <v>20946.568235294122</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96200.982648182195</v>
      </c>
      <c r="C10" s="583">
        <f t="shared" ref="C10:L10" si="0">SUM(C8:C9)</f>
        <v>103695.88235294119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20946.568235294122</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123782.625</v>
      </c>
      <c r="C17" s="595">
        <f>B102</f>
        <v>145626.61764705885</v>
      </c>
      <c r="D17" s="596"/>
      <c r="E17" s="596">
        <f>E102</f>
        <v>0</v>
      </c>
      <c r="F17" s="1049"/>
      <c r="G17" s="597"/>
      <c r="H17" s="595">
        <f>I102</f>
        <v>0</v>
      </c>
      <c r="I17" s="596">
        <f>G102+F102</f>
        <v>0</v>
      </c>
      <c r="J17" s="596">
        <f>H102+D102+C102</f>
        <v>0</v>
      </c>
      <c r="K17" s="596"/>
      <c r="L17" s="596"/>
      <c r="M17" s="596"/>
      <c r="N17" s="1050"/>
      <c r="O17" s="598">
        <f>C17*$C$22+E17*$E$22+H17*$H$22+I17*$I$22+J17*$J$22+D17*$D$22+F17*$F$22+G17*$G$22+K17*$K$22+L17*$L$22</f>
        <v>29416.576764705889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123782.625</v>
      </c>
      <c r="C20" s="582">
        <f>SUM(C17:C19)</f>
        <v>145626.61764705885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29416.576764705889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12009</v>
      </c>
      <c r="C28" s="796">
        <v>2570</v>
      </c>
      <c r="D28" s="653" t="s">
        <v>890</v>
      </c>
      <c r="E28" s="652" t="s">
        <v>891</v>
      </c>
      <c r="F28" s="652" t="s">
        <v>892</v>
      </c>
      <c r="G28" s="652" t="s">
        <v>893</v>
      </c>
      <c r="H28" s="652" t="s">
        <v>894</v>
      </c>
      <c r="I28" s="652" t="s">
        <v>891</v>
      </c>
      <c r="J28" s="795">
        <v>39142</v>
      </c>
      <c r="K28" s="795">
        <v>39150</v>
      </c>
      <c r="L28" s="652" t="s">
        <v>895</v>
      </c>
      <c r="M28" s="652">
        <v>2000</v>
      </c>
      <c r="N28" s="652">
        <v>9000</v>
      </c>
      <c r="O28" s="652">
        <v>12857.142857142857</v>
      </c>
      <c r="P28" s="652">
        <v>25714.285714285717</v>
      </c>
      <c r="Q28" s="652">
        <v>0</v>
      </c>
      <c r="R28" s="652">
        <v>0</v>
      </c>
      <c r="S28" s="652">
        <v>0</v>
      </c>
      <c r="T28" s="652">
        <v>0</v>
      </c>
      <c r="U28" s="652">
        <v>0</v>
      </c>
      <c r="V28" s="652">
        <v>0</v>
      </c>
      <c r="W28" s="652">
        <v>0</v>
      </c>
      <c r="X28" s="652">
        <v>10</v>
      </c>
      <c r="Y28" s="652" t="s">
        <v>112</v>
      </c>
      <c r="Z28" s="654" t="s">
        <v>112</v>
      </c>
    </row>
    <row r="29" spans="1:26" s="606" customFormat="1" ht="25.5">
      <c r="A29" s="605"/>
      <c r="B29" s="796">
        <v>12009</v>
      </c>
      <c r="C29" s="796">
        <v>2570</v>
      </c>
      <c r="D29" s="653" t="s">
        <v>896</v>
      </c>
      <c r="E29" s="652" t="s">
        <v>897</v>
      </c>
      <c r="F29" s="652" t="s">
        <v>898</v>
      </c>
      <c r="G29" s="652" t="s">
        <v>893</v>
      </c>
      <c r="H29" s="652" t="s">
        <v>894</v>
      </c>
      <c r="I29" s="652" t="s">
        <v>897</v>
      </c>
      <c r="J29" s="795">
        <v>39241</v>
      </c>
      <c r="K29" s="795">
        <v>39253</v>
      </c>
      <c r="L29" s="652" t="s">
        <v>895</v>
      </c>
      <c r="M29" s="652">
        <v>1147</v>
      </c>
      <c r="N29" s="652">
        <v>5161.5</v>
      </c>
      <c r="O29" s="652">
        <v>7373.5714285714284</v>
      </c>
      <c r="P29" s="652">
        <v>14747.142857142859</v>
      </c>
      <c r="Q29" s="652">
        <v>0</v>
      </c>
      <c r="R29" s="652">
        <v>0</v>
      </c>
      <c r="S29" s="652">
        <v>0</v>
      </c>
      <c r="T29" s="652">
        <v>0</v>
      </c>
      <c r="U29" s="652">
        <v>0</v>
      </c>
      <c r="V29" s="652">
        <v>0</v>
      </c>
      <c r="W29" s="652">
        <v>0</v>
      </c>
      <c r="X29" s="652">
        <v>10</v>
      </c>
      <c r="Y29" s="652" t="s">
        <v>112</v>
      </c>
      <c r="Z29" s="654" t="s">
        <v>112</v>
      </c>
    </row>
    <row r="30" spans="1:26" s="606" customFormat="1" ht="25.5">
      <c r="A30" s="605"/>
      <c r="B30" s="796">
        <v>12009</v>
      </c>
      <c r="C30" s="796">
        <v>2570</v>
      </c>
      <c r="D30" s="653" t="s">
        <v>899</v>
      </c>
      <c r="E30" s="652" t="s">
        <v>900</v>
      </c>
      <c r="F30" s="652" t="s">
        <v>901</v>
      </c>
      <c r="G30" s="652" t="s">
        <v>893</v>
      </c>
      <c r="H30" s="652" t="s">
        <v>894</v>
      </c>
      <c r="I30" s="652" t="s">
        <v>900</v>
      </c>
      <c r="J30" s="795">
        <v>41995</v>
      </c>
      <c r="K30" s="795">
        <v>39261</v>
      </c>
      <c r="L30" s="652" t="s">
        <v>895</v>
      </c>
      <c r="M30" s="652">
        <v>1969</v>
      </c>
      <c r="N30" s="652">
        <v>8860.5</v>
      </c>
      <c r="O30" s="652">
        <v>12657.857142857143</v>
      </c>
      <c r="P30" s="652">
        <v>25315.714285714286</v>
      </c>
      <c r="Q30" s="652">
        <v>0</v>
      </c>
      <c r="R30" s="652">
        <v>0</v>
      </c>
      <c r="S30" s="652">
        <v>0</v>
      </c>
      <c r="T30" s="652">
        <v>0</v>
      </c>
      <c r="U30" s="652">
        <v>0</v>
      </c>
      <c r="V30" s="652">
        <v>0</v>
      </c>
      <c r="W30" s="652">
        <v>0</v>
      </c>
      <c r="X30" s="652">
        <v>10</v>
      </c>
      <c r="Y30" s="652" t="s">
        <v>112</v>
      </c>
      <c r="Z30" s="654" t="s">
        <v>112</v>
      </c>
    </row>
    <row r="31" spans="1:26" s="606" customFormat="1" ht="25.5">
      <c r="A31" s="605"/>
      <c r="B31" s="796">
        <v>12009</v>
      </c>
      <c r="C31" s="796">
        <v>2570</v>
      </c>
      <c r="D31" s="653" t="s">
        <v>902</v>
      </c>
      <c r="E31" s="652" t="s">
        <v>903</v>
      </c>
      <c r="F31" s="652" t="s">
        <v>904</v>
      </c>
      <c r="G31" s="652" t="s">
        <v>893</v>
      </c>
      <c r="H31" s="652" t="s">
        <v>894</v>
      </c>
      <c r="I31" s="652" t="s">
        <v>905</v>
      </c>
      <c r="J31" s="795">
        <v>41260</v>
      </c>
      <c r="K31" s="795">
        <v>39492</v>
      </c>
      <c r="L31" s="652" t="s">
        <v>895</v>
      </c>
      <c r="M31" s="652">
        <v>3538</v>
      </c>
      <c r="N31" s="652">
        <v>15921</v>
      </c>
      <c r="O31" s="652">
        <v>22744.285714285714</v>
      </c>
      <c r="P31" s="652">
        <v>45488.571428571435</v>
      </c>
      <c r="Q31" s="652">
        <v>0</v>
      </c>
      <c r="R31" s="652">
        <v>0</v>
      </c>
      <c r="S31" s="652">
        <v>0</v>
      </c>
      <c r="T31" s="652">
        <v>0</v>
      </c>
      <c r="U31" s="652">
        <v>0</v>
      </c>
      <c r="V31" s="652">
        <v>0</v>
      </c>
      <c r="W31" s="652">
        <v>0</v>
      </c>
      <c r="X31" s="652">
        <v>10</v>
      </c>
      <c r="Y31" s="652" t="s">
        <v>112</v>
      </c>
      <c r="Z31" s="654" t="s">
        <v>112</v>
      </c>
    </row>
    <row r="32" spans="1:26" s="606" customFormat="1" ht="25.5">
      <c r="A32" s="605"/>
      <c r="B32" s="796">
        <v>12009</v>
      </c>
      <c r="C32" s="796">
        <v>2570</v>
      </c>
      <c r="D32" s="653" t="s">
        <v>906</v>
      </c>
      <c r="E32" s="652" t="s">
        <v>907</v>
      </c>
      <c r="F32" s="652" t="s">
        <v>908</v>
      </c>
      <c r="G32" s="652" t="s">
        <v>893</v>
      </c>
      <c r="H32" s="652" t="s">
        <v>894</v>
      </c>
      <c r="I32" s="652" t="s">
        <v>907</v>
      </c>
      <c r="J32" s="795">
        <v>39573</v>
      </c>
      <c r="K32" s="795">
        <v>39573</v>
      </c>
      <c r="L32" s="652" t="s">
        <v>895</v>
      </c>
      <c r="M32" s="652">
        <v>2789</v>
      </c>
      <c r="N32" s="652">
        <v>12550.5</v>
      </c>
      <c r="O32" s="652">
        <v>17929.285714285714</v>
      </c>
      <c r="P32" s="652">
        <v>35858.571428571428</v>
      </c>
      <c r="Q32" s="652">
        <v>0</v>
      </c>
      <c r="R32" s="652">
        <v>0</v>
      </c>
      <c r="S32" s="652">
        <v>0</v>
      </c>
      <c r="T32" s="652">
        <v>0</v>
      </c>
      <c r="U32" s="652">
        <v>0</v>
      </c>
      <c r="V32" s="652">
        <v>0</v>
      </c>
      <c r="W32" s="652">
        <v>0</v>
      </c>
      <c r="X32" s="652">
        <v>10</v>
      </c>
      <c r="Y32" s="652" t="s">
        <v>112</v>
      </c>
      <c r="Z32" s="654" t="s">
        <v>112</v>
      </c>
    </row>
    <row r="33" spans="1:26" s="606" customFormat="1" ht="25.5">
      <c r="A33" s="605"/>
      <c r="B33" s="796">
        <v>12009</v>
      </c>
      <c r="C33" s="796">
        <v>2570</v>
      </c>
      <c r="D33" s="653" t="s">
        <v>909</v>
      </c>
      <c r="E33" s="652" t="s">
        <v>910</v>
      </c>
      <c r="F33" s="652" t="s">
        <v>911</v>
      </c>
      <c r="G33" s="652" t="s">
        <v>893</v>
      </c>
      <c r="H33" s="652" t="s">
        <v>894</v>
      </c>
      <c r="I33" s="652" t="s">
        <v>910</v>
      </c>
      <c r="J33" s="795">
        <v>39594</v>
      </c>
      <c r="K33" s="795">
        <v>39594</v>
      </c>
      <c r="L33" s="652" t="s">
        <v>895</v>
      </c>
      <c r="M33" s="652">
        <v>2000</v>
      </c>
      <c r="N33" s="652">
        <v>9000</v>
      </c>
      <c r="O33" s="652">
        <v>12857.142857142857</v>
      </c>
      <c r="P33" s="652">
        <v>25714.285714285717</v>
      </c>
      <c r="Q33" s="652">
        <v>0</v>
      </c>
      <c r="R33" s="652">
        <v>0</v>
      </c>
      <c r="S33" s="652">
        <v>0</v>
      </c>
      <c r="T33" s="652">
        <v>0</v>
      </c>
      <c r="U33" s="652">
        <v>0</v>
      </c>
      <c r="V33" s="652">
        <v>0</v>
      </c>
      <c r="W33" s="652">
        <v>0</v>
      </c>
      <c r="X33" s="652">
        <v>10</v>
      </c>
      <c r="Y33" s="652" t="s">
        <v>112</v>
      </c>
      <c r="Z33" s="654" t="s">
        <v>112</v>
      </c>
    </row>
    <row r="34" spans="1:26" s="606" customFormat="1" ht="25.5">
      <c r="A34" s="605"/>
      <c r="B34" s="796">
        <v>12009</v>
      </c>
      <c r="C34" s="796">
        <v>2570</v>
      </c>
      <c r="D34" s="653" t="s">
        <v>912</v>
      </c>
      <c r="E34" s="652" t="s">
        <v>913</v>
      </c>
      <c r="F34" s="652" t="s">
        <v>914</v>
      </c>
      <c r="G34" s="652" t="s">
        <v>893</v>
      </c>
      <c r="H34" s="652" t="s">
        <v>894</v>
      </c>
      <c r="I34" s="652" t="s">
        <v>915</v>
      </c>
      <c r="J34" s="795">
        <v>39843</v>
      </c>
      <c r="K34" s="795">
        <v>39848</v>
      </c>
      <c r="L34" s="652" t="s">
        <v>895</v>
      </c>
      <c r="M34" s="652">
        <v>2014</v>
      </c>
      <c r="N34" s="652">
        <v>9062.9999999999982</v>
      </c>
      <c r="O34" s="652">
        <v>12947.142857142855</v>
      </c>
      <c r="P34" s="652">
        <v>25894.28571428571</v>
      </c>
      <c r="Q34" s="652">
        <v>0</v>
      </c>
      <c r="R34" s="652">
        <v>0</v>
      </c>
      <c r="S34" s="652">
        <v>0</v>
      </c>
      <c r="T34" s="652">
        <v>0</v>
      </c>
      <c r="U34" s="652">
        <v>0</v>
      </c>
      <c r="V34" s="652">
        <v>0</v>
      </c>
      <c r="W34" s="652">
        <v>0</v>
      </c>
      <c r="X34" s="652">
        <v>10</v>
      </c>
      <c r="Y34" s="652" t="s">
        <v>112</v>
      </c>
      <c r="Z34" s="654" t="s">
        <v>112</v>
      </c>
    </row>
    <row r="35" spans="1:26" s="606" customFormat="1" ht="25.5">
      <c r="A35" s="605"/>
      <c r="B35" s="796">
        <v>12009</v>
      </c>
      <c r="C35" s="796">
        <v>2570</v>
      </c>
      <c r="D35" s="653" t="s">
        <v>916</v>
      </c>
      <c r="E35" s="652" t="s">
        <v>917</v>
      </c>
      <c r="F35" s="652" t="s">
        <v>918</v>
      </c>
      <c r="G35" s="652" t="s">
        <v>893</v>
      </c>
      <c r="H35" s="652" t="s">
        <v>894</v>
      </c>
      <c r="I35" s="652" t="s">
        <v>919</v>
      </c>
      <c r="J35" s="795">
        <v>40443</v>
      </c>
      <c r="K35" s="795">
        <v>40443</v>
      </c>
      <c r="L35" s="652" t="s">
        <v>895</v>
      </c>
      <c r="M35" s="652">
        <v>1008</v>
      </c>
      <c r="N35" s="652">
        <v>4536</v>
      </c>
      <c r="O35" s="652">
        <v>6480</v>
      </c>
      <c r="P35" s="652">
        <v>12960</v>
      </c>
      <c r="Q35" s="652">
        <v>0</v>
      </c>
      <c r="R35" s="652">
        <v>0</v>
      </c>
      <c r="S35" s="652">
        <v>0</v>
      </c>
      <c r="T35" s="652">
        <v>0</v>
      </c>
      <c r="U35" s="652">
        <v>0</v>
      </c>
      <c r="V35" s="652">
        <v>0</v>
      </c>
      <c r="W35" s="652">
        <v>0</v>
      </c>
      <c r="X35" s="652">
        <v>10</v>
      </c>
      <c r="Y35" s="652" t="s">
        <v>112</v>
      </c>
      <c r="Z35" s="654" t="s">
        <v>112</v>
      </c>
    </row>
    <row r="36" spans="1:26" s="606" customFormat="1" ht="25.5">
      <c r="A36" s="605"/>
      <c r="B36" s="796">
        <v>12009</v>
      </c>
      <c r="C36" s="796">
        <v>2570</v>
      </c>
      <c r="D36" s="653" t="s">
        <v>920</v>
      </c>
      <c r="E36" s="652" t="s">
        <v>921</v>
      </c>
      <c r="F36" s="652" t="s">
        <v>922</v>
      </c>
      <c r="G36" s="652" t="s">
        <v>893</v>
      </c>
      <c r="H36" s="652" t="s">
        <v>894</v>
      </c>
      <c r="I36" s="652" t="s">
        <v>921</v>
      </c>
      <c r="J36" s="795">
        <v>40763</v>
      </c>
      <c r="K36" s="795">
        <v>40763</v>
      </c>
      <c r="L36" s="652" t="s">
        <v>895</v>
      </c>
      <c r="M36" s="652">
        <v>1560</v>
      </c>
      <c r="N36" s="652">
        <v>7020</v>
      </c>
      <c r="O36" s="652">
        <v>10028.571428571429</v>
      </c>
      <c r="P36" s="652">
        <v>20057.142857142859</v>
      </c>
      <c r="Q36" s="652">
        <v>0</v>
      </c>
      <c r="R36" s="652">
        <v>0</v>
      </c>
      <c r="S36" s="652">
        <v>0</v>
      </c>
      <c r="T36" s="652">
        <v>0</v>
      </c>
      <c r="U36" s="652">
        <v>0</v>
      </c>
      <c r="V36" s="652">
        <v>0</v>
      </c>
      <c r="W36" s="652">
        <v>0</v>
      </c>
      <c r="X36" s="652">
        <v>16000</v>
      </c>
      <c r="Y36" s="652" t="s">
        <v>33</v>
      </c>
      <c r="Z36" s="654" t="s">
        <v>389</v>
      </c>
    </row>
    <row r="37" spans="1:26" s="606" customFormat="1" ht="38.25">
      <c r="A37" s="605"/>
      <c r="B37" s="796">
        <v>12009</v>
      </c>
      <c r="C37" s="796">
        <v>2570</v>
      </c>
      <c r="D37" s="653" t="s">
        <v>923</v>
      </c>
      <c r="E37" s="652" t="s">
        <v>924</v>
      </c>
      <c r="F37" s="652" t="s">
        <v>925</v>
      </c>
      <c r="G37" s="652" t="s">
        <v>893</v>
      </c>
      <c r="H37" s="652" t="s">
        <v>926</v>
      </c>
      <c r="I37" s="652" t="s">
        <v>924</v>
      </c>
      <c r="J37" s="795">
        <v>41313</v>
      </c>
      <c r="K37" s="795">
        <v>41316</v>
      </c>
      <c r="L37" s="652" t="s">
        <v>895</v>
      </c>
      <c r="M37" s="652">
        <v>1562</v>
      </c>
      <c r="N37" s="652">
        <v>7029</v>
      </c>
      <c r="O37" s="652">
        <v>7907.625</v>
      </c>
      <c r="P37" s="652">
        <v>17572.5</v>
      </c>
      <c r="Q37" s="652">
        <v>0</v>
      </c>
      <c r="R37" s="652">
        <v>0</v>
      </c>
      <c r="S37" s="652">
        <v>0</v>
      </c>
      <c r="T37" s="652">
        <v>0</v>
      </c>
      <c r="U37" s="652">
        <v>0</v>
      </c>
      <c r="V37" s="652">
        <v>0</v>
      </c>
      <c r="W37" s="652">
        <v>0</v>
      </c>
      <c r="X37" s="652">
        <v>10</v>
      </c>
      <c r="Y37" s="652" t="s">
        <v>112</v>
      </c>
      <c r="Z37" s="654" t="s">
        <v>112</v>
      </c>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19587</v>
      </c>
      <c r="N58" s="610">
        <f>SUM(N28:N57)</f>
        <v>88141.5</v>
      </c>
      <c r="O58" s="610">
        <f t="shared" ref="O58:W58" si="2">SUM(O28:O57)</f>
        <v>123782.625</v>
      </c>
      <c r="P58" s="610">
        <f t="shared" si="2"/>
        <v>249322.50000000003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1560</v>
      </c>
      <c r="N59" s="610">
        <f t="shared" si="3"/>
        <v>7020</v>
      </c>
      <c r="O59" s="610">
        <f t="shared" si="3"/>
        <v>10028.571428571429</v>
      </c>
      <c r="P59" s="610">
        <f t="shared" si="3"/>
        <v>20057.142857142859</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18027</v>
      </c>
      <c r="N61" s="615">
        <f t="shared" si="4"/>
        <v>81121.5</v>
      </c>
      <c r="O61" s="615">
        <f t="shared" si="4"/>
        <v>113754.05357142857</v>
      </c>
      <c r="P61" s="615">
        <f t="shared" si="4"/>
        <v>229265.35714285716</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0.58408935273414486</v>
      </c>
      <c r="C98" s="635">
        <f>IF(ISERROR(N58/(O58+N58)),0,N58/(N58+O58))</f>
        <v>0.41591064726585519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103695.88235294119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145626.61764705885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28529.943161629701</v>
      </c>
      <c r="C4" s="477">
        <f>huishoudens!C8</f>
        <v>0</v>
      </c>
      <c r="D4" s="477">
        <f>huishoudens!D8</f>
        <v>75776.854721128009</v>
      </c>
      <c r="E4" s="477">
        <f>huishoudens!E8</f>
        <v>1513.8423713963839</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8598.8243766910582</v>
      </c>
      <c r="O4" s="477">
        <f>huishoudens!O8</f>
        <v>223.55666666666667</v>
      </c>
      <c r="P4" s="478">
        <f>huishoudens!P8</f>
        <v>591.06666666666661</v>
      </c>
      <c r="Q4" s="479">
        <f>SUM(B4:P4)</f>
        <v>115234.08796417848</v>
      </c>
    </row>
    <row r="5" spans="1:17">
      <c r="A5" s="476" t="s">
        <v>156</v>
      </c>
      <c r="B5" s="477">
        <f ca="1">tertiair!B16</f>
        <v>34205.531531320004</v>
      </c>
      <c r="C5" s="477">
        <f ca="1">tertiair!C16</f>
        <v>0</v>
      </c>
      <c r="D5" s="477">
        <f ca="1">tertiair!D16</f>
        <v>36198.348770149503</v>
      </c>
      <c r="E5" s="477">
        <f>tertiair!E16</f>
        <v>264.56997254670637</v>
      </c>
      <c r="F5" s="477">
        <f ca="1">tertiair!F16</f>
        <v>7994.0479839293439</v>
      </c>
      <c r="G5" s="477">
        <f>tertiair!G16</f>
        <v>0</v>
      </c>
      <c r="H5" s="477">
        <f>tertiair!H16</f>
        <v>0</v>
      </c>
      <c r="I5" s="477">
        <f>tertiair!I16</f>
        <v>0</v>
      </c>
      <c r="J5" s="477">
        <f>tertiair!J16</f>
        <v>0</v>
      </c>
      <c r="K5" s="477">
        <f>tertiair!K16</f>
        <v>0</v>
      </c>
      <c r="L5" s="477">
        <f ca="1">tertiair!L16</f>
        <v>0</v>
      </c>
      <c r="M5" s="477">
        <f>tertiair!M16</f>
        <v>0</v>
      </c>
      <c r="N5" s="477">
        <f ca="1">tertiair!N16</f>
        <v>12753.680700935678</v>
      </c>
      <c r="O5" s="477">
        <f>tertiair!O16</f>
        <v>3.1266666666666669</v>
      </c>
      <c r="P5" s="478">
        <f>tertiair!P16</f>
        <v>0</v>
      </c>
      <c r="Q5" s="476">
        <f t="shared" ref="Q5:Q14" ca="1" si="0">SUM(B5:P5)</f>
        <v>91419.305625547902</v>
      </c>
    </row>
    <row r="6" spans="1:17">
      <c r="A6" s="476" t="s">
        <v>194</v>
      </c>
      <c r="B6" s="477">
        <f>'openbare verlichting'!B8</f>
        <v>1267.6220000000001</v>
      </c>
      <c r="C6" s="477"/>
      <c r="D6" s="477"/>
      <c r="E6" s="477"/>
      <c r="F6" s="477"/>
      <c r="G6" s="477"/>
      <c r="H6" s="477"/>
      <c r="I6" s="477"/>
      <c r="J6" s="477"/>
      <c r="K6" s="477"/>
      <c r="L6" s="477"/>
      <c r="M6" s="477"/>
      <c r="N6" s="477"/>
      <c r="O6" s="477"/>
      <c r="P6" s="478"/>
      <c r="Q6" s="476">
        <f t="shared" si="0"/>
        <v>1267.6220000000001</v>
      </c>
    </row>
    <row r="7" spans="1:17">
      <c r="A7" s="476" t="s">
        <v>112</v>
      </c>
      <c r="B7" s="477">
        <f>landbouw!B8</f>
        <v>10810.045383389999</v>
      </c>
      <c r="C7" s="477">
        <f>landbouw!C8</f>
        <v>113754.05357142857</v>
      </c>
      <c r="D7" s="477">
        <f>landbouw!D8</f>
        <v>40974.010261126852</v>
      </c>
      <c r="E7" s="477">
        <f>landbouw!E8</f>
        <v>278.74956466203599</v>
      </c>
      <c r="F7" s="477">
        <f>landbouw!F8</f>
        <v>39512.774549429261</v>
      </c>
      <c r="G7" s="477">
        <f>landbouw!G8</f>
        <v>0</v>
      </c>
      <c r="H7" s="477">
        <f>landbouw!H8</f>
        <v>0</v>
      </c>
      <c r="I7" s="477">
        <f>landbouw!I8</f>
        <v>0</v>
      </c>
      <c r="J7" s="477">
        <f>landbouw!J8</f>
        <v>1556.2488697756855</v>
      </c>
      <c r="K7" s="477">
        <f>landbouw!K8</f>
        <v>0</v>
      </c>
      <c r="L7" s="477">
        <f>landbouw!L8</f>
        <v>0</v>
      </c>
      <c r="M7" s="477">
        <f>landbouw!M8</f>
        <v>0</v>
      </c>
      <c r="N7" s="477">
        <f>landbouw!N8</f>
        <v>0</v>
      </c>
      <c r="O7" s="477">
        <f>landbouw!O8</f>
        <v>0</v>
      </c>
      <c r="P7" s="478">
        <f>landbouw!P8</f>
        <v>0</v>
      </c>
      <c r="Q7" s="476">
        <f t="shared" si="0"/>
        <v>206885.88219981239</v>
      </c>
    </row>
    <row r="8" spans="1:17">
      <c r="A8" s="476" t="s">
        <v>638</v>
      </c>
      <c r="B8" s="477">
        <f>industrie!B18</f>
        <v>19147.991476529998</v>
      </c>
      <c r="C8" s="477">
        <f>industrie!C18</f>
        <v>10028.571428571429</v>
      </c>
      <c r="D8" s="477">
        <f>industrie!D18</f>
        <v>354077.28972192516</v>
      </c>
      <c r="E8" s="477">
        <f>industrie!E18</f>
        <v>757.54595778965427</v>
      </c>
      <c r="F8" s="477">
        <f>industrie!F18</f>
        <v>3105.8376498659113</v>
      </c>
      <c r="G8" s="477">
        <f>industrie!G18</f>
        <v>0</v>
      </c>
      <c r="H8" s="477">
        <f>industrie!H18</f>
        <v>0</v>
      </c>
      <c r="I8" s="477">
        <f>industrie!I18</f>
        <v>0</v>
      </c>
      <c r="J8" s="477">
        <f>industrie!J18</f>
        <v>127.37667276092115</v>
      </c>
      <c r="K8" s="477">
        <f>industrie!K18</f>
        <v>0</v>
      </c>
      <c r="L8" s="477">
        <f>industrie!L18</f>
        <v>0</v>
      </c>
      <c r="M8" s="477">
        <f>industrie!M18</f>
        <v>0</v>
      </c>
      <c r="N8" s="477">
        <f>industrie!N18</f>
        <v>3673.5809092227591</v>
      </c>
      <c r="O8" s="477">
        <f>industrie!O18</f>
        <v>0</v>
      </c>
      <c r="P8" s="478">
        <f>industrie!P18</f>
        <v>0</v>
      </c>
      <c r="Q8" s="476">
        <f t="shared" si="0"/>
        <v>390918.19381666585</v>
      </c>
    </row>
    <row r="9" spans="1:17" s="482" customFormat="1">
      <c r="A9" s="480" t="s">
        <v>564</v>
      </c>
      <c r="B9" s="481">
        <f>transport!B14</f>
        <v>13.677379497221391</v>
      </c>
      <c r="C9" s="481">
        <f>transport!C14</f>
        <v>0</v>
      </c>
      <c r="D9" s="481">
        <f>transport!D14</f>
        <v>29.249625754163446</v>
      </c>
      <c r="E9" s="481">
        <f>transport!E14</f>
        <v>113.6990313778459</v>
      </c>
      <c r="F9" s="481">
        <f>transport!F14</f>
        <v>0</v>
      </c>
      <c r="G9" s="481">
        <f>transport!G14</f>
        <v>39665.374239972894</v>
      </c>
      <c r="H9" s="481">
        <f>transport!H14</f>
        <v>7883.7911154794365</v>
      </c>
      <c r="I9" s="481">
        <f>transport!I14</f>
        <v>0</v>
      </c>
      <c r="J9" s="481">
        <f>transport!J14</f>
        <v>0</v>
      </c>
      <c r="K9" s="481">
        <f>transport!K14</f>
        <v>0</v>
      </c>
      <c r="L9" s="481">
        <f>transport!L14</f>
        <v>0</v>
      </c>
      <c r="M9" s="481">
        <f>transport!M14</f>
        <v>1485.8712562742073</v>
      </c>
      <c r="N9" s="481">
        <f>transport!N14</f>
        <v>0</v>
      </c>
      <c r="O9" s="481">
        <f>transport!O14</f>
        <v>0</v>
      </c>
      <c r="P9" s="481">
        <f>transport!P14</f>
        <v>0</v>
      </c>
      <c r="Q9" s="480">
        <f>SUM(B9:P9)</f>
        <v>49191.66264835577</v>
      </c>
    </row>
    <row r="10" spans="1:17">
      <c r="A10" s="476" t="s">
        <v>554</v>
      </c>
      <c r="B10" s="477">
        <f>transport!B54</f>
        <v>0</v>
      </c>
      <c r="C10" s="477">
        <f>transport!C54</f>
        <v>0</v>
      </c>
      <c r="D10" s="477">
        <f>transport!D54</f>
        <v>0</v>
      </c>
      <c r="E10" s="477">
        <f>transport!E54</f>
        <v>0</v>
      </c>
      <c r="F10" s="477">
        <f>transport!F54</f>
        <v>0</v>
      </c>
      <c r="G10" s="477">
        <f>transport!G54</f>
        <v>1324.6975066025782</v>
      </c>
      <c r="H10" s="477">
        <f>transport!H54</f>
        <v>0</v>
      </c>
      <c r="I10" s="477">
        <f>transport!I54</f>
        <v>0</v>
      </c>
      <c r="J10" s="477">
        <f>transport!J54</f>
        <v>0</v>
      </c>
      <c r="K10" s="477">
        <f>transport!K54</f>
        <v>0</v>
      </c>
      <c r="L10" s="477">
        <f>transport!L54</f>
        <v>0</v>
      </c>
      <c r="M10" s="477">
        <f>transport!M54</f>
        <v>41.089153065278012</v>
      </c>
      <c r="N10" s="477">
        <f>transport!N54</f>
        <v>0</v>
      </c>
      <c r="O10" s="477">
        <f>transport!O54</f>
        <v>0</v>
      </c>
      <c r="P10" s="478">
        <f>transport!P54</f>
        <v>0</v>
      </c>
      <c r="Q10" s="476">
        <f t="shared" si="0"/>
        <v>1365.7866596678562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692.47591194999995</v>
      </c>
      <c r="C14" s="484"/>
      <c r="D14" s="484">
        <f>'SEAP template'!E25</f>
        <v>2257.0439970999996</v>
      </c>
      <c r="E14" s="484"/>
      <c r="F14" s="484"/>
      <c r="G14" s="484"/>
      <c r="H14" s="484"/>
      <c r="I14" s="484"/>
      <c r="J14" s="484"/>
      <c r="K14" s="484"/>
      <c r="L14" s="484"/>
      <c r="M14" s="484"/>
      <c r="N14" s="484"/>
      <c r="O14" s="484"/>
      <c r="P14" s="485"/>
      <c r="Q14" s="476">
        <f t="shared" si="0"/>
        <v>2949.5199090499996</v>
      </c>
    </row>
    <row r="15" spans="1:17" s="486" customFormat="1">
      <c r="A15" s="1038" t="s">
        <v>558</v>
      </c>
      <c r="B15" s="978">
        <f ca="1">SUM(B4:B14)</f>
        <v>94667.286844316914</v>
      </c>
      <c r="C15" s="978">
        <f t="shared" ref="C15:Q15" ca="1" si="1">SUM(C4:C14)</f>
        <v>123782.625</v>
      </c>
      <c r="D15" s="978">
        <f t="shared" ca="1" si="1"/>
        <v>509312.79709718365</v>
      </c>
      <c r="E15" s="978">
        <f t="shared" si="1"/>
        <v>2928.4068977726265</v>
      </c>
      <c r="F15" s="978">
        <f t="shared" ca="1" si="1"/>
        <v>50612.660183224514</v>
      </c>
      <c r="G15" s="978">
        <f t="shared" si="1"/>
        <v>40990.071746575471</v>
      </c>
      <c r="H15" s="978">
        <f t="shared" si="1"/>
        <v>7883.7911154794365</v>
      </c>
      <c r="I15" s="978">
        <f t="shared" si="1"/>
        <v>0</v>
      </c>
      <c r="J15" s="978">
        <f t="shared" si="1"/>
        <v>1683.6255425366066</v>
      </c>
      <c r="K15" s="978">
        <f t="shared" si="1"/>
        <v>0</v>
      </c>
      <c r="L15" s="978">
        <f t="shared" ca="1" si="1"/>
        <v>0</v>
      </c>
      <c r="M15" s="978">
        <f t="shared" si="1"/>
        <v>1526.9604093394853</v>
      </c>
      <c r="N15" s="978">
        <f t="shared" ca="1" si="1"/>
        <v>25026.085986849495</v>
      </c>
      <c r="O15" s="978">
        <f t="shared" si="1"/>
        <v>226.68333333333334</v>
      </c>
      <c r="P15" s="978">
        <f t="shared" si="1"/>
        <v>591.06666666666661</v>
      </c>
      <c r="Q15" s="978">
        <f t="shared" ca="1" si="1"/>
        <v>859232.06082327827</v>
      </c>
    </row>
    <row r="17" spans="1:17">
      <c r="A17" s="487" t="s">
        <v>559</v>
      </c>
      <c r="B17" s="786">
        <f ca="1">huishoudens!B10</f>
        <v>0.21773757043520103</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6212.0405086676292</v>
      </c>
      <c r="C22" s="477">
        <f t="shared" ref="C22:C32" ca="1" si="3">C4*$C$17</f>
        <v>0</v>
      </c>
      <c r="D22" s="477">
        <f t="shared" ref="D22:D32" si="4">D4*$D$17</f>
        <v>15306.924653667858</v>
      </c>
      <c r="E22" s="477">
        <f t="shared" ref="E22:E32" si="5">E4*$E$17</f>
        <v>343.64221830697915</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21862.607380642468</v>
      </c>
    </row>
    <row r="23" spans="1:17">
      <c r="A23" s="476" t="s">
        <v>156</v>
      </c>
      <c r="B23" s="477">
        <f t="shared" ca="1" si="2"/>
        <v>7447.8293310742793</v>
      </c>
      <c r="C23" s="477">
        <f t="shared" ca="1" si="3"/>
        <v>0</v>
      </c>
      <c r="D23" s="477">
        <f t="shared" ca="1" si="4"/>
        <v>7312.0664515702001</v>
      </c>
      <c r="E23" s="477">
        <f t="shared" si="5"/>
        <v>60.057383768102348</v>
      </c>
      <c r="F23" s="477">
        <f t="shared" ca="1" si="6"/>
        <v>2134.410811709135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16954.363978121717</v>
      </c>
    </row>
    <row r="24" spans="1:17">
      <c r="A24" s="476" t="s">
        <v>194</v>
      </c>
      <c r="B24" s="477">
        <f t="shared" ca="1" si="2"/>
        <v>276.00893451021039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276.00893451021039</v>
      </c>
    </row>
    <row r="25" spans="1:17">
      <c r="A25" s="476" t="s">
        <v>112</v>
      </c>
      <c r="B25" s="477">
        <f t="shared" ca="1" si="2"/>
        <v>2353.7530180735998</v>
      </c>
      <c r="C25" s="477">
        <f t="shared" ca="1" si="3"/>
        <v>27033.316260504205</v>
      </c>
      <c r="D25" s="477">
        <f t="shared" si="4"/>
        <v>8276.7500727476254</v>
      </c>
      <c r="E25" s="477">
        <f t="shared" si="5"/>
        <v>63.27615117828217</v>
      </c>
      <c r="F25" s="477">
        <f t="shared" si="6"/>
        <v>10549.910804697613</v>
      </c>
      <c r="G25" s="477">
        <f t="shared" si="7"/>
        <v>0</v>
      </c>
      <c r="H25" s="477">
        <f t="shared" si="8"/>
        <v>0</v>
      </c>
      <c r="I25" s="477">
        <f t="shared" si="9"/>
        <v>0</v>
      </c>
      <c r="J25" s="477">
        <f t="shared" si="10"/>
        <v>550.91209990059269</v>
      </c>
      <c r="K25" s="477">
        <f t="shared" si="11"/>
        <v>0</v>
      </c>
      <c r="L25" s="477">
        <f t="shared" si="12"/>
        <v>0</v>
      </c>
      <c r="M25" s="477">
        <f t="shared" si="13"/>
        <v>0</v>
      </c>
      <c r="N25" s="477">
        <f t="shared" si="14"/>
        <v>0</v>
      </c>
      <c r="O25" s="477">
        <f t="shared" si="15"/>
        <v>0</v>
      </c>
      <c r="P25" s="478">
        <f t="shared" si="16"/>
        <v>0</v>
      </c>
      <c r="Q25" s="476">
        <f t="shared" ca="1" si="17"/>
        <v>48827.918407101912</v>
      </c>
    </row>
    <row r="26" spans="1:17">
      <c r="A26" s="476" t="s">
        <v>638</v>
      </c>
      <c r="B26" s="477">
        <f t="shared" ca="1" si="2"/>
        <v>4169.2371428135793</v>
      </c>
      <c r="C26" s="477">
        <f t="shared" ca="1" si="3"/>
        <v>2383.2605042016812</v>
      </c>
      <c r="D26" s="477">
        <f t="shared" si="4"/>
        <v>71523.612523828881</v>
      </c>
      <c r="E26" s="477">
        <f t="shared" si="5"/>
        <v>171.96293241825151</v>
      </c>
      <c r="F26" s="477">
        <f t="shared" si="6"/>
        <v>829.25865251419839</v>
      </c>
      <c r="G26" s="477">
        <f t="shared" si="7"/>
        <v>0</v>
      </c>
      <c r="H26" s="477">
        <f t="shared" si="8"/>
        <v>0</v>
      </c>
      <c r="I26" s="477">
        <f t="shared" si="9"/>
        <v>0</v>
      </c>
      <c r="J26" s="477">
        <f t="shared" si="10"/>
        <v>45.091342157366086</v>
      </c>
      <c r="K26" s="477">
        <f t="shared" si="11"/>
        <v>0</v>
      </c>
      <c r="L26" s="477">
        <f t="shared" si="12"/>
        <v>0</v>
      </c>
      <c r="M26" s="477">
        <f t="shared" si="13"/>
        <v>0</v>
      </c>
      <c r="N26" s="477">
        <f t="shared" si="14"/>
        <v>0</v>
      </c>
      <c r="O26" s="477">
        <f t="shared" si="15"/>
        <v>0</v>
      </c>
      <c r="P26" s="478">
        <f t="shared" si="16"/>
        <v>0</v>
      </c>
      <c r="Q26" s="476">
        <f t="shared" ca="1" si="17"/>
        <v>79122.423097933948</v>
      </c>
    </row>
    <row r="27" spans="1:17" s="482" customFormat="1">
      <c r="A27" s="480" t="s">
        <v>564</v>
      </c>
      <c r="B27" s="780">
        <f t="shared" ca="1" si="2"/>
        <v>2.9780793816452173</v>
      </c>
      <c r="C27" s="481">
        <f t="shared" ca="1" si="3"/>
        <v>0</v>
      </c>
      <c r="D27" s="481">
        <f t="shared" si="4"/>
        <v>5.9084244023410166</v>
      </c>
      <c r="E27" s="481">
        <f t="shared" si="5"/>
        <v>25.80968012277102</v>
      </c>
      <c r="F27" s="481">
        <f t="shared" si="6"/>
        <v>0</v>
      </c>
      <c r="G27" s="481">
        <f t="shared" si="7"/>
        <v>10590.654922072763</v>
      </c>
      <c r="H27" s="481">
        <f t="shared" si="8"/>
        <v>1963.0639877543797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12588.4150937339</v>
      </c>
    </row>
    <row r="28" spans="1:17">
      <c r="A28" s="476" t="s">
        <v>554</v>
      </c>
      <c r="B28" s="477">
        <f t="shared" ca="1" si="2"/>
        <v>0</v>
      </c>
      <c r="C28" s="477">
        <f t="shared" ca="1" si="3"/>
        <v>0</v>
      </c>
      <c r="D28" s="477">
        <f t="shared" si="4"/>
        <v>0</v>
      </c>
      <c r="E28" s="477">
        <f t="shared" si="5"/>
        <v>0</v>
      </c>
      <c r="F28" s="477">
        <f t="shared" si="6"/>
        <v>0</v>
      </c>
      <c r="G28" s="477">
        <f t="shared" si="7"/>
        <v>353.69423426288841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353.69423426288841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150.77802265289318</v>
      </c>
      <c r="C32" s="477">
        <f t="shared" ca="1" si="3"/>
        <v>0</v>
      </c>
      <c r="D32" s="477">
        <f t="shared" si="4"/>
        <v>455.92288741419998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606.70091006709322</v>
      </c>
    </row>
    <row r="33" spans="1:17" s="486" customFormat="1">
      <c r="A33" s="1038" t="s">
        <v>558</v>
      </c>
      <c r="B33" s="978">
        <f ca="1">SUM(B22:B32)</f>
        <v>20612.625037173835</v>
      </c>
      <c r="C33" s="978">
        <f t="shared" ref="C33:Q33" ca="1" si="18">SUM(C22:C32)</f>
        <v>29416.576764705886</v>
      </c>
      <c r="D33" s="978">
        <f t="shared" ca="1" si="18"/>
        <v>102881.18501363111</v>
      </c>
      <c r="E33" s="978">
        <f t="shared" si="18"/>
        <v>664.74836579438625</v>
      </c>
      <c r="F33" s="978">
        <f t="shared" ca="1" si="18"/>
        <v>13513.580268920945</v>
      </c>
      <c r="G33" s="978">
        <f t="shared" si="18"/>
        <v>10944.349156335651</v>
      </c>
      <c r="H33" s="978">
        <f t="shared" si="18"/>
        <v>1963.0639877543797</v>
      </c>
      <c r="I33" s="978">
        <f t="shared" si="18"/>
        <v>0</v>
      </c>
      <c r="J33" s="978">
        <f t="shared" si="18"/>
        <v>596.00344205795875</v>
      </c>
      <c r="K33" s="978">
        <f t="shared" si="18"/>
        <v>0</v>
      </c>
      <c r="L33" s="978">
        <f t="shared" ca="1" si="18"/>
        <v>0</v>
      </c>
      <c r="M33" s="978">
        <f t="shared" si="18"/>
        <v>0</v>
      </c>
      <c r="N33" s="978">
        <f t="shared" ca="1" si="18"/>
        <v>0</v>
      </c>
      <c r="O33" s="978">
        <f t="shared" si="18"/>
        <v>0</v>
      </c>
      <c r="P33" s="978">
        <f t="shared" si="18"/>
        <v>0</v>
      </c>
      <c r="Q33" s="978">
        <f t="shared" ca="1" si="18"/>
        <v>180592.13203637415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8059.482648182202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88141.5</v>
      </c>
      <c r="D8" s="1055">
        <f>'SEAP template'!D76</f>
        <v>103695.88235294119</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20946.568235294122</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8059.482648182202</v>
      </c>
      <c r="C10" s="1059">
        <f>SUM(C4:C9)</f>
        <v>88141.5</v>
      </c>
      <c r="D10" s="1059">
        <f t="shared" ref="D10:H10" si="0">SUM(D8:D9)</f>
        <v>103695.88235294119</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20946.568235294122</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0.21773757043520103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123782.625</v>
      </c>
      <c r="D17" s="1056">
        <f>'SEAP template'!D87</f>
        <v>145626.61764705885</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29416.576764705889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123782.625</v>
      </c>
      <c r="D20" s="1059">
        <f t="shared" ref="D20:H20" si="2">SUM(D17:D19)</f>
        <v>145626.61764705885</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29416.576764705889</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0.21773757043520103</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3.1266666666666669</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2019-08-12T08:22:33Z</dcterms:modified>
</cp:coreProperties>
</file>